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repligen.sharepoint.com/sites/MetenovaMarketing/Shared Documents/Market Communication (Marcom)/Product selector 2/Zooma/Excelmotor for web/"/>
    </mc:Choice>
  </mc:AlternateContent>
  <xr:revisionPtr revIDLastSave="273" documentId="8_{12CE7C63-87CF-449D-B54A-7FF4BAE44D6B}" xr6:coauthVersionLast="47" xr6:coauthVersionMax="47" xr10:uidLastSave="{1F052C22-7567-4DEA-9033-A4A1CBF633B1}"/>
  <bookViews>
    <workbookView xWindow="-120" yWindow="-120" windowWidth="29040" windowHeight="15840" tabRatio="866" activeTab="6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Vessel dimensions - DIN 28011" sheetId="20" r:id="rId6"/>
    <sheet name="Output" sheetId="13" r:id="rId7"/>
    <sheet name="ZG" sheetId="3" r:id="rId8"/>
    <sheet name="ZGP" sheetId="4" r:id="rId9"/>
    <sheet name="HP" sheetId="5" r:id="rId10"/>
    <sheet name="HS" sheetId="6" r:id="rId11"/>
    <sheet name="ZF" sheetId="7" r:id="rId12"/>
    <sheet name="Min Vol (IGNORE!)" sheetId="19" r:id="rId13"/>
    <sheet name="Min Vol ZG (IGNORE!)" sheetId="8" r:id="rId14"/>
    <sheet name="Vessel Dish Type List (IGNORE!)" sheetId="18" r:id="rId15"/>
    <sheet name="Vessel dimension - (IGNORE)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4" i="7" l="1"/>
  <c r="X54" i="6"/>
  <c r="X54" i="5"/>
  <c r="X54" i="4"/>
  <c r="G8" i="13" l="1"/>
  <c r="F8" i="13"/>
  <c r="E8" i="13"/>
  <c r="D8" i="13"/>
  <c r="C8" i="13"/>
  <c r="G36" i="13"/>
  <c r="F36" i="13"/>
  <c r="E36" i="13"/>
  <c r="C36" i="13"/>
  <c r="C35" i="13"/>
  <c r="G11" i="13"/>
  <c r="F11" i="13"/>
  <c r="E11" i="13"/>
  <c r="D11" i="13"/>
  <c r="C11" i="13"/>
  <c r="C10" i="13"/>
  <c r="J33" i="20"/>
  <c r="I33" i="20"/>
  <c r="H33" i="20"/>
  <c r="G33" i="20"/>
  <c r="F33" i="20"/>
  <c r="B11" i="20"/>
  <c r="S19" i="20" l="1"/>
  <c r="S18" i="20"/>
  <c r="S17" i="20"/>
  <c r="R17" i="20"/>
  <c r="S16" i="20"/>
  <c r="S15" i="20"/>
  <c r="S14" i="20"/>
  <c r="S9" i="20"/>
  <c r="B7" i="20" l="1"/>
  <c r="B5" i="20"/>
  <c r="B4" i="20"/>
  <c r="B23" i="20" s="1"/>
  <c r="B25" i="20" l="1"/>
  <c r="B28" i="20"/>
  <c r="B18" i="20"/>
  <c r="B6" i="20"/>
  <c r="B24" i="20"/>
  <c r="K13" i="11" l="1"/>
  <c r="J13" i="11"/>
  <c r="G17" i="11"/>
  <c r="G4" i="11"/>
  <c r="B19" i="19"/>
  <c r="G7" i="11"/>
  <c r="C15" i="13"/>
  <c r="Q19" i="19" l="1"/>
  <c r="Q18" i="19"/>
  <c r="Q17" i="19"/>
  <c r="P17" i="19"/>
  <c r="Q16" i="19"/>
  <c r="Q15" i="19"/>
  <c r="Q14" i="19"/>
  <c r="Q9" i="19"/>
  <c r="B13" i="19" l="1"/>
  <c r="B2" i="19"/>
  <c r="D6" i="18"/>
  <c r="D7" i="18"/>
  <c r="H7" i="18" s="1"/>
  <c r="D5" i="18"/>
  <c r="H5" i="18" s="1"/>
  <c r="D4" i="18"/>
  <c r="D3" i="18"/>
  <c r="H3" i="18" s="1"/>
  <c r="D2" i="18"/>
  <c r="H2" i="18" l="1"/>
  <c r="E2" i="19" s="1"/>
  <c r="H4" i="18"/>
  <c r="H6" i="18"/>
  <c r="G6" i="18"/>
  <c r="C4" i="18"/>
  <c r="G4" i="18" s="1"/>
  <c r="G5" i="11"/>
  <c r="F7" i="18"/>
  <c r="G7" i="18"/>
  <c r="C6" i="18"/>
  <c r="B3" i="19"/>
  <c r="B4" i="19" s="1"/>
  <c r="E6" i="18"/>
  <c r="F6" i="18"/>
  <c r="C5" i="18"/>
  <c r="G5" i="18" s="1"/>
  <c r="E7" i="18"/>
  <c r="C7" i="18"/>
  <c r="B17" i="19"/>
  <c r="B16" i="19"/>
  <c r="B18" i="19"/>
  <c r="B15" i="19"/>
  <c r="B14" i="19"/>
  <c r="C2" i="18"/>
  <c r="C3" i="18"/>
  <c r="G9" i="11" l="1"/>
  <c r="B8" i="20"/>
  <c r="B8" i="11"/>
  <c r="E4" i="18"/>
  <c r="J4" i="11"/>
  <c r="B15" i="20"/>
  <c r="B33" i="20" s="1"/>
  <c r="B12" i="11"/>
  <c r="F4" i="18"/>
  <c r="F3" i="18"/>
  <c r="G3" i="18"/>
  <c r="E3" i="18"/>
  <c r="F2" i="18"/>
  <c r="G2" i="18"/>
  <c r="B5" i="19"/>
  <c r="F5" i="18"/>
  <c r="E5" i="18"/>
  <c r="E2" i="18"/>
  <c r="B17" i="20" l="1"/>
  <c r="B16" i="20"/>
  <c r="B13" i="11"/>
  <c r="B10" i="20"/>
  <c r="B9" i="20"/>
  <c r="B8" i="19"/>
  <c r="G12" i="11"/>
  <c r="B7" i="19"/>
  <c r="G11" i="11"/>
  <c r="B6" i="19"/>
  <c r="G10" i="11"/>
  <c r="B27" i="20" l="1"/>
  <c r="B29" i="20" s="1"/>
  <c r="B34" i="20" s="1"/>
  <c r="B35" i="20" s="1"/>
  <c r="B19" i="20"/>
  <c r="B9" i="19"/>
  <c r="E3" i="19" s="1"/>
  <c r="G34" i="19" s="1"/>
  <c r="E5" i="19"/>
  <c r="E6" i="19" s="1"/>
  <c r="E7" i="19" s="1"/>
  <c r="E18" i="13" l="1"/>
  <c r="D18" i="13"/>
  <c r="C18" i="13"/>
  <c r="G18" i="13"/>
  <c r="F18" i="13"/>
  <c r="C13" i="13"/>
  <c r="E13" i="13"/>
  <c r="G13" i="13"/>
  <c r="F13" i="13"/>
  <c r="D13" i="13"/>
  <c r="I32" i="20"/>
  <c r="F32" i="20"/>
  <c r="H32" i="20"/>
  <c r="B14" i="20"/>
  <c r="B13" i="20"/>
  <c r="G32" i="20"/>
  <c r="J32" i="20"/>
  <c r="I35" i="19"/>
  <c r="I33" i="19"/>
  <c r="I34" i="19"/>
  <c r="I36" i="19"/>
  <c r="G36" i="19"/>
  <c r="G33" i="19"/>
  <c r="E4" i="19"/>
  <c r="E16" i="19"/>
  <c r="G35" i="19"/>
  <c r="F8" i="19"/>
  <c r="E8" i="19"/>
  <c r="F7" i="19"/>
  <c r="I37" i="19" l="1"/>
  <c r="E9" i="19"/>
  <c r="E10" i="19" s="1"/>
  <c r="G14" i="19" s="1"/>
  <c r="F9" i="19"/>
  <c r="F10" i="19" s="1"/>
  <c r="H14" i="19" s="1"/>
  <c r="E19" i="19"/>
  <c r="B34" i="19" l="1"/>
  <c r="B36" i="19"/>
  <c r="E29" i="19"/>
  <c r="B33" i="19"/>
  <c r="D35" i="19"/>
  <c r="D33" i="19"/>
  <c r="D36" i="19"/>
  <c r="B35" i="19"/>
  <c r="D37" i="19" s="1"/>
  <c r="E21" i="19"/>
  <c r="E30" i="19"/>
  <c r="E13" i="19"/>
  <c r="E18" i="19"/>
  <c r="D34" i="19"/>
  <c r="C4" i="13"/>
  <c r="G5" i="13"/>
  <c r="F5" i="13"/>
  <c r="E5" i="13"/>
  <c r="D5" i="13"/>
  <c r="C5" i="13"/>
  <c r="G6" i="13"/>
  <c r="F6" i="13"/>
  <c r="E6" i="13"/>
  <c r="D6" i="13"/>
  <c r="C6" i="13"/>
  <c r="G3" i="13"/>
  <c r="F3" i="13"/>
  <c r="E3" i="13"/>
  <c r="D3" i="13"/>
  <c r="C3" i="13"/>
  <c r="G21" i="13"/>
  <c r="F21" i="13"/>
  <c r="E21" i="13"/>
  <c r="D21" i="13"/>
  <c r="C21" i="13"/>
  <c r="D13" i="1"/>
  <c r="D35" i="13"/>
  <c r="W5" i="3"/>
  <c r="V5" i="3"/>
  <c r="U5" i="3"/>
  <c r="T5" i="3"/>
  <c r="D22" i="13"/>
  <c r="E22" i="13"/>
  <c r="F22" i="13"/>
  <c r="G22" i="13"/>
  <c r="C22" i="13"/>
  <c r="D15" i="13"/>
  <c r="E15" i="13"/>
  <c r="F15" i="13"/>
  <c r="G15" i="13"/>
  <c r="D14" i="13"/>
  <c r="E14" i="13"/>
  <c r="F14" i="13"/>
  <c r="G14" i="13"/>
  <c r="C14" i="13"/>
  <c r="G12" i="13"/>
  <c r="F12" i="13"/>
  <c r="E12" i="13"/>
  <c r="D12" i="13"/>
  <c r="C12" i="13"/>
  <c r="G10" i="13"/>
  <c r="F10" i="13"/>
  <c r="E10" i="13"/>
  <c r="D10" i="13"/>
  <c r="B7" i="11"/>
  <c r="J11" i="11" l="1"/>
  <c r="K14" i="11"/>
  <c r="J10" i="11"/>
  <c r="J14" i="11"/>
  <c r="J12" i="11"/>
  <c r="E39" i="19"/>
  <c r="G29" i="19"/>
  <c r="W66" i="7"/>
  <c r="W66" i="6"/>
  <c r="W66" i="5"/>
  <c r="D38" i="13"/>
  <c r="G38" i="13"/>
  <c r="F38" i="13"/>
  <c r="E38" i="13"/>
  <c r="C38" i="13"/>
  <c r="G39" i="13"/>
  <c r="F39" i="13"/>
  <c r="E39" i="13"/>
  <c r="C39" i="13"/>
  <c r="W66" i="4"/>
  <c r="W66" i="3" l="1"/>
  <c r="F47" i="13" l="1"/>
  <c r="E47" i="13"/>
  <c r="D47" i="13"/>
  <c r="C47" i="13"/>
  <c r="F45" i="13"/>
  <c r="E45" i="13"/>
  <c r="D45" i="13"/>
  <c r="C45" i="13"/>
  <c r="F42" i="13"/>
  <c r="E42" i="13"/>
  <c r="D42" i="13"/>
  <c r="C42" i="13"/>
  <c r="G23" i="13" l="1"/>
  <c r="F23" i="13"/>
  <c r="E23" i="13"/>
  <c r="D23" i="13"/>
  <c r="C23" i="13"/>
  <c r="G35" i="13"/>
  <c r="F35" i="13"/>
  <c r="E35" i="13"/>
  <c r="B45" i="7"/>
  <c r="B45" i="6"/>
  <c r="B45" i="4"/>
  <c r="B45" i="5"/>
  <c r="F46" i="13" l="1"/>
  <c r="E46" i="13"/>
  <c r="D46" i="13"/>
  <c r="C46" i="13"/>
  <c r="F44" i="13"/>
  <c r="E44" i="13"/>
  <c r="D44" i="13"/>
  <c r="C44" i="13"/>
  <c r="B2" i="7"/>
  <c r="F2" i="4" l="1"/>
  <c r="R2" i="3"/>
  <c r="T2" i="3"/>
  <c r="D2" i="6"/>
  <c r="L2" i="3"/>
  <c r="D2" i="7"/>
  <c r="N2" i="3"/>
  <c r="B2" i="5"/>
  <c r="D2" i="3"/>
  <c r="B2" i="6"/>
  <c r="V2" i="3"/>
  <c r="H2" i="3"/>
  <c r="B2" i="4"/>
  <c r="F2" i="6"/>
  <c r="P2" i="3"/>
  <c r="D2" i="5"/>
  <c r="B2" i="3"/>
  <c r="F2" i="5"/>
  <c r="F2" i="3"/>
  <c r="J2" i="3"/>
  <c r="D2" i="4"/>
  <c r="G9" i="13"/>
  <c r="F9" i="13"/>
  <c r="E9" i="13"/>
  <c r="D9" i="13"/>
  <c r="G4" i="13"/>
  <c r="F4" i="13"/>
  <c r="E4" i="13"/>
  <c r="D4" i="13"/>
  <c r="C9" i="13"/>
  <c r="B22" i="11"/>
  <c r="B5" i="11"/>
  <c r="B10" i="11" s="1"/>
  <c r="B4" i="11"/>
  <c r="L66" i="3"/>
  <c r="L67" i="3"/>
  <c r="L68" i="3"/>
  <c r="L69" i="3"/>
  <c r="J65" i="3"/>
  <c r="H67" i="3"/>
  <c r="J67" i="3" s="1"/>
  <c r="H69" i="3"/>
  <c r="J69" i="3" s="1"/>
  <c r="H65" i="3"/>
  <c r="G31" i="13" l="1"/>
  <c r="G13" i="11"/>
  <c r="B14" i="11"/>
  <c r="B6" i="11"/>
  <c r="B11" i="11"/>
  <c r="B15" i="11"/>
  <c r="B25" i="11"/>
  <c r="B21" i="11"/>
  <c r="B20" i="11"/>
  <c r="G37" i="13" l="1"/>
  <c r="G32" i="13"/>
  <c r="G34" i="13"/>
  <c r="G33" i="13"/>
  <c r="K12" i="11"/>
  <c r="K11" i="11"/>
  <c r="G22" i="11"/>
  <c r="G21" i="11"/>
  <c r="G20" i="11"/>
  <c r="G19" i="11"/>
  <c r="G18" i="11"/>
  <c r="G23" i="11"/>
  <c r="J7" i="11"/>
  <c r="J5" i="11"/>
  <c r="J17" i="11"/>
  <c r="I17" i="11"/>
  <c r="B30" i="11"/>
  <c r="B24" i="11"/>
  <c r="B26" i="11" s="1"/>
  <c r="B31" i="11" s="1"/>
  <c r="B16" i="11"/>
  <c r="J9" i="11" s="1"/>
  <c r="B32" i="11" l="1"/>
  <c r="V41" i="3" a="1"/>
  <c r="V41" i="3" s="1"/>
  <c r="T41" i="3" a="1"/>
  <c r="T41" i="3" s="1"/>
  <c r="H51" i="3"/>
  <c r="H57" i="3"/>
  <c r="H59" i="3"/>
  <c r="H49" i="3"/>
  <c r="H53" i="3"/>
  <c r="H55" i="3"/>
  <c r="H61" i="3"/>
  <c r="H63" i="3"/>
  <c r="B45" i="3" l="1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J49" i="7" l="1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K53" i="6" l="1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2" i="3"/>
  <c r="F39" i="3"/>
  <c r="H39" i="3"/>
  <c r="J36" i="3"/>
  <c r="L28" i="3"/>
  <c r="N34" i="3"/>
  <c r="P35" i="3"/>
  <c r="R34" i="3"/>
  <c r="B10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0" i="3"/>
  <c r="D33" i="3"/>
  <c r="B32" i="7"/>
  <c r="B23" i="7"/>
  <c r="B12" i="7"/>
  <c r="L20" i="3"/>
  <c r="B7" i="7"/>
  <c r="L12" i="3"/>
  <c r="B24" i="7"/>
  <c r="D8" i="3"/>
  <c r="D39" i="3"/>
  <c r="D9" i="3"/>
  <c r="P11" i="3"/>
  <c r="L36" i="3"/>
  <c r="L35" i="3"/>
  <c r="B38" i="5"/>
  <c r="B31" i="5"/>
  <c r="B20" i="5"/>
  <c r="B14" i="5"/>
  <c r="B12" i="5"/>
  <c r="B36" i="5"/>
  <c r="B30" i="5"/>
  <c r="F32" i="3"/>
  <c r="B23" i="5"/>
  <c r="B6" i="5"/>
  <c r="F7" i="3"/>
  <c r="B7" i="5"/>
  <c r="B39" i="5"/>
  <c r="B28" i="5"/>
  <c r="B22" i="5"/>
  <c r="B15" i="5"/>
  <c r="D25" i="5"/>
  <c r="P26" i="3"/>
  <c r="D26" i="5"/>
  <c r="D22" i="5"/>
  <c r="D35" i="5"/>
  <c r="D14" i="5"/>
  <c r="P10" i="3"/>
  <c r="P27" i="3"/>
  <c r="D39" i="5"/>
  <c r="D36" i="5"/>
  <c r="D32" i="5"/>
  <c r="D29" i="5"/>
  <c r="D19" i="5"/>
  <c r="D15" i="5"/>
  <c r="D10" i="5"/>
  <c r="P18" i="3"/>
  <c r="D38" i="5"/>
  <c r="D31" i="5"/>
  <c r="D28" i="5"/>
  <c r="D24" i="5"/>
  <c r="D21" i="5"/>
  <c r="D17" i="5"/>
  <c r="P33" i="3"/>
  <c r="P19" i="3"/>
  <c r="P34" i="3"/>
  <c r="D34" i="5"/>
  <c r="D13" i="5"/>
  <c r="D7" i="5"/>
  <c r="D18" i="5"/>
  <c r="D40" i="5"/>
  <c r="D37" i="5"/>
  <c r="D27" i="5"/>
  <c r="D16" i="5"/>
  <c r="B32" i="6"/>
  <c r="D9" i="5"/>
  <c r="B26" i="3"/>
  <c r="D33" i="5"/>
  <c r="D30" i="5"/>
  <c r="D23" i="5"/>
  <c r="D20" i="5"/>
  <c r="F36" i="6"/>
  <c r="F31" i="6"/>
  <c r="F23" i="6"/>
  <c r="F18" i="6"/>
  <c r="F32" i="6"/>
  <c r="B14" i="6"/>
  <c r="H22" i="3"/>
  <c r="H37" i="3"/>
  <c r="F8" i="3"/>
  <c r="D16" i="3"/>
  <c r="F23" i="3"/>
  <c r="F40" i="6"/>
  <c r="F35" i="6"/>
  <c r="B30" i="6"/>
  <c r="F26" i="6"/>
  <c r="B22" i="6"/>
  <c r="B17" i="6"/>
  <c r="F14" i="6"/>
  <c r="F9" i="6"/>
  <c r="F19" i="6"/>
  <c r="F38" i="3"/>
  <c r="H15" i="3"/>
  <c r="F16" i="3"/>
  <c r="H23" i="3"/>
  <c r="H30" i="3"/>
  <c r="F34" i="6"/>
  <c r="B25" i="6"/>
  <c r="F22" i="6"/>
  <c r="B8" i="6"/>
  <c r="H14" i="3"/>
  <c r="B17" i="3"/>
  <c r="D24" i="3"/>
  <c r="F31" i="3"/>
  <c r="H38" i="3"/>
  <c r="B38" i="6"/>
  <c r="B33" i="6"/>
  <c r="F30" i="6"/>
  <c r="F25" i="6"/>
  <c r="F21" i="6"/>
  <c r="F17" i="6"/>
  <c r="F13" i="6"/>
  <c r="D7" i="6"/>
  <c r="B28" i="7"/>
  <c r="B19" i="7"/>
  <c r="B11" i="7"/>
  <c r="F15" i="3"/>
  <c r="F40" i="3"/>
  <c r="B40" i="6"/>
  <c r="F27" i="6"/>
  <c r="B9" i="6"/>
  <c r="D17" i="3"/>
  <c r="F24" i="3"/>
  <c r="H31" i="3"/>
  <c r="F38" i="6"/>
  <c r="B24" i="6"/>
  <c r="B16" i="6"/>
  <c r="B6" i="6"/>
  <c r="B35" i="7"/>
  <c r="B27" i="7"/>
  <c r="H7" i="3"/>
  <c r="H6" i="3"/>
  <c r="D25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8" i="3"/>
  <c r="R25" i="3"/>
  <c r="R40" i="3"/>
  <c r="R10" i="3"/>
  <c r="R26" i="3"/>
  <c r="R33" i="3"/>
  <c r="R17" i="3"/>
  <c r="R9" i="3"/>
  <c r="B33" i="3"/>
  <c r="B9" i="3"/>
  <c r="B18" i="3"/>
  <c r="B40" i="3"/>
  <c r="B25" i="3"/>
  <c r="B34" i="3"/>
  <c r="L6" i="3"/>
  <c r="J7" i="3"/>
  <c r="H8" i="3"/>
  <c r="F9" i="3"/>
  <c r="D10" i="3"/>
  <c r="B11" i="3"/>
  <c r="R11" i="3"/>
  <c r="P12" i="3"/>
  <c r="N13" i="3"/>
  <c r="L14" i="3"/>
  <c r="J15" i="3"/>
  <c r="H16" i="3"/>
  <c r="F17" i="3"/>
  <c r="D18" i="3"/>
  <c r="B19" i="3"/>
  <c r="R19" i="3"/>
  <c r="P20" i="3"/>
  <c r="N21" i="3"/>
  <c r="L22" i="3"/>
  <c r="J23" i="3"/>
  <c r="H24" i="3"/>
  <c r="F25" i="3"/>
  <c r="D26" i="3"/>
  <c r="B27" i="3"/>
  <c r="R27" i="3"/>
  <c r="P28" i="3"/>
  <c r="N29" i="3"/>
  <c r="L30" i="3"/>
  <c r="J31" i="3"/>
  <c r="H32" i="3"/>
  <c r="F33" i="3"/>
  <c r="D34" i="3"/>
  <c r="B35" i="3"/>
  <c r="R35" i="3"/>
  <c r="P36" i="3"/>
  <c r="N37" i="3"/>
  <c r="L38" i="3"/>
  <c r="J39" i="3"/>
  <c r="H40" i="3"/>
  <c r="N35" i="3"/>
  <c r="J37" i="3"/>
  <c r="J22" i="3"/>
  <c r="L29" i="3"/>
  <c r="J38" i="3"/>
  <c r="N6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L37" i="3"/>
  <c r="P6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21" i="3"/>
  <c r="L21" i="3"/>
  <c r="J30" i="3"/>
  <c r="B6" i="3"/>
  <c r="R6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N27" i="3"/>
  <c r="L13" i="3"/>
  <c r="N28" i="3"/>
  <c r="N36" i="3"/>
  <c r="D6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11" i="3"/>
  <c r="J13" i="3"/>
  <c r="N19" i="3"/>
  <c r="J29" i="3"/>
  <c r="J6" i="3"/>
  <c r="N12" i="3"/>
  <c r="J14" i="3"/>
  <c r="N20" i="3"/>
  <c r="F6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1" i="3" a="1"/>
  <c r="P41" i="3" s="1"/>
  <c r="H41" i="3" a="1"/>
  <c r="H41" i="3" s="1"/>
  <c r="F41" i="3" a="1"/>
  <c r="F41" i="3" s="1"/>
  <c r="L41" i="3" a="1"/>
  <c r="L41" i="3" s="1"/>
  <c r="N41" i="3" a="1"/>
  <c r="N41" i="3" s="1"/>
  <c r="J41" i="3" a="1"/>
  <c r="J41" i="3" s="1"/>
  <c r="D41" i="3" a="1"/>
  <c r="D41" i="3" s="1"/>
  <c r="B41" i="3" a="1"/>
  <c r="B41" i="3" s="1"/>
  <c r="R41" i="3" a="1"/>
  <c r="R41" i="3" s="1"/>
  <c r="E44" i="3" l="1"/>
  <c r="B44" i="6"/>
  <c r="B44" i="4"/>
  <c r="B44" i="7"/>
  <c r="B44" i="5"/>
  <c r="B44" i="3"/>
  <c r="C24" i="13" s="1"/>
  <c r="F44" i="3"/>
  <c r="X49" i="4" l="1" a="1"/>
  <c r="X49" i="4" s="1"/>
  <c r="X50" i="4" s="1"/>
  <c r="F52" i="6"/>
  <c r="H52" i="6" s="1"/>
  <c r="J52" i="6" s="1"/>
  <c r="F50" i="6"/>
  <c r="X49" i="6" s="1" a="1"/>
  <c r="X49" i="6" s="1"/>
  <c r="F52" i="5"/>
  <c r="H52" i="5" s="1"/>
  <c r="F50" i="5"/>
  <c r="F48" i="5"/>
  <c r="H48" i="5" s="1"/>
  <c r="F48" i="4"/>
  <c r="H48" i="4" s="1"/>
  <c r="F54" i="4"/>
  <c r="H54" i="4" s="1"/>
  <c r="F48" i="6"/>
  <c r="H48" i="6" s="1"/>
  <c r="J48" i="6" s="1"/>
  <c r="F50" i="7"/>
  <c r="X49" i="7" s="1" a="1"/>
  <c r="X49" i="7" s="1"/>
  <c r="G25" i="13" s="1"/>
  <c r="F48" i="7"/>
  <c r="F52" i="4"/>
  <c r="H52" i="4" s="1"/>
  <c r="F50" i="4"/>
  <c r="H50" i="4" s="1"/>
  <c r="F23" i="20"/>
  <c r="C31" i="13"/>
  <c r="G24" i="13"/>
  <c r="J23" i="20" s="1"/>
  <c r="D31" i="13"/>
  <c r="D24" i="13"/>
  <c r="G23" i="20" s="1"/>
  <c r="F31" i="13"/>
  <c r="F24" i="13"/>
  <c r="I23" i="20" s="1"/>
  <c r="E31" i="13"/>
  <c r="E24" i="13"/>
  <c r="H23" i="20" s="1"/>
  <c r="G59" i="3"/>
  <c r="K59" i="3" s="1"/>
  <c r="G58" i="3"/>
  <c r="F58" i="3"/>
  <c r="F68" i="3"/>
  <c r="H68" i="3" s="1"/>
  <c r="G61" i="3"/>
  <c r="K61" i="3" s="1"/>
  <c r="F66" i="3"/>
  <c r="H66" i="3" s="1"/>
  <c r="F56" i="3"/>
  <c r="H56" i="3" s="1"/>
  <c r="G57" i="3"/>
  <c r="K57" i="3" s="1"/>
  <c r="G60" i="3"/>
  <c r="G50" i="3"/>
  <c r="G51" i="3"/>
  <c r="K51" i="3" s="1"/>
  <c r="G62" i="3"/>
  <c r="G63" i="3"/>
  <c r="K63" i="3" s="1"/>
  <c r="G52" i="3"/>
  <c r="F50" i="3"/>
  <c r="H50" i="3" s="1"/>
  <c r="G53" i="3"/>
  <c r="K53" i="3" s="1"/>
  <c r="F52" i="3"/>
  <c r="H52" i="3" s="1"/>
  <c r="G56" i="3"/>
  <c r="G54" i="3"/>
  <c r="G67" i="3"/>
  <c r="K67" i="3" s="1"/>
  <c r="F54" i="3"/>
  <c r="G68" i="3"/>
  <c r="F62" i="3"/>
  <c r="G55" i="3"/>
  <c r="K55" i="3" s="1"/>
  <c r="G48" i="3"/>
  <c r="G64" i="3"/>
  <c r="F48" i="3"/>
  <c r="G65" i="3"/>
  <c r="K65" i="3" s="1"/>
  <c r="G69" i="3"/>
  <c r="K69" i="3" s="1"/>
  <c r="G66" i="3"/>
  <c r="F60" i="3"/>
  <c r="F64" i="3"/>
  <c r="G49" i="3"/>
  <c r="K49" i="3" s="1"/>
  <c r="H55" i="4"/>
  <c r="H49" i="4"/>
  <c r="H53" i="4"/>
  <c r="H51" i="4"/>
  <c r="G54" i="4"/>
  <c r="G52" i="4"/>
  <c r="G50" i="4"/>
  <c r="G48" i="4"/>
  <c r="G48" i="6"/>
  <c r="G50" i="6"/>
  <c r="G52" i="6"/>
  <c r="G48" i="7"/>
  <c r="G50" i="7"/>
  <c r="G50" i="5"/>
  <c r="G52" i="5"/>
  <c r="G48" i="5"/>
  <c r="B2" i="8"/>
  <c r="G26" i="8" s="1"/>
  <c r="H48" i="3" l="1"/>
  <c r="K48" i="3" s="1"/>
  <c r="X49" i="3" a="1"/>
  <c r="X49" i="3" s="1"/>
  <c r="X60" i="3" s="1"/>
  <c r="X49" i="5" a="1"/>
  <c r="X49" i="5" s="1"/>
  <c r="X55" i="5" s="1"/>
  <c r="H64" i="3"/>
  <c r="J64" i="3" s="1"/>
  <c r="H29" i="20"/>
  <c r="H27" i="20"/>
  <c r="H26" i="20"/>
  <c r="H25" i="20"/>
  <c r="H31" i="20"/>
  <c r="H28" i="20"/>
  <c r="H24" i="20"/>
  <c r="H34" i="20" s="1"/>
  <c r="H35" i="20" s="1"/>
  <c r="G24" i="20"/>
  <c r="G34" i="20" s="1"/>
  <c r="G35" i="20" s="1"/>
  <c r="G25" i="20"/>
  <c r="G28" i="20"/>
  <c r="G27" i="20"/>
  <c r="G29" i="20"/>
  <c r="G31" i="20"/>
  <c r="G26" i="20"/>
  <c r="J31" i="20"/>
  <c r="J25" i="20"/>
  <c r="J27" i="20"/>
  <c r="J29" i="20"/>
  <c r="J26" i="20"/>
  <c r="J28" i="20"/>
  <c r="J24" i="20"/>
  <c r="F24" i="20"/>
  <c r="F34" i="20" s="1"/>
  <c r="F35" i="20" s="1"/>
  <c r="F28" i="20"/>
  <c r="F31" i="20"/>
  <c r="F25" i="20"/>
  <c r="F26" i="20"/>
  <c r="F27" i="20"/>
  <c r="F29" i="20"/>
  <c r="I31" i="20"/>
  <c r="I27" i="20"/>
  <c r="I28" i="20"/>
  <c r="I24" i="20"/>
  <c r="I34" i="20" s="1"/>
  <c r="I35" i="20" s="1"/>
  <c r="I25" i="20"/>
  <c r="I26" i="20"/>
  <c r="I29" i="20"/>
  <c r="X60" i="7"/>
  <c r="H50" i="7"/>
  <c r="K50" i="7" s="1"/>
  <c r="H62" i="3"/>
  <c r="K62" i="3" s="1"/>
  <c r="C32" i="13"/>
  <c r="F32" i="13"/>
  <c r="F33" i="13"/>
  <c r="F37" i="13"/>
  <c r="F34" i="13"/>
  <c r="D33" i="13"/>
  <c r="D37" i="13"/>
  <c r="D34" i="13"/>
  <c r="D32" i="13"/>
  <c r="C37" i="13"/>
  <c r="C33" i="13"/>
  <c r="C34" i="13"/>
  <c r="E33" i="13"/>
  <c r="E37" i="13"/>
  <c r="E32" i="13"/>
  <c r="E34" i="13"/>
  <c r="H48" i="7"/>
  <c r="K48" i="7" s="1"/>
  <c r="H50" i="6"/>
  <c r="J50" i="6" s="1"/>
  <c r="X60" i="6" s="1"/>
  <c r="H50" i="5"/>
  <c r="J50" i="5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Z49" i="3" s="1"/>
  <c r="K52" i="5"/>
  <c r="J52" i="5"/>
  <c r="K48" i="5"/>
  <c r="J48" i="5"/>
  <c r="K50" i="3"/>
  <c r="J50" i="4"/>
  <c r="K50" i="4"/>
  <c r="K52" i="4"/>
  <c r="J52" i="4"/>
  <c r="K52" i="3"/>
  <c r="K56" i="3"/>
  <c r="J56" i="3"/>
  <c r="J52" i="3"/>
  <c r="G25" i="8"/>
  <c r="C25" i="8"/>
  <c r="C26" i="8"/>
  <c r="C21" i="8"/>
  <c r="J48" i="3" l="1"/>
  <c r="X62" i="3"/>
  <c r="X52" i="3" s="1"/>
  <c r="X63" i="3"/>
  <c r="X50" i="3"/>
  <c r="C25" i="13"/>
  <c r="X51" i="5"/>
  <c r="J34" i="20"/>
  <c r="J35" i="20" s="1"/>
  <c r="J41" i="20" s="1"/>
  <c r="J44" i="20" s="1"/>
  <c r="J47" i="20" s="1"/>
  <c r="J50" i="20" s="1"/>
  <c r="X51" i="3"/>
  <c r="X55" i="3"/>
  <c r="X56" i="3" s="1"/>
  <c r="X63" i="6"/>
  <c r="X53" i="6" s="1"/>
  <c r="X62" i="6"/>
  <c r="F28" i="13" s="1"/>
  <c r="F40" i="20"/>
  <c r="H36" i="20"/>
  <c r="J50" i="7"/>
  <c r="G39" i="20"/>
  <c r="G40" i="20"/>
  <c r="G41" i="20"/>
  <c r="G44" i="20" s="1"/>
  <c r="G47" i="20" s="1"/>
  <c r="G50" i="20" s="1"/>
  <c r="G36" i="20"/>
  <c r="H39" i="20"/>
  <c r="I41" i="20"/>
  <c r="I44" i="20" s="1"/>
  <c r="I47" i="20" s="1"/>
  <c r="I50" i="20" s="1"/>
  <c r="H41" i="20"/>
  <c r="H44" i="20" s="1"/>
  <c r="H47" i="20" s="1"/>
  <c r="H50" i="20" s="1"/>
  <c r="H40" i="20"/>
  <c r="F38" i="20"/>
  <c r="F36" i="20"/>
  <c r="F37" i="20"/>
  <c r="F41" i="20"/>
  <c r="F39" i="20"/>
  <c r="H37" i="20"/>
  <c r="G37" i="20"/>
  <c r="I37" i="20"/>
  <c r="I36" i="20"/>
  <c r="I40" i="20"/>
  <c r="I39" i="20"/>
  <c r="E25" i="13"/>
  <c r="F25" i="13"/>
  <c r="X72" i="6"/>
  <c r="X70" i="6"/>
  <c r="X74" i="6"/>
  <c r="X73" i="6"/>
  <c r="X71" i="6"/>
  <c r="X75" i="6"/>
  <c r="X67" i="6"/>
  <c r="X76" i="6"/>
  <c r="X77" i="6"/>
  <c r="X68" i="6"/>
  <c r="X69" i="6"/>
  <c r="X55" i="6"/>
  <c r="X56" i="6" s="1"/>
  <c r="J48" i="7"/>
  <c r="X51" i="6"/>
  <c r="X50" i="6"/>
  <c r="Z49" i="6"/>
  <c r="K50" i="6"/>
  <c r="K60" i="3"/>
  <c r="K50" i="5"/>
  <c r="K48" i="4"/>
  <c r="J62" i="3"/>
  <c r="K58" i="3"/>
  <c r="K54" i="3"/>
  <c r="K64" i="3"/>
  <c r="J50" i="3"/>
  <c r="J54" i="4"/>
  <c r="K54" i="4"/>
  <c r="C27" i="8"/>
  <c r="C28" i="8" s="1"/>
  <c r="G27" i="8"/>
  <c r="I51" i="8" s="1"/>
  <c r="H51" i="8" s="1"/>
  <c r="X54" i="3" l="1"/>
  <c r="C28" i="13" s="1"/>
  <c r="X52" i="6"/>
  <c r="Z52" i="6" s="1"/>
  <c r="X53" i="3"/>
  <c r="Z53" i="3" s="1"/>
  <c r="J37" i="20"/>
  <c r="J40" i="20"/>
  <c r="J39" i="20"/>
  <c r="J36" i="20"/>
  <c r="Z53" i="6"/>
  <c r="Z54" i="6"/>
  <c r="Z52" i="3"/>
  <c r="F44" i="20"/>
  <c r="F47" i="20" s="1"/>
  <c r="F50" i="20" s="1"/>
  <c r="H42" i="20"/>
  <c r="H45" i="20" s="1"/>
  <c r="H48" i="20" s="1"/>
  <c r="E16" i="13" s="1"/>
  <c r="H43" i="20"/>
  <c r="H46" i="20" s="1"/>
  <c r="H49" i="20" s="1"/>
  <c r="E17" i="13" s="1"/>
  <c r="G43" i="20"/>
  <c r="G46" i="20" s="1"/>
  <c r="G49" i="20" s="1"/>
  <c r="D17" i="13" s="1"/>
  <c r="F42" i="20"/>
  <c r="F45" i="20" s="1"/>
  <c r="G42" i="20"/>
  <c r="G45" i="20" s="1"/>
  <c r="G48" i="20" s="1"/>
  <c r="D16" i="13" s="1"/>
  <c r="F43" i="20"/>
  <c r="F46" i="20" s="1"/>
  <c r="F49" i="20" s="1"/>
  <c r="C17" i="13" s="1"/>
  <c r="I42" i="20"/>
  <c r="I45" i="20" s="1"/>
  <c r="I48" i="20" s="1"/>
  <c r="F16" i="13" s="1"/>
  <c r="I43" i="20"/>
  <c r="I46" i="20" s="1"/>
  <c r="I49" i="20" s="1"/>
  <c r="F17" i="13" s="1"/>
  <c r="X60" i="5"/>
  <c r="Z49" i="5"/>
  <c r="Z51" i="5"/>
  <c r="X50" i="5"/>
  <c r="Z50" i="5" s="1"/>
  <c r="E26" i="13" s="1"/>
  <c r="X57" i="5"/>
  <c r="Z50" i="6"/>
  <c r="F26" i="13" s="1"/>
  <c r="Z56" i="6"/>
  <c r="Z51" i="6"/>
  <c r="F27" i="13"/>
  <c r="X61" i="6"/>
  <c r="X58" i="6" s="1"/>
  <c r="E27" i="13"/>
  <c r="X60" i="4"/>
  <c r="D25" i="13"/>
  <c r="Z50" i="4"/>
  <c r="D26" i="13" s="1"/>
  <c r="Z49" i="4"/>
  <c r="X51" i="4"/>
  <c r="X55" i="4"/>
  <c r="X57" i="4" s="1"/>
  <c r="X57" i="6"/>
  <c r="Z55" i="6"/>
  <c r="X51" i="7"/>
  <c r="X50" i="7"/>
  <c r="Z50" i="7" s="1"/>
  <c r="G26" i="13" s="1"/>
  <c r="X55" i="7"/>
  <c r="Z49" i="7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J43" i="20" l="1"/>
  <c r="J46" i="20" s="1"/>
  <c r="J49" i="20" s="1"/>
  <c r="G17" i="13" s="1"/>
  <c r="X53" i="4"/>
  <c r="X52" i="4"/>
  <c r="J42" i="20"/>
  <c r="J45" i="20" s="1"/>
  <c r="J48" i="20" s="1"/>
  <c r="G16" i="13" s="1"/>
  <c r="Z54" i="3"/>
  <c r="X63" i="7"/>
  <c r="X53" i="7" s="1"/>
  <c r="X62" i="7"/>
  <c r="X62" i="4"/>
  <c r="D28" i="13" s="1"/>
  <c r="X63" i="4"/>
  <c r="X63" i="5"/>
  <c r="X53" i="5" s="1"/>
  <c r="X62" i="5"/>
  <c r="E28" i="13" s="1"/>
  <c r="F48" i="20"/>
  <c r="C16" i="13" s="1"/>
  <c r="X56" i="5"/>
  <c r="Z56" i="5" s="1"/>
  <c r="X68" i="5"/>
  <c r="X77" i="5"/>
  <c r="X69" i="5"/>
  <c r="X61" i="5"/>
  <c r="X58" i="5" s="1"/>
  <c r="X75" i="5"/>
  <c r="X74" i="5"/>
  <c r="X73" i="5"/>
  <c r="X72" i="5"/>
  <c r="X70" i="5"/>
  <c r="X71" i="5"/>
  <c r="Z55" i="5"/>
  <c r="X76" i="5"/>
  <c r="X67" i="5"/>
  <c r="Z51" i="3"/>
  <c r="Z50" i="3"/>
  <c r="C26" i="13" s="1"/>
  <c r="Y77" i="6"/>
  <c r="Y70" i="6"/>
  <c r="Y73" i="6"/>
  <c r="Y67" i="6"/>
  <c r="Y75" i="6"/>
  <c r="Y71" i="6"/>
  <c r="Y74" i="6"/>
  <c r="Y72" i="6"/>
  <c r="Y69" i="6"/>
  <c r="Y68" i="6"/>
  <c r="Y76" i="6"/>
  <c r="Z57" i="6"/>
  <c r="X56" i="4"/>
  <c r="Z55" i="4"/>
  <c r="X73" i="4"/>
  <c r="X75" i="4"/>
  <c r="X74" i="4"/>
  <c r="X68" i="4"/>
  <c r="X76" i="4"/>
  <c r="X69" i="4"/>
  <c r="X77" i="4"/>
  <c r="X70" i="4"/>
  <c r="X67" i="4"/>
  <c r="X71" i="4"/>
  <c r="X72" i="4"/>
  <c r="X61" i="7"/>
  <c r="X58" i="7" s="1"/>
  <c r="Z51" i="7"/>
  <c r="G27" i="13"/>
  <c r="X75" i="7"/>
  <c r="X68" i="7"/>
  <c r="X69" i="7"/>
  <c r="X77" i="7"/>
  <c r="X76" i="7"/>
  <c r="X70" i="7"/>
  <c r="X67" i="7"/>
  <c r="X71" i="7"/>
  <c r="X72" i="7"/>
  <c r="X73" i="7"/>
  <c r="X74" i="7"/>
  <c r="Z57" i="4"/>
  <c r="X61" i="4"/>
  <c r="X58" i="4" s="1"/>
  <c r="Z57" i="5"/>
  <c r="Z51" i="4"/>
  <c r="D27" i="13"/>
  <c r="Z56" i="3"/>
  <c r="X61" i="3"/>
  <c r="X57" i="3"/>
  <c r="X57" i="7"/>
  <c r="X56" i="7"/>
  <c r="Z56" i="7" s="1"/>
  <c r="Z55" i="7"/>
  <c r="C51" i="8"/>
  <c r="B51" i="8" s="1"/>
  <c r="J50" i="8"/>
  <c r="K50" i="8" s="1"/>
  <c r="D50" i="8"/>
  <c r="C34" i="8"/>
  <c r="G40" i="8"/>
  <c r="J52" i="8"/>
  <c r="I53" i="8"/>
  <c r="H53" i="8" s="1"/>
  <c r="X52" i="5" l="1"/>
  <c r="Z52" i="5" s="1"/>
  <c r="X52" i="7"/>
  <c r="Z52" i="7" s="1"/>
  <c r="G28" i="13"/>
  <c r="Z53" i="7"/>
  <c r="Z54" i="5"/>
  <c r="Z53" i="5"/>
  <c r="Z53" i="4"/>
  <c r="Z52" i="4"/>
  <c r="Z56" i="4"/>
  <c r="X58" i="3"/>
  <c r="Y73" i="5"/>
  <c r="X73" i="3"/>
  <c r="Y70" i="5"/>
  <c r="Y72" i="5"/>
  <c r="Y77" i="5"/>
  <c r="Y74" i="5"/>
  <c r="Y69" i="5"/>
  <c r="Y76" i="5"/>
  <c r="Y68" i="5"/>
  <c r="Y75" i="5"/>
  <c r="Y71" i="5"/>
  <c r="Y67" i="5"/>
  <c r="C27" i="13"/>
  <c r="Z55" i="3"/>
  <c r="X72" i="3"/>
  <c r="X76" i="3"/>
  <c r="X70" i="3"/>
  <c r="X68" i="3"/>
  <c r="X71" i="3"/>
  <c r="X77" i="3"/>
  <c r="X67" i="3"/>
  <c r="X75" i="3"/>
  <c r="X69" i="3"/>
  <c r="X74" i="3"/>
  <c r="Z54" i="4"/>
  <c r="Y70" i="7"/>
  <c r="Y67" i="7"/>
  <c r="Y72" i="7"/>
  <c r="Y71" i="7"/>
  <c r="Y73" i="7"/>
  <c r="Y74" i="7"/>
  <c r="Y75" i="7"/>
  <c r="Y68" i="7"/>
  <c r="Y76" i="7"/>
  <c r="Y69" i="7"/>
  <c r="Y77" i="7"/>
  <c r="Y68" i="4"/>
  <c r="Y76" i="4"/>
  <c r="Y77" i="4"/>
  <c r="Y70" i="4"/>
  <c r="Y67" i="4"/>
  <c r="Y69" i="4"/>
  <c r="Y71" i="4"/>
  <c r="Y72" i="4"/>
  <c r="Y73" i="4"/>
  <c r="Y74" i="4"/>
  <c r="Y75" i="4"/>
  <c r="Z57" i="7"/>
  <c r="Z57" i="3"/>
  <c r="Y72" i="3"/>
  <c r="Y73" i="3"/>
  <c r="Y74" i="3"/>
  <c r="Y75" i="3"/>
  <c r="Y68" i="3"/>
  <c r="Y76" i="3"/>
  <c r="Y69" i="3"/>
  <c r="Y77" i="3"/>
  <c r="Y70" i="3"/>
  <c r="Y67" i="3"/>
  <c r="Y71" i="3"/>
  <c r="Z58" i="6"/>
  <c r="D51" i="8"/>
  <c r="E50" i="8" s="1"/>
  <c r="C52" i="8"/>
  <c r="B52" i="8" s="1"/>
  <c r="K51" i="8"/>
  <c r="J53" i="8"/>
  <c r="K52" i="8" s="1"/>
  <c r="I54" i="8"/>
  <c r="H54" i="8" s="1"/>
  <c r="Z54" i="7" l="1"/>
  <c r="Z58" i="5"/>
  <c r="Z58" i="4"/>
  <c r="Z58" i="3"/>
  <c r="Z58" i="7"/>
  <c r="C53" i="8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 l="1"/>
  <c r="E57" i="8"/>
  <c r="B59" i="8"/>
  <c r="D59" i="8"/>
  <c r="C61" i="8"/>
  <c r="B61" i="8" s="1"/>
  <c r="D60" i="8"/>
  <c r="J60" i="8"/>
  <c r="K59" i="8" s="1"/>
  <c r="I61" i="8"/>
  <c r="H61" i="8" s="1"/>
  <c r="E59" i="8" l="1"/>
  <c r="C62" i="8"/>
  <c r="B62" i="8" s="1"/>
  <c r="D61" i="8"/>
  <c r="E60" i="8" s="1"/>
  <c r="E58" i="8"/>
  <c r="I62" i="8"/>
  <c r="H62" i="8" s="1"/>
  <c r="J61" i="8"/>
  <c r="K60" i="8" s="1"/>
  <c r="C63" i="8" l="1"/>
  <c r="D63" i="8" s="1"/>
  <c r="D62" i="8"/>
  <c r="E61" i="8" s="1"/>
  <c r="J62" i="8"/>
  <c r="K61" i="8" s="1"/>
  <c r="I63" i="8"/>
  <c r="H63" i="8" s="1"/>
  <c r="B63" i="8" l="1"/>
  <c r="E62" i="8" s="1"/>
  <c r="C64" i="8"/>
  <c r="C65" i="8" s="1"/>
  <c r="J63" i="8"/>
  <c r="K62" i="8" s="1"/>
  <c r="I64" i="8"/>
  <c r="H64" i="8" s="1"/>
  <c r="B64" i="8" l="1"/>
  <c r="D64" i="8"/>
  <c r="J64" i="8"/>
  <c r="K63" i="8" s="1"/>
  <c r="I65" i="8"/>
  <c r="H65" i="8" s="1"/>
  <c r="B65" i="8"/>
  <c r="D65" i="8"/>
  <c r="C66" i="8"/>
  <c r="E63" i="8" l="1"/>
  <c r="J65" i="8"/>
  <c r="K64" i="8" s="1"/>
  <c r="I66" i="8"/>
  <c r="H66" i="8" s="1"/>
  <c r="B66" i="8"/>
  <c r="D66" i="8"/>
  <c r="C67" i="8"/>
  <c r="E64" i="8"/>
  <c r="I67" i="8" l="1"/>
  <c r="H67" i="8" s="1"/>
  <c r="J66" i="8"/>
  <c r="K65" i="8" s="1"/>
  <c r="E65" i="8"/>
  <c r="B67" i="8"/>
  <c r="C68" i="8"/>
  <c r="D67" i="8"/>
  <c r="E66" i="8" l="1"/>
  <c r="J67" i="8"/>
  <c r="K66" i="8" s="1"/>
  <c r="I68" i="8"/>
  <c r="H68" i="8" s="1"/>
  <c r="B68" i="8"/>
  <c r="C69" i="8"/>
  <c r="D68" i="8"/>
  <c r="J68" i="8" l="1"/>
  <c r="K67" i="8" s="1"/>
  <c r="I69" i="8"/>
  <c r="H69" i="8" s="1"/>
  <c r="E67" i="8"/>
  <c r="D69" i="8"/>
  <c r="C70" i="8"/>
  <c r="B69" i="8"/>
  <c r="I70" i="8" l="1"/>
  <c r="H70" i="8" s="1"/>
  <c r="J69" i="8"/>
  <c r="K68" i="8" s="1"/>
  <c r="B70" i="8"/>
  <c r="D70" i="8"/>
  <c r="C71" i="8"/>
  <c r="E68" i="8"/>
  <c r="J70" i="8" l="1"/>
  <c r="K69" i="8" s="1"/>
  <c r="I71" i="8"/>
  <c r="H71" i="8" s="1"/>
  <c r="E69" i="8"/>
  <c r="B71" i="8"/>
  <c r="C72" i="8"/>
  <c r="D71" i="8"/>
  <c r="I72" i="8" l="1"/>
  <c r="H72" i="8" s="1"/>
  <c r="J71" i="8"/>
  <c r="K70" i="8" s="1"/>
  <c r="E70" i="8"/>
  <c r="C73" i="8"/>
  <c r="B72" i="8"/>
  <c r="D72" i="8"/>
  <c r="J72" i="8" l="1"/>
  <c r="K71" i="8" s="1"/>
  <c r="I73" i="8"/>
  <c r="H73" i="8" s="1"/>
  <c r="E71" i="8"/>
  <c r="B73" i="8"/>
  <c r="C74" i="8"/>
  <c r="D73" i="8"/>
  <c r="J73" i="8" l="1"/>
  <c r="K72" i="8" s="1"/>
  <c r="I74" i="8"/>
  <c r="H74" i="8" s="1"/>
  <c r="B74" i="8"/>
  <c r="C75" i="8"/>
  <c r="D74" i="8"/>
  <c r="E72" i="8"/>
  <c r="I75" i="8" l="1"/>
  <c r="H75" i="8" s="1"/>
  <c r="J74" i="8"/>
  <c r="K73" i="8" s="1"/>
  <c r="E73" i="8"/>
  <c r="C76" i="8"/>
  <c r="B75" i="8"/>
  <c r="D75" i="8"/>
  <c r="J75" i="8" l="1"/>
  <c r="K74" i="8" s="1"/>
  <c r="I76" i="8"/>
  <c r="H76" i="8" s="1"/>
  <c r="E74" i="8"/>
  <c r="B76" i="8"/>
  <c r="D76" i="8"/>
  <c r="C77" i="8"/>
  <c r="I77" i="8" l="1"/>
  <c r="H77" i="8" s="1"/>
  <c r="J76" i="8"/>
  <c r="K75" i="8" s="1"/>
  <c r="E75" i="8"/>
  <c r="C78" i="8"/>
  <c r="B77" i="8"/>
  <c r="D77" i="8"/>
  <c r="I78" i="8" l="1"/>
  <c r="H78" i="8" s="1"/>
  <c r="J77" i="8"/>
  <c r="K76" i="8" s="1"/>
  <c r="E76" i="8"/>
  <c r="B78" i="8"/>
  <c r="C79" i="8"/>
  <c r="D78" i="8"/>
  <c r="I79" i="8" l="1"/>
  <c r="H79" i="8" s="1"/>
  <c r="J78" i="8"/>
  <c r="K77" i="8" s="1"/>
  <c r="B79" i="8"/>
  <c r="C80" i="8"/>
  <c r="D79" i="8"/>
  <c r="E77" i="8"/>
  <c r="J79" i="8" l="1"/>
  <c r="K78" i="8" s="1"/>
  <c r="I80" i="8"/>
  <c r="H80" i="8" s="1"/>
  <c r="E78" i="8"/>
  <c r="C81" i="8"/>
  <c r="D80" i="8"/>
  <c r="B80" i="8"/>
  <c r="J80" i="8" l="1"/>
  <c r="K79" i="8" s="1"/>
  <c r="I81" i="8"/>
  <c r="H81" i="8" s="1"/>
  <c r="E79" i="8"/>
  <c r="B81" i="8"/>
  <c r="C82" i="8"/>
  <c r="D81" i="8"/>
  <c r="J81" i="8" l="1"/>
  <c r="K80" i="8" s="1"/>
  <c r="I82" i="8"/>
  <c r="H82" i="8" s="1"/>
  <c r="C83" i="8"/>
  <c r="D82" i="8"/>
  <c r="B82" i="8"/>
  <c r="E80" i="8"/>
  <c r="J82" i="8" l="1"/>
  <c r="K81" i="8" s="1"/>
  <c r="I83" i="8"/>
  <c r="H83" i="8" s="1"/>
  <c r="B83" i="8"/>
  <c r="D83" i="8"/>
  <c r="C84" i="8"/>
  <c r="E81" i="8"/>
  <c r="I84" i="8" l="1"/>
  <c r="H84" i="8" s="1"/>
  <c r="J83" i="8"/>
  <c r="K82" i="8" s="1"/>
  <c r="E82" i="8"/>
  <c r="B84" i="8"/>
  <c r="C85" i="8"/>
  <c r="D84" i="8"/>
  <c r="J84" i="8" l="1"/>
  <c r="K83" i="8" s="1"/>
  <c r="I85" i="8"/>
  <c r="H85" i="8" s="1"/>
  <c r="C86" i="8"/>
  <c r="D85" i="8"/>
  <c r="B85" i="8"/>
  <c r="E83" i="8"/>
  <c r="J85" i="8" l="1"/>
  <c r="K84" i="8" s="1"/>
  <c r="I86" i="8"/>
  <c r="H86" i="8" s="1"/>
  <c r="E84" i="8"/>
  <c r="D86" i="8"/>
  <c r="B86" i="8"/>
  <c r="C87" i="8"/>
  <c r="I87" i="8" l="1"/>
  <c r="H87" i="8" s="1"/>
  <c r="J86" i="8"/>
  <c r="K85" i="8" s="1"/>
  <c r="B87" i="8"/>
  <c r="C88" i="8"/>
  <c r="D87" i="8"/>
  <c r="E85" i="8"/>
  <c r="J87" i="8"/>
  <c r="I88" i="8" l="1"/>
  <c r="H88" i="8" s="1"/>
  <c r="E86" i="8"/>
  <c r="B88" i="8"/>
  <c r="D88" i="8"/>
  <c r="C89" i="8"/>
  <c r="K86" i="8"/>
  <c r="J88" i="8"/>
  <c r="I89" i="8" l="1"/>
  <c r="H89" i="8" s="1"/>
  <c r="E87" i="8"/>
  <c r="C90" i="8"/>
  <c r="B89" i="8"/>
  <c r="D89" i="8"/>
  <c r="J89" i="8"/>
  <c r="K87" i="8"/>
  <c r="K88" i="8" l="1"/>
  <c r="I90" i="8"/>
  <c r="H90" i="8" s="1"/>
  <c r="E88" i="8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I113" i="8"/>
  <c r="H113" i="8" s="1"/>
  <c r="J112" i="8"/>
  <c r="E111" i="8" l="1"/>
  <c r="B113" i="8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I127" i="8"/>
  <c r="H127" i="8" s="1"/>
  <c r="J126" i="8"/>
  <c r="K124" i="8"/>
  <c r="E125" i="8" l="1"/>
  <c r="C128" i="8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I172" i="8"/>
  <c r="H172" i="8" s="1"/>
  <c r="J171" i="8"/>
  <c r="E170" i="8" l="1"/>
  <c r="B172" i="8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1" i="8"/>
  <c r="I184" i="8"/>
  <c r="H184" i="8" s="1"/>
  <c r="J183" i="8"/>
  <c r="K181" i="8"/>
  <c r="E182" i="8" l="1"/>
  <c r="B184" i="8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I203" i="8"/>
  <c r="H203" i="8" s="1"/>
  <c r="J202" i="8"/>
  <c r="K200" i="8"/>
  <c r="E201" i="8" l="1"/>
  <c r="B203" i="8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E242" i="8" s="1"/>
  <c r="C244" i="8"/>
  <c r="I244" i="8"/>
  <c r="H244" i="8" s="1"/>
  <c r="J243" i="8"/>
  <c r="K242" i="8" l="1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I250" i="8"/>
  <c r="H250" i="8" s="1"/>
  <c r="J249" i="8"/>
  <c r="K247" i="8"/>
  <c r="E248" i="8" l="1"/>
  <c r="B250" i="8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K304" i="8"/>
  <c r="I307" i="8"/>
  <c r="H307" i="8" s="1"/>
  <c r="J306" i="8"/>
  <c r="K305" i="8" s="1"/>
  <c r="E305" i="8" l="1"/>
  <c r="D307" i="8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I334" i="8"/>
  <c r="H334" i="8" s="1"/>
  <c r="J333" i="8"/>
  <c r="K332" i="8" s="1"/>
  <c r="K331" i="8"/>
  <c r="E332" i="8" l="1"/>
  <c r="D334" i="8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I369" i="8"/>
  <c r="H369" i="8" s="1"/>
  <c r="J368" i="8"/>
  <c r="K367" i="8" s="1"/>
  <c r="K366" i="8"/>
  <c r="E367" i="8" l="1"/>
  <c r="D369" i="8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E380" i="8" s="1"/>
  <c r="I382" i="8"/>
  <c r="H382" i="8" s="1"/>
  <c r="J381" i="8"/>
  <c r="K380" i="8" l="1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K393" i="8"/>
  <c r="I396" i="8"/>
  <c r="H396" i="8" s="1"/>
  <c r="J395" i="8"/>
  <c r="K394" i="8" s="1"/>
  <c r="E394" i="8" l="1"/>
  <c r="B396" i="8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K424" i="8"/>
  <c r="I427" i="8"/>
  <c r="H427" i="8" s="1"/>
  <c r="J426" i="8"/>
  <c r="E425" i="8" l="1"/>
  <c r="B427" i="8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I441" i="8"/>
  <c r="H441" i="8" s="1"/>
  <c r="J440" i="8"/>
  <c r="E439" i="8" l="1"/>
  <c r="D441" i="8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E444" i="8" s="1"/>
  <c r="K443" i="8"/>
  <c r="I446" i="8"/>
  <c r="H446" i="8" s="1"/>
  <c r="J445" i="8"/>
  <c r="D446" i="8" l="1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I550" i="8"/>
  <c r="H550" i="8" s="1"/>
  <c r="J549" i="8"/>
  <c r="E548" i="8" l="1"/>
  <c r="B550" i="8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K568" i="8"/>
  <c r="I571" i="8"/>
  <c r="H571" i="8" s="1"/>
  <c r="J570" i="8"/>
  <c r="E569" i="8" l="1"/>
  <c r="B571" i="8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C627" i="8"/>
  <c r="K624" i="8"/>
  <c r="I627" i="8"/>
  <c r="H627" i="8" s="1"/>
  <c r="J626" i="8"/>
  <c r="K625" i="8" s="1"/>
  <c r="E625" i="8" l="1"/>
  <c r="B627" i="8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C643" i="8"/>
  <c r="I643" i="8"/>
  <c r="H643" i="8" s="1"/>
  <c r="J642" i="8"/>
  <c r="K641" i="8" s="1"/>
  <c r="K640" i="8"/>
  <c r="E641" i="8" l="1"/>
  <c r="B643" i="8"/>
  <c r="D643" i="8"/>
  <c r="C644" i="8"/>
  <c r="I644" i="8"/>
  <c r="H644" i="8" s="1"/>
  <c r="J643" i="8"/>
  <c r="C645" i="8" l="1"/>
  <c r="B644" i="8"/>
  <c r="D644" i="8"/>
  <c r="E642" i="8"/>
  <c r="K642" i="8"/>
  <c r="I645" i="8"/>
  <c r="H645" i="8" s="1"/>
  <c r="J644" i="8"/>
  <c r="E643" i="8" l="1"/>
  <c r="B645" i="8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E657" i="8" s="1"/>
  <c r="C659" i="8"/>
  <c r="I659" i="8"/>
  <c r="H659" i="8" s="1"/>
  <c r="J658" i="8"/>
  <c r="B659" i="8" l="1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5" i="8" s="1"/>
  <c r="E684" i="8"/>
  <c r="I687" i="8"/>
  <c r="H687" i="8" s="1"/>
  <c r="J686" i="8"/>
  <c r="K685" i="8" l="1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I696" i="8"/>
  <c r="H696" i="8" s="1"/>
  <c r="J695" i="8"/>
  <c r="E694" i="8" l="1"/>
  <c r="D696" i="8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I709" i="8"/>
  <c r="H709" i="8" s="1"/>
  <c r="J708" i="8"/>
  <c r="K706" i="8"/>
  <c r="E707" i="8" l="1"/>
  <c r="B709" i="8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E710" i="8" s="1"/>
  <c r="I712" i="8"/>
  <c r="H712" i="8" s="1"/>
  <c r="J711" i="8"/>
  <c r="K709" i="8"/>
  <c r="B712" i="8" l="1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E732" i="8" s="1"/>
  <c r="I734" i="8"/>
  <c r="H734" i="8" s="1"/>
  <c r="J733" i="8"/>
  <c r="K732" i="8" s="1"/>
  <c r="K731" i="8"/>
  <c r="D734" i="8" l="1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I758" i="8"/>
  <c r="H758" i="8" s="1"/>
  <c r="J757" i="8"/>
  <c r="K755" i="8"/>
  <c r="E756" i="8" l="1"/>
  <c r="D758" i="8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I765" i="8"/>
  <c r="H765" i="8" s="1"/>
  <c r="J764" i="8"/>
  <c r="K762" i="8"/>
  <c r="E763" i="8" l="1"/>
  <c r="B765" i="8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I773" i="8"/>
  <c r="H773" i="8" s="1"/>
  <c r="J772" i="8"/>
  <c r="K770" i="8"/>
  <c r="E771" i="8" l="1"/>
  <c r="B773" i="8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E785" i="8" s="1"/>
  <c r="C787" i="8"/>
  <c r="I787" i="8"/>
  <c r="H787" i="8" s="1"/>
  <c r="J786" i="8"/>
  <c r="B787" i="8" l="1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I844" i="8"/>
  <c r="H844" i="8" s="1"/>
  <c r="J843" i="8"/>
  <c r="K842" i="8" s="1"/>
  <c r="K841" i="8"/>
  <c r="E842" i="8" l="1"/>
  <c r="B844" i="8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I874" i="8"/>
  <c r="H874" i="8" s="1"/>
  <c r="J873" i="8"/>
  <c r="K871" i="8"/>
  <c r="E872" i="8" l="1"/>
  <c r="D874" i="8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C890" i="8"/>
  <c r="I890" i="8"/>
  <c r="H890" i="8" s="1"/>
  <c r="J889" i="8"/>
  <c r="E888" i="8" l="1"/>
  <c r="D890" i="8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6" i="8"/>
  <c r="K936" i="8"/>
  <c r="I939" i="8"/>
  <c r="H939" i="8" s="1"/>
  <c r="J938" i="8"/>
  <c r="E937" i="8" l="1"/>
  <c r="K937" i="8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I985" i="8"/>
  <c r="H985" i="8" s="1"/>
  <c r="J984" i="8"/>
  <c r="K983" i="8" s="1"/>
  <c r="E983" i="8" l="1"/>
  <c r="D985" i="8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C993" i="8"/>
  <c r="K990" i="8"/>
  <c r="I993" i="8"/>
  <c r="H993" i="8" s="1"/>
  <c r="J992" i="8"/>
  <c r="E991" i="8" l="1"/>
  <c r="B993" i="8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I1022" i="8"/>
  <c r="H1022" i="8" s="1"/>
  <c r="J1021" i="8"/>
  <c r="E1020" i="8" l="1"/>
  <c r="B1022" i="8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I1030" i="8"/>
  <c r="H1030" i="8" s="1"/>
  <c r="J1029" i="8"/>
  <c r="E1028" i="8" l="1"/>
  <c r="B1030" i="8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E1053" i="8" s="1"/>
  <c r="K1052" i="8"/>
  <c r="I1055" i="8"/>
  <c r="H1055" i="8" s="1"/>
  <c r="J1054" i="8"/>
  <c r="K1053" i="8" s="1"/>
  <c r="C1056" i="8" l="1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I1200" i="8"/>
  <c r="H1200" i="8" s="1"/>
  <c r="J1199" i="8"/>
  <c r="E1198" i="8" l="1"/>
  <c r="K1198" i="8"/>
  <c r="B1200" i="8"/>
  <c r="D1200" i="8"/>
  <c r="C1201" i="8"/>
  <c r="I1201" i="8"/>
  <c r="H1201" i="8" s="1"/>
  <c r="J1200" i="8"/>
  <c r="C1202" i="8" l="1"/>
  <c r="B1201" i="8"/>
  <c r="D1201" i="8"/>
  <c r="E1199" i="8"/>
  <c r="I1202" i="8"/>
  <c r="H1202" i="8" s="1"/>
  <c r="J1201" i="8"/>
  <c r="K1199" i="8"/>
  <c r="E1200" i="8" l="1"/>
  <c r="B1202" i="8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6" i="8"/>
  <c r="I1219" i="8"/>
  <c r="H1219" i="8" s="1"/>
  <c r="J1218" i="8"/>
  <c r="K1216" i="8"/>
  <c r="E1217" i="8" l="1"/>
  <c r="B1219" i="8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3" i="8"/>
  <c r="I1246" i="8"/>
  <c r="H1246" i="8" s="1"/>
  <c r="J1245" i="8"/>
  <c r="E1244" i="8" l="1"/>
  <c r="K1244" i="8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C1302" i="8"/>
  <c r="I1302" i="8"/>
  <c r="H1302" i="8" s="1"/>
  <c r="J1301" i="8"/>
  <c r="K1300" i="8" s="1"/>
  <c r="K1299" i="8"/>
  <c r="E1300" i="8" l="1"/>
  <c r="D1302" i="8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I1305" i="8"/>
  <c r="H1305" i="8" s="1"/>
  <c r="J1304" i="8"/>
  <c r="K1302" i="8"/>
  <c r="E1303" i="8" l="1"/>
  <c r="D1305" i="8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C1311" i="8"/>
  <c r="I1311" i="8"/>
  <c r="H1311" i="8" s="1"/>
  <c r="J1310" i="8"/>
  <c r="K1308" i="8"/>
  <c r="E1309" i="8" l="1"/>
  <c r="C1312" i="8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3" i="8"/>
  <c r="K1363" i="8"/>
  <c r="I1366" i="8"/>
  <c r="H1366" i="8" s="1"/>
  <c r="J1365" i="8"/>
  <c r="E1364" i="8" l="1"/>
  <c r="K1364" i="8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K1403" i="8"/>
  <c r="I1406" i="8"/>
  <c r="H1406" i="8" s="1"/>
  <c r="J1405" i="8"/>
  <c r="E1404" i="8" l="1"/>
  <c r="B1406" i="8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7" i="8"/>
  <c r="I1410" i="8"/>
  <c r="H1410" i="8" s="1"/>
  <c r="J1409" i="8"/>
  <c r="E1408" i="8" l="1"/>
  <c r="D1410" i="8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E1417" i="8" s="1"/>
  <c r="C1419" i="8"/>
  <c r="I1419" i="8"/>
  <c r="H1419" i="8" s="1"/>
  <c r="J1418" i="8"/>
  <c r="C1420" i="8" l="1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C1451" i="8"/>
  <c r="E1448" i="8"/>
  <c r="K1448" i="8"/>
  <c r="I1451" i="8"/>
  <c r="H1451" i="8" s="1"/>
  <c r="J1450" i="8"/>
  <c r="K1449" i="8" s="1"/>
  <c r="E1449" i="8" l="1"/>
  <c r="B1451" i="8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I1477" i="8"/>
  <c r="H1477" i="8" s="1"/>
  <c r="J1476" i="8"/>
  <c r="K1474" i="8"/>
  <c r="E1475" i="8" l="1"/>
  <c r="C1478" i="8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8" i="8"/>
  <c r="I1501" i="8"/>
  <c r="H1501" i="8" s="1"/>
  <c r="J1500" i="8"/>
  <c r="E1499" i="8" l="1"/>
  <c r="B1501" i="8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I1509" i="8"/>
  <c r="H1509" i="8" s="1"/>
  <c r="J1508" i="8"/>
  <c r="K1506" i="8"/>
  <c r="E1507" i="8" l="1"/>
  <c r="B1509" i="8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29" i="8"/>
  <c r="K1529" i="8"/>
  <c r="I1532" i="8"/>
  <c r="H1532" i="8" s="1"/>
  <c r="J1531" i="8"/>
  <c r="E1530" i="8" l="1"/>
  <c r="D1532" i="8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3" i="8"/>
  <c r="I1596" i="8"/>
  <c r="H1596" i="8" s="1"/>
  <c r="J1595" i="8"/>
  <c r="K1593" i="8"/>
  <c r="E1594" i="8" l="1"/>
  <c r="B1596" i="8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I1624" i="8"/>
  <c r="H1624" i="8" s="1"/>
  <c r="J1623" i="8"/>
  <c r="E1622" i="8" l="1"/>
  <c r="C1625" i="8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C1666" i="8"/>
  <c r="I1666" i="8"/>
  <c r="H1666" i="8" s="1"/>
  <c r="J1665" i="8"/>
  <c r="E1664" i="8" l="1"/>
  <c r="C1667" i="8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C1713" i="8"/>
  <c r="K1710" i="8"/>
  <c r="I1713" i="8"/>
  <c r="H1713" i="8" s="1"/>
  <c r="J1712" i="8"/>
  <c r="E1711" i="8" l="1"/>
  <c r="B1713" i="8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C1778" i="8"/>
  <c r="I1778" i="8"/>
  <c r="H1778" i="8" s="1"/>
  <c r="J1777" i="8"/>
  <c r="K1775" i="8"/>
  <c r="E1776" i="8" l="1"/>
  <c r="D1778" i="8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1" i="8"/>
  <c r="K1801" i="8"/>
  <c r="I1804" i="8"/>
  <c r="H1804" i="8" s="1"/>
  <c r="J1803" i="8"/>
  <c r="E1802" i="8" l="1"/>
  <c r="B1804" i="8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0" i="8"/>
  <c r="I1843" i="8"/>
  <c r="H1843" i="8" s="1"/>
  <c r="J1842" i="8"/>
  <c r="K1840" i="8"/>
  <c r="E1841" i="8" l="1"/>
  <c r="B1843" i="8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K1870" i="8"/>
  <c r="I1873" i="8"/>
  <c r="H1873" i="8" s="1"/>
  <c r="J1872" i="8"/>
  <c r="E1871" i="8" l="1"/>
  <c r="K1871" i="8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I1889" i="8"/>
  <c r="H1889" i="8" s="1"/>
  <c r="J1888" i="8"/>
  <c r="K1887" i="8" s="1"/>
  <c r="K1886" i="8"/>
  <c r="E1887" i="8" l="1"/>
  <c r="B1889" i="8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90" i="8" s="1"/>
  <c r="E1889" i="8"/>
  <c r="I1892" i="8"/>
  <c r="H1892" i="8" s="1"/>
  <c r="J1891" i="8"/>
  <c r="K1890" i="8" s="1"/>
  <c r="K1889" i="8"/>
  <c r="B1892" i="8" l="1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C1911" i="8"/>
  <c r="E1908" i="8"/>
  <c r="K1908" i="8"/>
  <c r="I1911" i="8"/>
  <c r="H1911" i="8" s="1"/>
  <c r="J1910" i="8"/>
  <c r="E1909" i="8" l="1"/>
  <c r="K1909" i="8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I1920" i="8"/>
  <c r="H1920" i="8" s="1"/>
  <c r="J1919" i="8"/>
  <c r="E1918" i="8" l="1"/>
  <c r="C1921" i="8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I1965" i="8"/>
  <c r="H1965" i="8" s="1"/>
  <c r="J1964" i="8"/>
  <c r="K1962" i="8"/>
  <c r="E1963" i="8" l="1"/>
  <c r="C1966" i="8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8" i="8"/>
  <c r="I2001" i="8"/>
  <c r="H2001" i="8" s="1"/>
  <c r="J2000" i="8"/>
  <c r="K1998" i="8"/>
  <c r="E1999" i="8" l="1"/>
  <c r="B2001" i="8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I2008" i="8"/>
  <c r="H2008" i="8" s="1"/>
  <c r="J2007" i="8"/>
  <c r="K2005" i="8"/>
  <c r="E2006" i="8" l="1"/>
  <c r="B2008" i="8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C2048" i="8"/>
  <c r="K2045" i="8"/>
  <c r="I2048" i="8"/>
  <c r="H2048" i="8" s="1"/>
  <c r="J2047" i="8"/>
  <c r="E2046" i="8" l="1"/>
  <c r="B2048" i="8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<sst xmlns="http://schemas.openxmlformats.org/spreadsheetml/2006/main" count="1155" uniqueCount="400">
  <si>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</si>
  <si>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</si>
  <si>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</si>
  <si>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</si>
  <si>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</si>
  <si>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</si>
  <si>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</si>
  <si>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</si>
  <si>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</si>
  <si>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</si>
  <si>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</si>
  <si>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</si>
  <si>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</si>
  <si>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</si>
  <si>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</si>
  <si>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</si>
  <si>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</si>
  <si>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</si>
  <si>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</si>
  <si>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</si>
  <si>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</si>
  <si>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</si>
  <si>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</si>
  <si>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</si>
  <si>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</si>
  <si>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</si>
  <si>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</si>
  <si>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</si>
  <si>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</si>
  <si>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</si>
  <si>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</si>
  <si>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</si>
  <si>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</si>
  <si>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</si>
  <si>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</si>
  <si>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</si>
  <si>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</si>
  <si>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</si>
  <si>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</si>
  <si>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</si>
  <si>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</si>
  <si>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</si>
  <si>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</si>
  <si>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</si>
  <si>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</si>
  <si>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</si>
  <si>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</si>
  <si>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</si>
  <si>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</si>
  <si>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</si>
  <si>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</si>
  <si>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</si>
  <si>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</si>
  <si>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</si>
  <si>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</si>
  <si>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</si>
  <si>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</si>
  <si>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</si>
  <si>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</si>
  <si>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</si>
  <si>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</si>
  <si>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</si>
  <si>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</si>
  <si>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</si>
  <si>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</si>
  <si>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</si>
  <si>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</si>
  <si>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</si>
  <si>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</si>
  <si>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</si>
  <si>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</si>
  <si>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</si>
  <si>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</si>
  <si>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</si>
  <si>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</si>
  <si>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</si>
  <si>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</si>
  <si>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</si>
  <si>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</si>
  <si>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</si>
  <si>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</si>
  <si>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</si>
  <si>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</si>
  <si>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</si>
  <si>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</si>
  <si>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</si>
  <si>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</si>
  <si>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</si>
  <si>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</si>
  <si>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</si>
  <si>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</si>
  <si>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</si>
  <si>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</si>
  <si>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</si>
  <si>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</si>
  <si>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</si>
  <si>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</si>
  <si>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</si>
  <si>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</si>
  <si>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</si>
  <si>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</si>
  <si>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</si>
  <si>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</si>
  <si>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</si>
  <si>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</si>
  <si>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</si>
  <si>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</si>
  <si>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</si>
  <si>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</si>
  <si>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</si>
  <si>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</si>
  <si>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</si>
  <si>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</si>
  <si>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</si>
  <si>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</si>
  <si>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</si>
  <si>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</si>
  <si>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</si>
  <si>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</si>
  <si>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</si>
  <si>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</si>
  <si>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</si>
  <si>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</si>
  <si>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</si>
  <si>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</si>
  <si>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</si>
  <si>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</si>
  <si>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</si>
  <si>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</si>
  <si>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</si>
  <si>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</si>
  <si>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</si>
  <si>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</si>
  <si>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</si>
  <si>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</si>
  <si>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</si>
  <si>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</si>
  <si>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</si>
  <si>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</si>
  <si>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</si>
  <si>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</si>
  <si>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</si>
  <si>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</si>
  <si>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</si>
  <si>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</si>
  <si>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</si>
  <si>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</si>
  <si>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</si>
  <si>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</si>
  <si>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</si>
  <si>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</si>
  <si>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</si>
  <si>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</si>
  <si>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</si>
  <si>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</si>
  <si>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</si>
  <si>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</si>
  <si>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</si>
  <si>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</si>
  <si>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</si>
  <si>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</si>
  <si>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</si>
  <si>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</si>
  <si>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</si>
  <si>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</si>
  <si>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</si>
  <si>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</si>
  <si>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</si>
  <si>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</si>
  <si>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</si>
  <si>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</si>
  <si>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</si>
  <si>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</si>
  <si>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</si>
  <si>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</si>
  <si>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</si>
  <si>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</si>
  <si>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</si>
  <si>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</si>
  <si>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</si>
  <si>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</si>
  <si>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</si>
  <si>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</si>
  <si>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</si>
  <si>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</si>
  <si>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</si>
  <si>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</si>
  <si>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</si>
  <si>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</si>
  <si>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</si>
  <si>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</si>
  <si>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</si>
  <si>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</si>
  <si>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</si>
  <si>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</si>
  <si>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</si>
  <si>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</si>
  <si>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</si>
  <si>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Type of mixing</t>
  </si>
  <si>
    <t>Vortex</t>
  </si>
  <si>
    <t>Vigorous</t>
  </si>
  <si>
    <t>General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</si>
  <si>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</si>
  <si>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</si>
  <si>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</si>
  <si>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</si>
  <si>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</si>
  <si>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</si>
  <si>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</si>
  <si>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</si>
  <si>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</si>
  <si>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</si>
  <si>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</si>
  <si>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</si>
  <si>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</si>
  <si>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</si>
  <si>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</si>
  <si>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</si>
  <si>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</si>
  <si>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</si>
  <si>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EN 1.4404 / 316L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</si>
  <si>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</si>
  <si>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</si>
  <si>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</si>
  <si>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</si>
  <si>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</si>
  <si>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</si>
  <si>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YES</t>
  </si>
  <si>
    <t>Reynolds Factor</t>
  </si>
  <si>
    <t>Pumping Number NQ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</si>
  <si>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</si>
  <si>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</si>
  <si>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</si>
  <si>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</si>
  <si>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</si>
  <si>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</si>
  <si>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(SS)</t>
  </si>
  <si>
    <t>Metric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</si>
  <si>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</si>
  <si>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</si>
  <si>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</si>
  <si>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</si>
  <si>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</si>
  <si>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</si>
  <si>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</si>
  <si>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</si>
  <si>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</si>
  <si>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</si>
  <si>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</si>
  <si>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</si>
  <si>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</si>
  <si>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</si>
  <si>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</si>
  <si>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</si>
  <si>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</si>
  <si>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</si>
  <si>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</si>
  <si>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</si>
  <si>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</si>
  <si>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</si>
  <si>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N/A</t>
  </si>
  <si>
    <t>Indicative blending time</t>
  </si>
  <si>
    <t>Mix Head and Tank Plate</t>
  </si>
  <si>
    <t>NA</t>
  </si>
  <si>
    <t>#14</t>
  </si>
  <si>
    <t>#15</t>
  </si>
  <si>
    <t>No choice</t>
  </si>
  <si>
    <t>All</t>
  </si>
  <si>
    <t>min</t>
  </si>
  <si>
    <t>IP67</t>
  </si>
  <si>
    <t>Example graph</t>
  </si>
  <si>
    <t>Dish Head Type</t>
  </si>
  <si>
    <t>Crown Radius (CR)</t>
  </si>
  <si>
    <t>Knuckleradius (KR)</t>
  </si>
  <si>
    <t>Dish height (DH)</t>
  </si>
  <si>
    <t>Code</t>
  </si>
  <si>
    <t>Torispherical acc. to DIN 28011 (SMS2634, Kloepper)</t>
  </si>
  <si>
    <t>Semi-elliptical head acc. to DIN 28013 (SMS 482, Korbbogen)</t>
  </si>
  <si>
    <t>SMS 895</t>
  </si>
  <si>
    <t>SMS 483</t>
  </si>
  <si>
    <t>Elliptical Head 2:1</t>
  </si>
  <si>
    <t>Elliptical Head 1.9:1</t>
  </si>
  <si>
    <t>Wall Thickness [t]</t>
  </si>
  <si>
    <t>Final Selected Mixer</t>
  </si>
  <si>
    <t>Outer Diameter (OD)</t>
  </si>
  <si>
    <t>Inner Diameter (ID)</t>
  </si>
  <si>
    <t>Knuckle Radius (KR)</t>
  </si>
  <si>
    <t>Dish Height (DH)</t>
  </si>
  <si>
    <t>Dish parameters</t>
  </si>
  <si>
    <t>Mixer parameters</t>
  </si>
  <si>
    <t>TP to top of FS (FS2)</t>
  </si>
  <si>
    <t>Top of MH</t>
  </si>
  <si>
    <t>Last drop</t>
  </si>
  <si>
    <t>Size</t>
  </si>
  <si>
    <t>Last Drop</t>
  </si>
  <si>
    <t>(L)</t>
  </si>
  <si>
    <t>Inner Radius (IR)</t>
  </si>
  <si>
    <t>DH1</t>
  </si>
  <si>
    <t>ρ</t>
  </si>
  <si>
    <t>FS3</t>
  </si>
  <si>
    <t>FSD</t>
  </si>
  <si>
    <t>FSH</t>
  </si>
  <si>
    <t>FSø/2</t>
  </si>
  <si>
    <t>TPø/2</t>
  </si>
  <si>
    <t>MHø/2</t>
  </si>
  <si>
    <t>ϕ (deg)</t>
  </si>
  <si>
    <t>a [mm]</t>
  </si>
  <si>
    <t>Female Sleeve  Radius (FSø/2)</t>
  </si>
  <si>
    <t>Female Sleeve Height (FS2)</t>
  </si>
  <si>
    <t>β (deg)</t>
  </si>
  <si>
    <t>Om FSH&lt;DH1:</t>
  </si>
  <si>
    <t>Min vol:</t>
  </si>
  <si>
    <t>Om DH1&lt;FSH&lt;DH:</t>
  </si>
  <si>
    <t>VD1</t>
  </si>
  <si>
    <t>VminD2</t>
  </si>
  <si>
    <t>VminLdisc</t>
  </si>
  <si>
    <t>Nästan rätt</t>
  </si>
  <si>
    <t>Biopharma - Upstream: Media prep - Floating powder mixing</t>
  </si>
  <si>
    <t>Biopharma - Upstream: Media prep - Sinking powder mixing</t>
  </si>
  <si>
    <t xml:space="preserve">Biopharma - Downstream: Buffer prep - Dissolve salt </t>
  </si>
  <si>
    <t>Biopharma - Downstream: Buffer storage - Keep suspension</t>
  </si>
  <si>
    <t>Biopharma - Downstream: Product hold - Shear sensitive</t>
  </si>
  <si>
    <t>Biopharma - Downstream: Final bulk - Keep suspension, Shear sensitive</t>
  </si>
  <si>
    <t>Biopharma - Downstream: Plasma pool - Ethanol mixing</t>
  </si>
  <si>
    <t xml:space="preserve">Pharma: Buffer prep - Dissolve salt </t>
  </si>
  <si>
    <t>Pharma: Buffer storage - Keep suspension</t>
  </si>
  <si>
    <t>Pharma: Product hold - Keep suspension, Non-shear sensitive</t>
  </si>
  <si>
    <t>Pharma: Final bulk - Keep suspension, Non-shear sensitive</t>
  </si>
  <si>
    <t>Pharma: Tablet coating - Oil based - emulsification</t>
  </si>
  <si>
    <t>Pharma: Tablet coating, cellulose, API reactor, Slurry, Additions, Co-stabilizer - Powder mixing</t>
  </si>
  <si>
    <t>Other mixing: Particle size reduction</t>
  </si>
  <si>
    <t>Other mixing:  Strong Acid or bases mixing in plastic vessel</t>
  </si>
  <si>
    <t>Other mixing:  Strong Acid or bases mixing in high alloy vessel</t>
  </si>
  <si>
    <t>#16</t>
  </si>
  <si>
    <t>#17</t>
  </si>
  <si>
    <t>#18</t>
  </si>
  <si>
    <t>Recommended 1st hand Mixer</t>
  </si>
  <si>
    <t>Recommended 2nd hand Mixer</t>
  </si>
  <si>
    <t>VminD2 rad</t>
  </si>
  <si>
    <t>VminD2 deg</t>
  </si>
  <si>
    <t>=(((($B$7*ARCTAN((($E$9-$B$8)/$B$7)*(180/PI()))/2))-$B$7*$E$9+$B$4*$E$9+($E$9-$B$8)*ROT($B$7^2-($E$9-$B$8)^2)/2)-($B$7*ARCTAN((($E$2-$B$8)/$B$7)*(180/PI()))/2))-$B$7*$E$2+$B$4*$E$2+($E$2-$B$8)*ROT($B$7^2-($E$2-$B$8)^2)/2))/1000000</t>
  </si>
  <si>
    <t>Om FSH&gt;DH:</t>
  </si>
  <si>
    <t>VD</t>
  </si>
  <si>
    <t>Vol dish</t>
  </si>
  <si>
    <t>Dish Type</t>
  </si>
  <si>
    <t>Last drop vol:</t>
  </si>
  <si>
    <t>Min vol</t>
  </si>
  <si>
    <t>MH/2</t>
  </si>
  <si>
    <t>Inner radius</t>
  </si>
  <si>
    <t>Outer diameter</t>
  </si>
  <si>
    <t>Maximum volume</t>
  </si>
  <si>
    <t>AL-6XN</t>
  </si>
  <si>
    <t>Alloy C276</t>
  </si>
  <si>
    <t>Alloy C22</t>
  </si>
  <si>
    <t>T</t>
  </si>
  <si>
    <t>EN 1.4529</t>
  </si>
  <si>
    <t>Center to KR (L)</t>
  </si>
  <si>
    <t>Dimensions up to top of cylinder (Maximum Volume)</t>
  </si>
  <si>
    <t>Mixers</t>
  </si>
  <si>
    <t>Min vol &amp; Last drop</t>
  </si>
  <si>
    <t>FS3 (min vol) [mm]</t>
  </si>
  <si>
    <t>FSD (min vol) [mm]</t>
  </si>
  <si>
    <t>FSD (last drop) [mm]</t>
  </si>
  <si>
    <t>FSH (min vol) [mm]</t>
  </si>
  <si>
    <t>FSH (last drop) [mm]</t>
  </si>
  <si>
    <t>FS3 (last drop) [mm]</t>
  </si>
  <si>
    <t>ρ (min vol) [deg]</t>
  </si>
  <si>
    <t>ρ (last drop) [deg]</t>
  </si>
  <si>
    <t>ρ (min vol ATEX) [deg]</t>
  </si>
  <si>
    <t>β [deg]</t>
  </si>
  <si>
    <t>ϕ [deg]</t>
  </si>
  <si>
    <t>MH/2 [mm]</t>
  </si>
  <si>
    <t>Last Drop height [mm]</t>
  </si>
  <si>
    <t>Female Sleeve Height (FS2) [mm]</t>
  </si>
  <si>
    <t>Female Sleeve  Radius (FSø/2) [mm]</t>
  </si>
  <si>
    <t>TPø/2 [mm]</t>
  </si>
  <si>
    <t>Height bottom dish (DH)</t>
  </si>
  <si>
    <t>Volume bottom dish (VD)</t>
  </si>
  <si>
    <t>Top of MH (TMH) [mm]</t>
  </si>
  <si>
    <t>MH3 (min vol ATEX) [mm]</t>
  </si>
  <si>
    <t>MHD (min vol ATEX) [mm]</t>
  </si>
  <si>
    <t>MHH (min vol ATEX) [mm]</t>
  </si>
  <si>
    <t>Other</t>
  </si>
  <si>
    <t>T95</t>
  </si>
  <si>
    <t>T99</t>
  </si>
  <si>
    <t>Minimum Continous working volume [L]</t>
  </si>
  <si>
    <t>Minimum Continous working volume ATEX [L]</t>
  </si>
  <si>
    <t>Last Drop mixing volume during drain [L]</t>
  </si>
  <si>
    <t>Max speed - Indicative blending-time 1</t>
  </si>
  <si>
    <t>Max speed - Indicative blending-time 2</t>
  </si>
  <si>
    <t>Explosion Proof</t>
  </si>
  <si>
    <t>The tank turnover and blending-time is indicative and can not be guaranteed. To evaluate and optimize this mixing configuration, a CFD simulation can be offered and/or mixing evaluation can be performed in Metenova's Application lab.</t>
  </si>
  <si>
    <t>Last drop mixing volume during drain*</t>
  </si>
  <si>
    <t>Minimum continous working volume*</t>
  </si>
  <si>
    <t>Recommended min speed (without Forced Cooling)</t>
  </si>
  <si>
    <t>EN 1.4435 / 316L</t>
  </si>
  <si>
    <t>EN 1.4539 / 904L</t>
  </si>
  <si>
    <t>Female Sleeve ID</t>
  </si>
  <si>
    <t>* Not applicable for ATEX Environment.
Calculations based on cylindrical vessel with torispherical heads according to DIN 28011.</t>
  </si>
  <si>
    <t>For more detailed product data, please see respectively datasheets for Mix Head, Female Sleeve, Male Post, Tank Plate and Drive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</si>
</sst>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303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37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39" xfId="0" applyFont="1" applyBorder="1" applyAlignment="1">
      <alignment horizontal="left" wrapText="1" readingOrder="1"/>
    </xf>
    <xf numFmtId="0" fontId="0" fillId="0" borderId="39" xfId="0" applyBorder="1" applyAlignment="1">
      <alignment wrapText="1"/>
    </xf>
    <xf numFmtId="0" fontId="1" fillId="0" borderId="39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0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1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24" xfId="0" applyFill="1" applyBorder="1"/>
    <xf numFmtId="0" fontId="0" fillId="3" borderId="50" xfId="0" applyFill="1" applyBorder="1"/>
    <xf numFmtId="0" fontId="0" fillId="3" borderId="47" xfId="0" applyFill="1" applyBorder="1"/>
    <xf numFmtId="0" fontId="0" fillId="3" borderId="49" xfId="0" applyFill="1" applyBorder="1"/>
    <xf numFmtId="0" fontId="13" fillId="0" borderId="51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2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0" fontId="0" fillId="3" borderId="52" xfId="0" applyFill="1" applyBorder="1"/>
    <xf numFmtId="0" fontId="0" fillId="3" borderId="45" xfId="0" applyFill="1" applyBorder="1" applyAlignment="1">
      <alignment wrapText="1"/>
    </xf>
    <xf numFmtId="2" fontId="0" fillId="10" borderId="5" xfId="0" applyNumberFormat="1" applyFill="1" applyBorder="1"/>
    <xf numFmtId="166" fontId="0" fillId="10" borderId="5" xfId="0" quotePrefix="1" applyNumberFormat="1" applyFill="1" applyBorder="1"/>
    <xf numFmtId="0" fontId="0" fillId="10" borderId="48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4" xfId="0" quotePrefix="1" applyNumberFormat="1" applyFill="1" applyBorder="1"/>
    <xf numFmtId="0" fontId="0" fillId="3" borderId="0" xfId="0" quotePrefix="1" applyFill="1" applyAlignment="1">
      <alignment wrapText="1"/>
    </xf>
    <xf numFmtId="165" fontId="0" fillId="10" borderId="5" xfId="0" quotePrefix="1" applyNumberFormat="1" applyFill="1" applyBorder="1"/>
    <xf numFmtId="165" fontId="0" fillId="3" borderId="0" xfId="0" applyNumberFormat="1" applyFill="1"/>
    <xf numFmtId="164" fontId="0" fillId="0" borderId="0" xfId="0" quotePrefix="1" applyNumberFormat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14" xfId="0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2" fontId="0" fillId="11" borderId="0" xfId="0" quotePrefix="1" applyNumberFormat="1" applyFill="1"/>
    <xf numFmtId="166" fontId="0" fillId="11" borderId="5" xfId="0" applyNumberFormat="1" applyFill="1" applyBorder="1"/>
    <xf numFmtId="2" fontId="0" fillId="11" borderId="5" xfId="0" applyNumberFormat="1" applyFill="1" applyBorder="1"/>
    <xf numFmtId="0" fontId="0" fillId="11" borderId="48" xfId="0" applyFill="1" applyBorder="1" applyAlignment="1">
      <alignment horizontal="right"/>
    </xf>
    <xf numFmtId="165" fontId="0" fillId="11" borderId="5" xfId="0" applyNumberFormat="1" applyFill="1" applyBorder="1"/>
    <xf numFmtId="1" fontId="0" fillId="11" borderId="5" xfId="0" applyNumberFormat="1" applyFill="1" applyBorder="1"/>
    <xf numFmtId="0" fontId="0" fillId="11" borderId="34" xfId="0" applyFill="1" applyBorder="1"/>
    <xf numFmtId="0" fontId="0" fillId="11" borderId="42" xfId="0" applyFill="1" applyBorder="1"/>
    <xf numFmtId="0" fontId="0" fillId="11" borderId="5" xfId="0" applyFill="1" applyBorder="1"/>
    <xf numFmtId="1" fontId="0" fillId="11" borderId="0" xfId="0" quotePrefix="1" applyNumberFormat="1" applyFill="1"/>
    <xf numFmtId="0" fontId="1" fillId="6" borderId="32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3" xfId="0" applyFont="1" applyFill="1" applyBorder="1" applyAlignment="1">
      <alignment horizontal="left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12" borderId="1" xfId="0" applyFill="1" applyBorder="1"/>
    <xf numFmtId="0" fontId="16" fillId="0" borderId="0" xfId="0" applyFont="1"/>
    <xf numFmtId="164" fontId="9" fillId="0" borderId="0" xfId="0" applyNumberFormat="1" applyFont="1"/>
    <xf numFmtId="0" fontId="9" fillId="0" borderId="0" xfId="0" applyFont="1"/>
    <xf numFmtId="0" fontId="0" fillId="10" borderId="25" xfId="0" applyFill="1" applyBorder="1"/>
    <xf numFmtId="0" fontId="0" fillId="10" borderId="27" xfId="0" quotePrefix="1" applyFill="1" applyBorder="1"/>
    <xf numFmtId="0" fontId="0" fillId="9" borderId="1" xfId="0" applyFill="1" applyBorder="1" applyAlignment="1">
      <alignment wrapText="1"/>
    </xf>
    <xf numFmtId="164" fontId="1" fillId="0" borderId="0" xfId="0" applyNumberFormat="1" applyFont="1"/>
    <xf numFmtId="0" fontId="1" fillId="0" borderId="22" xfId="0" applyFont="1" applyBorder="1" applyAlignment="1">
      <alignment wrapText="1"/>
    </xf>
    <xf numFmtId="0" fontId="1" fillId="0" borderId="28" xfId="0" applyFont="1" applyBorder="1"/>
    <xf numFmtId="0" fontId="1" fillId="0" borderId="40" xfId="0" applyFont="1" applyBorder="1"/>
    <xf numFmtId="0" fontId="1" fillId="0" borderId="22" xfId="0" applyFont="1" applyBorder="1"/>
    <xf numFmtId="0" fontId="0" fillId="0" borderId="8" xfId="0" applyBorder="1" applyAlignment="1">
      <alignment wrapText="1"/>
    </xf>
    <xf numFmtId="0" fontId="0" fillId="0" borderId="6" xfId="0" applyBorder="1"/>
    <xf numFmtId="0" fontId="0" fillId="0" borderId="8" xfId="0" applyBorder="1"/>
    <xf numFmtId="164" fontId="0" fillId="0" borderId="40" xfId="0" applyNumberFormat="1" applyBorder="1"/>
    <xf numFmtId="2" fontId="0" fillId="0" borderId="40" xfId="0" applyNumberFormat="1" applyBorder="1"/>
    <xf numFmtId="0" fontId="0" fillId="13" borderId="8" xfId="0" applyFill="1" applyBorder="1"/>
    <xf numFmtId="166" fontId="0" fillId="13" borderId="40" xfId="0" applyNumberFormat="1" applyFill="1" applyBorder="1"/>
    <xf numFmtId="2" fontId="0" fillId="13" borderId="40" xfId="0" applyNumberFormat="1" applyFill="1" applyBorder="1"/>
    <xf numFmtId="0" fontId="0" fillId="14" borderId="8" xfId="0" applyFill="1" applyBorder="1"/>
    <xf numFmtId="2" fontId="0" fillId="14" borderId="40" xfId="0" applyNumberFormat="1" applyFill="1" applyBorder="1"/>
    <xf numFmtId="166" fontId="0" fillId="14" borderId="40" xfId="0" applyNumberFormat="1" applyFill="1" applyBorder="1"/>
    <xf numFmtId="2" fontId="0" fillId="10" borderId="28" xfId="0" applyNumberFormat="1" applyFill="1" applyBorder="1"/>
    <xf numFmtId="0" fontId="0" fillId="15" borderId="8" xfId="0" applyFill="1" applyBorder="1"/>
    <xf numFmtId="2" fontId="0" fillId="15" borderId="22" xfId="0" applyNumberFormat="1" applyFill="1" applyBorder="1"/>
    <xf numFmtId="2" fontId="0" fillId="15" borderId="40" xfId="0" applyNumberFormat="1" applyFill="1" applyBorder="1"/>
    <xf numFmtId="166" fontId="0" fillId="15" borderId="40" xfId="0" applyNumberFormat="1" applyFill="1" applyBorder="1"/>
    <xf numFmtId="2" fontId="0" fillId="4" borderId="40" xfId="0" applyNumberFormat="1" applyFill="1" applyBorder="1"/>
    <xf numFmtId="2" fontId="0" fillId="16" borderId="22" xfId="0" applyNumberFormat="1" applyFill="1" applyBorder="1"/>
    <xf numFmtId="0" fontId="0" fillId="10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16" borderId="6" xfId="0" applyFill="1" applyBorder="1" applyAlignment="1">
      <alignment wrapText="1"/>
    </xf>
    <xf numFmtId="0" fontId="0" fillId="0" borderId="32" xfId="0" applyBorder="1" applyAlignment="1">
      <alignment wrapText="1"/>
    </xf>
    <xf numFmtId="0" fontId="0" fillId="3" borderId="23" xfId="0" applyFill="1" applyBorder="1"/>
    <xf numFmtId="0" fontId="0" fillId="3" borderId="4" xfId="0" applyFill="1" applyBorder="1"/>
    <xf numFmtId="0" fontId="0" fillId="10" borderId="43" xfId="0" applyFill="1" applyBorder="1"/>
    <xf numFmtId="166" fontId="0" fillId="10" borderId="44" xfId="0" applyNumberFormat="1" applyFill="1" applyBorder="1"/>
    <xf numFmtId="1" fontId="0" fillId="10" borderId="44" xfId="0" applyNumberFormat="1" applyFill="1" applyBorder="1"/>
    <xf numFmtId="0" fontId="0" fillId="0" borderId="33" xfId="0" applyBorder="1" applyAlignment="1">
      <alignment wrapText="1"/>
    </xf>
    <xf numFmtId="0" fontId="0" fillId="0" borderId="37" xfId="0" quotePrefix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39" xfId="0" quotePrefix="1" applyBorder="1" applyAlignment="1">
      <alignment wrapText="1"/>
    </xf>
    <xf numFmtId="0" fontId="0" fillId="0" borderId="51" xfId="0" applyBorder="1" applyAlignment="1">
      <alignment wrapText="1"/>
    </xf>
    <xf numFmtId="0" fontId="0" fillId="11" borderId="0" xfId="0" applyFill="1" applyAlignment="1">
      <alignment horizontal="right"/>
    </xf>
    <xf numFmtId="2" fontId="0" fillId="10" borderId="40" xfId="0" applyNumberFormat="1" applyFill="1" applyBorder="1" applyAlignment="1">
      <alignment horizontal="right"/>
    </xf>
    <xf numFmtId="2" fontId="0" fillId="10" borderId="44" xfId="0" applyNumberFormat="1" applyFill="1" applyBorder="1" applyAlignment="1">
      <alignment horizontal="right"/>
    </xf>
    <xf numFmtId="0" fontId="0" fillId="10" borderId="45" xfId="0" applyFill="1" applyBorder="1" applyAlignment="1">
      <alignment horizontal="right"/>
    </xf>
    <xf numFmtId="0" fontId="0" fillId="11" borderId="34" xfId="0" applyFill="1" applyBorder="1" applyAlignment="1">
      <alignment horizontal="right"/>
    </xf>
    <xf numFmtId="164" fontId="0" fillId="3" borderId="0" xfId="0" quotePrefix="1" applyNumberFormat="1" applyFill="1"/>
    <xf numFmtId="2" fontId="0" fillId="10" borderId="5" xfId="0" applyNumberFormat="1" applyFill="1" applyBorder="1" applyAlignment="1">
      <alignment horizontal="right"/>
    </xf>
    <xf numFmtId="0" fontId="0" fillId="10" borderId="42" xfId="0" applyFill="1" applyBorder="1" applyAlignment="1">
      <alignment horizontal="right"/>
    </xf>
    <xf numFmtId="166" fontId="0" fillId="10" borderId="5" xfId="0" quotePrefix="1" applyNumberFormat="1" applyFill="1" applyBorder="1" applyAlignment="1">
      <alignment horizontal="right"/>
    </xf>
    <xf numFmtId="0" fontId="0" fillId="11" borderId="42" xfId="0" applyFill="1" applyBorder="1" applyAlignment="1">
      <alignment horizontal="right"/>
    </xf>
    <xf numFmtId="166" fontId="0" fillId="11" borderId="5" xfId="0" applyNumberFormat="1" applyFill="1" applyBorder="1" applyAlignment="1">
      <alignment horizontal="right"/>
    </xf>
    <xf numFmtId="2" fontId="0" fillId="11" borderId="5" xfId="0" applyNumberFormat="1" applyFill="1" applyBorder="1" applyAlignment="1">
      <alignment horizontal="right"/>
    </xf>
    <xf numFmtId="166" fontId="0" fillId="10" borderId="5" xfId="0" applyNumberFormat="1" applyFill="1" applyBorder="1" applyAlignment="1">
      <alignment horizontal="right"/>
    </xf>
    <xf numFmtId="1" fontId="0" fillId="10" borderId="5" xfId="0" applyNumberFormat="1" applyFill="1" applyBorder="1" applyAlignment="1">
      <alignment horizontal="right"/>
    </xf>
    <xf numFmtId="0" fontId="0" fillId="11" borderId="5" xfId="0" applyFill="1" applyBorder="1" applyAlignment="1">
      <alignment horizontal="right"/>
    </xf>
    <xf numFmtId="165" fontId="0" fillId="11" borderId="5" xfId="0" applyNumberFormat="1" applyFill="1" applyBorder="1" applyAlignment="1">
      <alignment horizontal="right"/>
    </xf>
    <xf numFmtId="1" fontId="0" fillId="11" borderId="5" xfId="0" applyNumberFormat="1" applyFill="1" applyBorder="1" applyAlignment="1">
      <alignment horizontal="right"/>
    </xf>
    <xf numFmtId="0" fontId="0" fillId="0" borderId="10" xfId="0" applyBorder="1" applyAlignment="1">
      <alignment wrapText="1"/>
    </xf>
    <xf numFmtId="2" fontId="0" fillId="3" borderId="0" xfId="0" quotePrefix="1" applyNumberFormat="1" applyFill="1" applyAlignment="1">
      <alignment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7" fillId="0" borderId="54" xfId="0" applyFont="1" applyBorder="1" applyAlignment="1">
      <alignment wrapText="1"/>
    </xf>
    <xf numFmtId="0" fontId="17" fillId="0" borderId="55" xfId="0" applyFont="1" applyBorder="1" applyAlignment="1">
      <alignment wrapText="1"/>
    </xf>
    <xf numFmtId="0" fontId="17" fillId="0" borderId="56" xfId="0" applyFont="1" applyBorder="1" applyAlignment="1">
      <alignment wrapText="1"/>
    </xf>
    <xf numFmtId="0" fontId="1" fillId="6" borderId="32" xfId="0" applyFont="1" applyFill="1" applyBorder="1"/>
    <xf numFmtId="0" fontId="1" fillId="6" borderId="10" xfId="0" applyFont="1" applyFill="1" applyBorder="1"/>
    <xf numFmtId="0" fontId="1" fillId="6" borderId="33" xfId="0" applyFont="1" applyFill="1" applyBorder="1"/>
    <xf numFmtId="0" fontId="1" fillId="6" borderId="35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1" fillId="6" borderId="36" xfId="0" applyFont="1" applyFill="1" applyBorder="1" applyAlignment="1">
      <alignment wrapText="1"/>
    </xf>
    <xf numFmtId="0" fontId="18" fillId="0" borderId="32" xfId="0" applyFont="1" applyBorder="1" applyAlignment="1">
      <alignment horizontal="left" vertical="center" wrapText="1" readingOrder="1"/>
    </xf>
    <xf numFmtId="0" fontId="18" fillId="0" borderId="10" xfId="0" applyFont="1" applyBorder="1" applyAlignment="1">
      <alignment horizontal="left" vertical="center" wrapText="1" readingOrder="1"/>
    </xf>
    <xf numFmtId="0" fontId="18" fillId="0" borderId="33" xfId="0" applyFont="1" applyBorder="1" applyAlignment="1">
      <alignment horizontal="left" vertical="center" wrapText="1" readingOrder="1"/>
    </xf>
    <xf numFmtId="0" fontId="17" fillId="0" borderId="32" xfId="0" applyFont="1" applyBorder="1" applyAlignment="1">
      <alignment horizontal="left" wrapText="1"/>
    </xf>
    <xf numFmtId="0" fontId="17" fillId="0" borderId="10" xfId="0" applyFont="1" applyBorder="1" applyAlignment="1">
      <alignment horizontal="left" wrapText="1"/>
    </xf>
    <xf numFmtId="0" fontId="0" fillId="3" borderId="18" xfId="0" applyFill="1" applyBorder="1" applyAlignment="1">
      <alignment horizontal="center" vertical="center" textRotation="90" wrapText="1"/>
    </xf>
    <xf numFmtId="0" fontId="0" fillId="3" borderId="1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18" xfId="0" applyFill="1" applyBorder="1" applyAlignment="1">
      <alignment horizontal="center" textRotation="90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</cellXfs>
  <cellStyles count="2">
    <cellStyle name="Indata" xfId="1" builtinId="20"/>
    <cellStyle name="Normal" xfId="0" builtinId="0"/>
  </cellStyles>
  <dxfs count="8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ZG!$X$66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ZG!$X$67:$X$77</c:f>
              <c:numCache>
                <c:formatCode>0.00</c:formatCode>
                <c:ptCount val="11"/>
                <c:pt idx="0">
                  <c:v>0</c:v>
                </c:pt>
                <c:pt idx="1">
                  <c:v>0.28615154358658484</c:v>
                </c:pt>
                <c:pt idx="2">
                  <c:v>0.57230308717316969</c:v>
                </c:pt>
                <c:pt idx="3">
                  <c:v>0.85845463075975448</c:v>
                </c:pt>
                <c:pt idx="4">
                  <c:v>1.1446061743463394</c:v>
                </c:pt>
                <c:pt idx="5">
                  <c:v>1.4307577179329243</c:v>
                </c:pt>
                <c:pt idx="6">
                  <c:v>1.716909261519509</c:v>
                </c:pt>
                <c:pt idx="7">
                  <c:v>2.0030608051060939</c:v>
                </c:pt>
                <c:pt idx="8">
                  <c:v>2.2892123486926788</c:v>
                </c:pt>
                <c:pt idx="9">
                  <c:v>2.5753638922792637</c:v>
                </c:pt>
                <c:pt idx="10">
                  <c:v>2.8615154358658486</c:v>
                </c:pt>
              </c:numCache>
            </c:numRef>
          </c:xVal>
          <c:yVal>
            <c:numRef>
              <c:f>ZG!$W$67:$W$77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ZG!$Y$66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ZG!$Y$67:$Y$77</c:f>
              <c:numCache>
                <c:formatCode>0.00</c:formatCode>
                <c:ptCount val="11"/>
                <c:pt idx="0">
                  <c:v>0</c:v>
                </c:pt>
                <c:pt idx="1">
                  <c:v>0.28615154358658484</c:v>
                </c:pt>
                <c:pt idx="2">
                  <c:v>0.57230308717316969</c:v>
                </c:pt>
                <c:pt idx="3">
                  <c:v>0.85845463075975448</c:v>
                </c:pt>
                <c:pt idx="4">
                  <c:v>1.1446061743463394</c:v>
                </c:pt>
                <c:pt idx="5">
                  <c:v>1.4307577179329243</c:v>
                </c:pt>
                <c:pt idx="6">
                  <c:v>1.716909261519509</c:v>
                </c:pt>
                <c:pt idx="7">
                  <c:v>2.0030608051060939</c:v>
                </c:pt>
                <c:pt idx="8">
                  <c:v>2.2892123486926788</c:v>
                </c:pt>
                <c:pt idx="9">
                  <c:v>2.5753638922792637</c:v>
                </c:pt>
                <c:pt idx="10">
                  <c:v>2.8615154358658486</c:v>
                </c:pt>
              </c:numCache>
            </c:numRef>
          </c:xVal>
          <c:yVal>
            <c:numRef>
              <c:f>ZG!$W$67:$W$77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0</xdr:row>
      <xdr:rowOff>85725</xdr:rowOff>
    </xdr:from>
    <xdr:to>
      <xdr:col>9</xdr:col>
      <xdr:colOff>1019220</xdr:colOff>
      <xdr:row>19</xdr:row>
      <xdr:rowOff>76200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4B830643-4A6C-48A2-8462-04BB30AC1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85725"/>
          <a:ext cx="6336075" cy="5648325"/>
        </a:xfrm>
        <a:prstGeom prst="rect">
          <a:avLst/>
        </a:prstGeom>
      </xdr:spPr>
    </xdr:pic>
    <xdr:clientData/>
  </xdr:twoCellAnchor>
  <xdr:twoCellAnchor editAs="oneCell">
    <xdr:from>
      <xdr:col>11</xdr:col>
      <xdr:colOff>136071</xdr:colOff>
      <xdr:row>25</xdr:row>
      <xdr:rowOff>312965</xdr:rowOff>
    </xdr:from>
    <xdr:to>
      <xdr:col>25</xdr:col>
      <xdr:colOff>336690</xdr:colOff>
      <xdr:row>48</xdr:row>
      <xdr:rowOff>17419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889772F5-3BB9-5336-6C42-DCF33BF3F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0" y="7688036"/>
          <a:ext cx="9305702" cy="55789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1295400</xdr:colOff>
      <xdr:row>50</xdr:row>
      <xdr:rowOff>23812</xdr:rowOff>
    </xdr:from>
    <xdr:to>
      <xdr:col>36</xdr:col>
      <xdr:colOff>247650</xdr:colOff>
      <xdr:row>65</xdr:row>
      <xdr:rowOff>100012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15</xdr:row>
      <xdr:rowOff>228600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9" totalsRowShown="0" headerRowDxfId="87">
  <autoFilter ref="A1:F19" xr:uid="{7395098D-495A-41B3-9849-D9F205106A5A}"/>
  <tableColumns count="6">
    <tableColumn id="6" xr3:uid="{489E3052-5B45-41B4-AB09-0C67493C2916}" name="Process Code" dataDxfId="86"/>
    <tableColumn id="1" xr3:uid="{9EF84E1A-CE86-49D7-98DE-6EE5E9A9D0FC}" name="Main Mixing purpose" dataDxfId="85"/>
    <tableColumn id="2" xr3:uid="{A1253C65-3F32-49D4-BBAB-23DA70E29DF4}" name="Recommended 1st hand Mixer"/>
    <tableColumn id="3" xr3:uid="{54799859-032E-4A48-AF9F-7E28A5BE68EB}" name="Recommended 2nd hand Mixer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9" totalsRowShown="0">
  <autoFilter ref="A1:B9" xr:uid="{5C5F82A3-B193-4236-9755-7437394F0635}"/>
  <tableColumns count="2">
    <tableColumn id="1" xr3:uid="{5120345B-BF69-47DD-B4F9-BD0E766BC747}" name="Letter"/>
    <tableColumn id="2" xr3:uid="{FA0B64DB-AD8B-4B7F-8EF6-33E467969296}" name="Material variant" dataDxfId="8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83">
  <autoFilter ref="A1:A5" xr:uid="{CB1EDA48-69B9-403D-A645-3051FDDDC4AC}"/>
  <tableColumns count="1">
    <tableColumn id="1" xr3:uid="{000B208C-5652-4FBE-B808-A25AC178E1E4}" name="O-rings" dataDxfId="8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81">
  <autoFilter ref="A1:A3" xr:uid="{CB1EDA48-69B9-403D-A645-3051FDDDC4AC}"/>
  <tableColumns count="1">
    <tableColumn id="1" xr3:uid="{2BC780CA-1595-46DA-B773-836E8AFCF258}" name="O-rings" dataDxfId="8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BA4A7D-EA06-4441-B44D-9B412BC2C8E9}" name="Tabell36" displayName="Tabell36" ref="N1:T25" totalsRowShown="0" dataDxfId="79">
  <autoFilter ref="N1:T25" xr:uid="{DCBA4A7D-EA06-4441-B44D-9B412BC2C8E9}"/>
  <tableColumns count="7">
    <tableColumn id="1" xr3:uid="{EFD42274-27B2-4E2C-B37A-6F36CC9D1114}" name="Size" dataDxfId="78"/>
    <tableColumn id="2" xr3:uid="{32D7BE5C-6F65-47F5-BCAF-CADAAB981E50}" name="MHø/2" dataDxfId="77"/>
    <tableColumn id="3" xr3:uid="{E81BB297-D6EA-44B6-A48D-A19B0EA48A4E}" name="TPø/2" dataDxfId="76"/>
    <tableColumn id="4" xr3:uid="{903CD89D-6A66-42E0-8DF0-306BB2FC5DFE}" name="FSø/2" dataDxfId="75"/>
    <tableColumn id="5" xr3:uid="{8A29AF2F-EE26-450B-923D-845844E6905D}" name="TP to top of FS (FS2)" dataDxfId="74"/>
    <tableColumn id="6" xr3:uid="{6CD382B6-EB54-4927-9FEF-BC0AF3D16EDA}" name="Top of MH" dataDxfId="73"/>
    <tableColumn id="7" xr3:uid="{1DFFA767-69B3-4481-BC63-98E0B3B9A221}" name="Last drop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9E294-8A2A-4994-903E-2A532C975135}" name="Tabell3" displayName="Tabell3" ref="L1:R25" totalsRowShown="0" dataDxfId="71">
  <autoFilter ref="L1:R25" xr:uid="{10F9E294-8A2A-4994-903E-2A532C975135}"/>
  <tableColumns count="7">
    <tableColumn id="1" xr3:uid="{75275885-55D8-4C89-9CF9-7A78FA681AE5}" name="Size" dataDxfId="70"/>
    <tableColumn id="2" xr3:uid="{8A4E637C-A211-4A42-AD51-784B28F71A60}" name="MHø/2" dataDxfId="69"/>
    <tableColumn id="3" xr3:uid="{5040C413-BF57-4B34-9E94-695FAD43D1FF}" name="TPø/2" dataDxfId="68"/>
    <tableColumn id="4" xr3:uid="{7B8C4DD9-E389-4EBF-9CB4-A2F445647EF1}" name="FSø/2" dataDxfId="67"/>
    <tableColumn id="5" xr3:uid="{C4DBB129-CDE2-4C03-8238-D6262F72151D}" name="TP to top of FS (FS2)" dataDxfId="66"/>
    <tableColumn id="6" xr3:uid="{836AF688-6A25-4D34-8E7E-908B5E3DDF31}" name="Top of MH" dataDxfId="65"/>
    <tableColumn id="7" xr3:uid="{0A9A952D-6E44-47DD-8C83-13416D3EA1D2}" name="Last drop" dataDxfId="6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77CF5-92E4-47A9-AD43-690BDE3E1DE0}" name="Tabell2" displayName="Tabell2" ref="A1:H7" totalsRowShown="0">
  <autoFilter ref="A1:H7" xr:uid="{CEF77CF5-92E4-47A9-AD43-690BDE3E1DE0}"/>
  <tableColumns count="8">
    <tableColumn id="1" xr3:uid="{F363D2F3-6049-457F-A5F0-E5025EA47FB1}" name="Code"/>
    <tableColumn id="2" xr3:uid="{2EA88BB3-073C-411F-A63B-E6B29D012449}" name="Dish Head Type"/>
    <tableColumn id="3" xr3:uid="{3A385946-506A-45C6-A653-4DFB49711226}" name="Outer Diameter">
      <calculatedColumnFormula>$D$2+2*(Input!$D$10)</calculatedColumnFormula>
    </tableColumn>
    <tableColumn id="4" xr3:uid="{5BFF93C0-B9E8-4AF7-ACF3-9DC580E20763}" name="Inner diameter">
      <calculatedColumnFormula>Input!$D$9</calculatedColumnFormula>
    </tableColumn>
    <tableColumn id="5" xr3:uid="{F51BF6F4-04B8-42B2-8285-B28F94E4EFF6}" name="Crown Radius (CR)" dataDxfId="63"/>
    <tableColumn id="6" xr3:uid="{5AB54C33-1565-4475-B1E8-F1F74A6C3FED}" name="Knuckleradius (KR)" dataDxfId="62"/>
    <tableColumn id="7" xr3:uid="{E6264FDD-DFA5-4723-98C5-243E0FE382DA}" name="Dish height (DH)" dataDxfId="61"/>
    <tableColumn id="11" xr3:uid="{25A1DCC4-DD0B-4E79-991D-7CC0E458E528}" name="Vol dish" dataDxfId="6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P65"/>
  <sheetViews>
    <sheetView zoomScale="115" zoomScaleNormal="115" workbookViewId="0">
      <selection activeCell="G21" sqref="G21"/>
    </sheetView>
  </sheetViews>
  <sheetFormatPr defaultRowHeight="15" x14ac:dyDescent="0.25"/>
  <cols>
    <col min="2" max="2" width="13.85546875" customWidth="1"/>
    <col min="3" max="3" width="26.5703125" customWidth="1"/>
    <col min="4" max="4" width="18.7109375" bestFit="1" customWidth="1"/>
    <col min="5" max="5" width="17.5703125" bestFit="1" customWidth="1"/>
    <col min="6" max="6" width="18.28515625" bestFit="1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s="17"/>
      <c r="B1" s="17"/>
      <c r="C1" s="17"/>
      <c r="D1" s="17"/>
      <c r="E1" s="17"/>
      <c r="F1" s="17"/>
    </row>
    <row r="2" spans="1:16" x14ac:dyDescent="0.25">
      <c r="A2" s="17"/>
      <c r="B2" s="17"/>
      <c r="C2" s="262" t="s">
        <v>0</v>
      </c>
      <c r="D2" s="263"/>
      <c r="E2" s="264"/>
      <c r="F2" s="191"/>
      <c r="G2" s="82"/>
    </row>
    <row r="3" spans="1:16" x14ac:dyDescent="0.25">
      <c r="A3" s="17"/>
      <c r="B3" s="17"/>
      <c r="C3" s="120" t="s">
        <v>192</v>
      </c>
      <c r="D3" s="266" t="s">
        <v>206</v>
      </c>
      <c r="E3" s="266"/>
      <c r="F3" s="191"/>
      <c r="G3" s="53"/>
    </row>
    <row r="4" spans="1:16" x14ac:dyDescent="0.25">
      <c r="A4" s="17"/>
      <c r="B4" s="17"/>
      <c r="C4" s="120" t="s">
        <v>191</v>
      </c>
      <c r="D4" s="267"/>
      <c r="E4" s="267"/>
      <c r="F4" s="191"/>
    </row>
    <row r="5" spans="1:16" x14ac:dyDescent="0.25">
      <c r="A5" s="17"/>
      <c r="B5" s="17"/>
      <c r="C5" s="120" t="s">
        <v>190</v>
      </c>
      <c r="D5" s="267"/>
      <c r="E5" s="267"/>
      <c r="F5" s="191"/>
    </row>
    <row r="6" spans="1:16" x14ac:dyDescent="0.25">
      <c r="A6" s="17"/>
      <c r="B6" s="17"/>
      <c r="C6" s="120" t="s">
        <v>197</v>
      </c>
      <c r="D6" s="267"/>
      <c r="E6" s="267"/>
      <c r="F6" s="191"/>
    </row>
    <row r="7" spans="1:16" x14ac:dyDescent="0.25">
      <c r="A7" s="17"/>
      <c r="B7" s="17"/>
      <c r="C7" s="120" t="s">
        <v>194</v>
      </c>
      <c r="D7" s="267" t="s">
        <v>227</v>
      </c>
      <c r="E7" s="267"/>
      <c r="F7" s="191"/>
    </row>
    <row r="8" spans="1:16" x14ac:dyDescent="0.25">
      <c r="A8" s="17"/>
      <c r="B8" s="17"/>
      <c r="C8" s="120" t="s">
        <v>195</v>
      </c>
      <c r="D8" s="267" t="s">
        <v>227</v>
      </c>
      <c r="E8" s="267"/>
      <c r="F8" s="191"/>
    </row>
    <row r="9" spans="1:16" x14ac:dyDescent="0.25">
      <c r="A9" s="17"/>
      <c r="B9" s="17"/>
      <c r="C9" s="3" t="s">
        <v>1</v>
      </c>
      <c r="D9" s="3">
        <v>1650</v>
      </c>
      <c r="E9" s="3" t="s">
        <v>7</v>
      </c>
      <c r="F9" s="191"/>
    </row>
    <row r="10" spans="1:16" x14ac:dyDescent="0.25">
      <c r="A10" s="17"/>
      <c r="B10" s="17"/>
      <c r="C10" s="3" t="s">
        <v>154</v>
      </c>
      <c r="D10" s="3">
        <v>10</v>
      </c>
      <c r="E10" s="3" t="s">
        <v>7</v>
      </c>
      <c r="F10" s="191"/>
    </row>
    <row r="11" spans="1:16" x14ac:dyDescent="0.25">
      <c r="A11" s="17"/>
      <c r="B11" s="17"/>
      <c r="C11" s="3" t="s">
        <v>350</v>
      </c>
      <c r="D11" s="3">
        <v>500</v>
      </c>
      <c r="E11" s="3" t="s">
        <v>12</v>
      </c>
      <c r="F11" s="191"/>
    </row>
    <row r="12" spans="1:16" x14ac:dyDescent="0.25">
      <c r="A12" s="17"/>
      <c r="B12" s="17"/>
      <c r="C12" s="3" t="s">
        <v>2</v>
      </c>
      <c r="D12" s="3">
        <v>500</v>
      </c>
      <c r="E12" s="3" t="s">
        <v>12</v>
      </c>
      <c r="F12" s="191"/>
    </row>
    <row r="13" spans="1:16" x14ac:dyDescent="0.25">
      <c r="A13" s="17"/>
      <c r="B13" s="17"/>
      <c r="C13" s="3" t="s">
        <v>183</v>
      </c>
      <c r="D13" s="3" t="str">
        <f>IF($D$3=0,
"General",
VLOOKUP($D$3,Tabell15[],5,FALSE))</f>
        <v>General</v>
      </c>
      <c r="E13" s="3"/>
      <c r="F13" s="191"/>
    </row>
    <row r="14" spans="1:16" x14ac:dyDescent="0.25">
      <c r="A14" s="17"/>
      <c r="B14" s="17"/>
      <c r="C14" s="3" t="s">
        <v>4</v>
      </c>
      <c r="D14" s="3">
        <v>1000</v>
      </c>
      <c r="E14" s="3" t="s">
        <v>130</v>
      </c>
      <c r="F14" s="191"/>
    </row>
    <row r="15" spans="1:16" x14ac:dyDescent="0.25">
      <c r="A15" s="17"/>
      <c r="B15" s="17"/>
      <c r="C15" s="3" t="s">
        <v>3</v>
      </c>
      <c r="D15" s="3">
        <v>1</v>
      </c>
      <c r="E15" s="3" t="s">
        <v>131</v>
      </c>
      <c r="F15" s="191"/>
    </row>
    <row r="16" spans="1:16" x14ac:dyDescent="0.25">
      <c r="A16" s="17"/>
      <c r="B16" s="17"/>
      <c r="C16" s="266" t="s">
        <v>179</v>
      </c>
      <c r="D16" s="266"/>
      <c r="E16" s="266"/>
      <c r="F16" s="191"/>
      <c r="O16" s="3" t="s">
        <v>147</v>
      </c>
      <c r="P16" s="3"/>
    </row>
    <row r="17" spans="1:16" x14ac:dyDescent="0.25">
      <c r="A17" s="17"/>
      <c r="B17" s="17"/>
      <c r="C17" s="3" t="s">
        <v>236</v>
      </c>
      <c r="D17" s="3" t="s">
        <v>140</v>
      </c>
      <c r="E17" s="3"/>
      <c r="F17" s="191"/>
      <c r="O17" s="3" t="s">
        <v>142</v>
      </c>
      <c r="P17" s="3" t="s">
        <v>149</v>
      </c>
    </row>
    <row r="18" spans="1:16" x14ac:dyDescent="0.25">
      <c r="A18" s="17"/>
      <c r="B18" s="17"/>
      <c r="C18" s="266" t="s">
        <v>171</v>
      </c>
      <c r="D18" s="266"/>
      <c r="E18" s="266"/>
      <c r="F18" s="191"/>
      <c r="O18" s="3"/>
      <c r="P18" s="3"/>
    </row>
    <row r="19" spans="1:16" x14ac:dyDescent="0.25">
      <c r="A19" s="17"/>
      <c r="B19" s="17"/>
      <c r="C19" s="3" t="s">
        <v>142</v>
      </c>
      <c r="D19" s="3"/>
      <c r="E19" s="3"/>
      <c r="F19" s="191"/>
      <c r="O19" s="3"/>
      <c r="P19" s="3"/>
    </row>
    <row r="20" spans="1:16" x14ac:dyDescent="0.25">
      <c r="A20" s="17"/>
      <c r="B20" s="17"/>
      <c r="C20" s="3" t="s">
        <v>225</v>
      </c>
      <c r="D20" s="3" t="s">
        <v>240</v>
      </c>
      <c r="E20" s="3"/>
      <c r="F20" s="191"/>
      <c r="O20" s="3"/>
      <c r="P20" s="3"/>
    </row>
    <row r="21" spans="1:16" x14ac:dyDescent="0.25">
      <c r="A21" s="17"/>
      <c r="B21" s="17"/>
      <c r="C21" s="3" t="s">
        <v>390</v>
      </c>
      <c r="D21" s="125" t="s">
        <v>239</v>
      </c>
      <c r="E21" s="3"/>
      <c r="F21" s="191"/>
      <c r="O21" s="3"/>
      <c r="P21" s="3"/>
    </row>
    <row r="22" spans="1:16" x14ac:dyDescent="0.25">
      <c r="A22" s="17"/>
      <c r="B22" s="17"/>
      <c r="C22" s="3" t="s">
        <v>226</v>
      </c>
      <c r="D22" s="3" t="s">
        <v>227</v>
      </c>
      <c r="E22" s="3"/>
      <c r="F22" s="191"/>
      <c r="O22" s="3"/>
      <c r="P22" s="3"/>
    </row>
    <row r="23" spans="1:16" x14ac:dyDescent="0.25">
      <c r="A23" s="17"/>
      <c r="B23" s="17"/>
      <c r="C23" s="3" t="s">
        <v>238</v>
      </c>
      <c r="D23" s="3" t="s">
        <v>239</v>
      </c>
      <c r="E23" s="3"/>
      <c r="F23" s="191"/>
      <c r="O23" s="3"/>
      <c r="P23" s="3"/>
    </row>
    <row r="24" spans="1:16" x14ac:dyDescent="0.25">
      <c r="A24" s="17"/>
      <c r="B24" s="17"/>
      <c r="C24" s="3" t="s">
        <v>230</v>
      </c>
      <c r="D24" s="3" t="s">
        <v>241</v>
      </c>
      <c r="E24" s="3"/>
      <c r="F24" s="191"/>
      <c r="O24" s="3"/>
      <c r="P24" s="3"/>
    </row>
    <row r="25" spans="1:16" x14ac:dyDescent="0.25">
      <c r="A25" s="17"/>
      <c r="B25" s="17"/>
      <c r="C25" s="17"/>
      <c r="D25" s="17"/>
      <c r="E25" s="17"/>
      <c r="F25" s="191"/>
      <c r="O25" s="3"/>
      <c r="P25" s="3"/>
    </row>
    <row r="26" spans="1:16" x14ac:dyDescent="0.25">
      <c r="A26" s="17"/>
      <c r="B26" s="17"/>
      <c r="C26" s="17"/>
      <c r="D26" s="17"/>
      <c r="E26" s="17" t="s">
        <v>249</v>
      </c>
      <c r="F26" s="191"/>
      <c r="O26" s="3" t="s">
        <v>142</v>
      </c>
      <c r="P26" s="3" t="s">
        <v>152</v>
      </c>
    </row>
    <row r="27" spans="1:16" ht="20.100000000000001" customHeight="1" x14ac:dyDescent="0.25">
      <c r="A27" s="17"/>
      <c r="B27" s="265" t="s">
        <v>133</v>
      </c>
      <c r="C27" s="3" t="s">
        <v>231</v>
      </c>
      <c r="D27" s="3"/>
      <c r="E27" s="3"/>
      <c r="F27" s="191"/>
      <c r="O27" s="3" t="s">
        <v>142</v>
      </c>
      <c r="P27" s="3" t="s">
        <v>150</v>
      </c>
    </row>
    <row r="28" spans="1:16" ht="20.100000000000001" customHeight="1" x14ac:dyDescent="0.25">
      <c r="A28" s="17"/>
      <c r="B28" s="265"/>
      <c r="C28" s="3" t="s">
        <v>232</v>
      </c>
      <c r="D28" s="3"/>
      <c r="E28" s="3"/>
      <c r="F28" s="17"/>
      <c r="O28" s="3" t="s">
        <v>142</v>
      </c>
      <c r="P28" s="3" t="s">
        <v>151</v>
      </c>
    </row>
    <row r="29" spans="1:16" ht="20.100000000000001" customHeight="1" x14ac:dyDescent="0.25">
      <c r="A29" s="17"/>
      <c r="B29" s="265"/>
      <c r="C29" s="3" t="s">
        <v>233</v>
      </c>
      <c r="D29" s="3"/>
      <c r="E29" s="3"/>
      <c r="F29" s="17"/>
      <c r="O29" s="3" t="s">
        <v>148</v>
      </c>
      <c r="P29" s="3"/>
    </row>
    <row r="30" spans="1:16" ht="20.100000000000001" customHeight="1" x14ac:dyDescent="0.25">
      <c r="A30" s="17"/>
      <c r="B30" s="265"/>
      <c r="C30" s="3" t="s">
        <v>234</v>
      </c>
      <c r="D30" s="3" t="s">
        <v>31</v>
      </c>
      <c r="E30" s="3"/>
      <c r="F30" s="191"/>
      <c r="O30" s="3"/>
      <c r="P30" s="3"/>
    </row>
    <row r="31" spans="1:16" ht="20.100000000000001" customHeight="1" x14ac:dyDescent="0.25">
      <c r="A31" s="17"/>
      <c r="B31" s="265"/>
      <c r="C31" s="3" t="s">
        <v>235</v>
      </c>
      <c r="D31" s="3" t="s">
        <v>34</v>
      </c>
      <c r="E31" s="3"/>
      <c r="F31" s="191"/>
      <c r="O31" s="3"/>
      <c r="P31" s="3"/>
    </row>
    <row r="32" spans="1:16" x14ac:dyDescent="0.25">
      <c r="A32" s="17"/>
      <c r="B32" s="17"/>
      <c r="C32" s="17"/>
      <c r="D32" s="17"/>
      <c r="E32" s="17"/>
      <c r="F32" s="17"/>
    </row>
    <row r="33" spans="2:7" ht="30" x14ac:dyDescent="0.25">
      <c r="B33" s="192" t="s">
        <v>283</v>
      </c>
      <c r="C33" s="3" t="s">
        <v>26</v>
      </c>
    </row>
    <row r="35" spans="2:7" x14ac:dyDescent="0.25">
      <c r="B35" s="7"/>
      <c r="C35" s="11"/>
      <c r="D35" s="53"/>
      <c r="E35" s="53"/>
      <c r="F35" s="53"/>
      <c r="G35" s="53"/>
    </row>
    <row r="36" spans="2:7" x14ac:dyDescent="0.25">
      <c r="B36" s="121"/>
      <c r="C36" s="53"/>
    </row>
    <row r="37" spans="2:7" x14ac:dyDescent="0.25">
      <c r="B37" s="121"/>
      <c r="C37" s="53"/>
    </row>
    <row r="38" spans="2:7" x14ac:dyDescent="0.25">
      <c r="B38" s="121"/>
      <c r="C38" s="53"/>
    </row>
    <row r="39" spans="2:7" x14ac:dyDescent="0.25">
      <c r="B39" s="121"/>
      <c r="C39" s="53"/>
    </row>
    <row r="40" spans="2:7" x14ac:dyDescent="0.25">
      <c r="B40" s="121"/>
      <c r="C40" s="53"/>
    </row>
    <row r="41" spans="2:7" x14ac:dyDescent="0.25">
      <c r="B41" s="121"/>
      <c r="C41" s="53"/>
    </row>
    <row r="42" spans="2:7" x14ac:dyDescent="0.25">
      <c r="B42" s="121"/>
      <c r="C42" s="53"/>
    </row>
    <row r="43" spans="2:7" x14ac:dyDescent="0.25">
      <c r="B43" s="121"/>
      <c r="C43" s="53"/>
    </row>
    <row r="44" spans="2:7" x14ac:dyDescent="0.25">
      <c r="B44" s="121"/>
      <c r="C44" s="53"/>
    </row>
    <row r="45" spans="2:7" x14ac:dyDescent="0.25">
      <c r="B45" s="121"/>
      <c r="C45" s="53"/>
    </row>
    <row r="46" spans="2:7" x14ac:dyDescent="0.25">
      <c r="B46" s="121"/>
      <c r="C46" s="53"/>
    </row>
    <row r="47" spans="2:7" x14ac:dyDescent="0.25">
      <c r="B47" s="121"/>
      <c r="C47" s="53"/>
    </row>
    <row r="48" spans="2:7" x14ac:dyDescent="0.25">
      <c r="B48" s="121"/>
      <c r="C48" s="53"/>
    </row>
    <row r="49" spans="2:5" x14ac:dyDescent="0.25">
      <c r="B49" s="121"/>
      <c r="C49" s="53"/>
    </row>
    <row r="50" spans="2:5" ht="20.25" customHeight="1" x14ac:dyDescent="0.25">
      <c r="B50" s="261"/>
      <c r="C50" s="261"/>
    </row>
    <row r="52" spans="2:5" x14ac:dyDescent="0.25">
      <c r="E52" s="53"/>
    </row>
    <row r="53" spans="2:5" x14ac:dyDescent="0.25">
      <c r="E53" s="53"/>
    </row>
    <row r="54" spans="2:5" x14ac:dyDescent="0.25">
      <c r="E54" s="53"/>
    </row>
    <row r="55" spans="2:5" x14ac:dyDescent="0.25">
      <c r="E55" s="53"/>
    </row>
    <row r="63" spans="2:5" x14ac:dyDescent="0.25">
      <c r="C63" s="53"/>
    </row>
    <row r="64" spans="2:5" x14ac:dyDescent="0.25">
      <c r="C64" s="53"/>
    </row>
    <row r="65" spans="3:3" x14ac:dyDescent="0.25">
      <c r="C65" s="53"/>
    </row>
  </sheetData>
  <mergeCells count="11">
    <mergeCell ref="B50:C50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0E37AD2F-7E8B-4BE1-A1D3-5A299A3B381C}">
          <x14:formula1>
            <xm:f>'Main Mixing Purpose List'!$A$2:$A$19</xm:f>
          </x14:formula1>
          <xm:sqref>D3:E3</xm:sqref>
        </x14:dataValidation>
        <x14:dataValidation type="list" allowBlank="1" showInputMessage="1" showErrorMessage="1" xr:uid="{67FAD953-D8D5-425C-957C-BF34426CABC2}">
          <x14:formula1>
            <xm:f>'SS Material List'!$A$2:$A$9</xm:f>
          </x14:formula1>
          <xm:sqref>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8"/>
  <sheetViews>
    <sheetView zoomScale="115" zoomScaleNormal="115" workbookViewId="0">
      <selection activeCell="B7" sqref="B7"/>
    </sheetView>
  </sheetViews>
  <sheetFormatPr defaultRowHeight="15" x14ac:dyDescent="0.25"/>
  <cols>
    <col min="2" max="2" width="86.140625" bestFit="1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7" ht="30" x14ac:dyDescent="0.25">
      <c r="A1" s="7" t="s">
        <v>204</v>
      </c>
      <c r="B1" s="7" t="s">
        <v>203</v>
      </c>
      <c r="C1" s="53" t="s">
        <v>336</v>
      </c>
      <c r="D1" s="53" t="s">
        <v>337</v>
      </c>
      <c r="E1" s="53" t="s">
        <v>198</v>
      </c>
      <c r="F1" s="53" t="s">
        <v>199</v>
      </c>
    </row>
    <row r="2" spans="1:7" x14ac:dyDescent="0.25">
      <c r="A2" s="121" t="s">
        <v>205</v>
      </c>
      <c r="B2" s="53" t="s">
        <v>317</v>
      </c>
      <c r="C2" t="s">
        <v>125</v>
      </c>
      <c r="D2" t="s">
        <v>127</v>
      </c>
      <c r="E2" t="s">
        <v>200</v>
      </c>
      <c r="F2" t="s">
        <v>166</v>
      </c>
      <c r="G2" s="82"/>
    </row>
    <row r="3" spans="1:7" x14ac:dyDescent="0.25">
      <c r="A3" s="121" t="s">
        <v>206</v>
      </c>
      <c r="B3" s="53" t="s">
        <v>318</v>
      </c>
      <c r="C3" t="s">
        <v>125</v>
      </c>
      <c r="D3" t="s">
        <v>127</v>
      </c>
      <c r="E3" t="s">
        <v>201</v>
      </c>
      <c r="F3" t="s">
        <v>263</v>
      </c>
      <c r="G3" s="53"/>
    </row>
    <row r="4" spans="1:7" x14ac:dyDescent="0.25">
      <c r="A4" s="121" t="s">
        <v>207</v>
      </c>
      <c r="B4" s="53" t="s">
        <v>319</v>
      </c>
      <c r="C4" t="s">
        <v>125</v>
      </c>
      <c r="D4" t="s">
        <v>127</v>
      </c>
      <c r="E4" t="s">
        <v>200</v>
      </c>
      <c r="F4" t="s">
        <v>260</v>
      </c>
      <c r="G4" s="53"/>
    </row>
    <row r="5" spans="1:7" x14ac:dyDescent="0.25">
      <c r="A5" s="121" t="s">
        <v>208</v>
      </c>
      <c r="B5" s="53" t="s">
        <v>320</v>
      </c>
      <c r="C5" t="s">
        <v>125</v>
      </c>
      <c r="D5" t="s">
        <v>127</v>
      </c>
      <c r="E5" t="s">
        <v>201</v>
      </c>
      <c r="F5" t="s">
        <v>260</v>
      </c>
    </row>
    <row r="6" spans="1:7" x14ac:dyDescent="0.25">
      <c r="A6" s="121" t="s">
        <v>209</v>
      </c>
      <c r="B6" s="53" t="s">
        <v>321</v>
      </c>
      <c r="C6" t="s">
        <v>129</v>
      </c>
      <c r="D6" t="s">
        <v>125</v>
      </c>
      <c r="E6" t="s">
        <v>146</v>
      </c>
      <c r="F6" t="s">
        <v>196</v>
      </c>
    </row>
    <row r="7" spans="1:7" x14ac:dyDescent="0.25">
      <c r="A7" s="121" t="s">
        <v>210</v>
      </c>
      <c r="B7" s="53" t="s">
        <v>322</v>
      </c>
      <c r="C7" t="s">
        <v>129</v>
      </c>
      <c r="D7" t="s">
        <v>125</v>
      </c>
      <c r="E7" t="s">
        <v>146</v>
      </c>
      <c r="F7" t="s">
        <v>196</v>
      </c>
    </row>
    <row r="8" spans="1:7" x14ac:dyDescent="0.25">
      <c r="A8" s="121" t="s">
        <v>211</v>
      </c>
      <c r="B8" s="53" t="s">
        <v>323</v>
      </c>
      <c r="C8" t="s">
        <v>129</v>
      </c>
      <c r="D8" t="s">
        <v>125</v>
      </c>
      <c r="E8" t="s">
        <v>146</v>
      </c>
      <c r="F8" t="s">
        <v>196</v>
      </c>
    </row>
    <row r="9" spans="1:7" x14ac:dyDescent="0.25">
      <c r="A9" s="121" t="s">
        <v>212</v>
      </c>
      <c r="B9" s="53" t="s">
        <v>324</v>
      </c>
      <c r="C9" t="s">
        <v>125</v>
      </c>
      <c r="D9" t="s">
        <v>127</v>
      </c>
      <c r="E9" t="s">
        <v>200</v>
      </c>
      <c r="F9" t="s">
        <v>260</v>
      </c>
    </row>
    <row r="10" spans="1:7" x14ac:dyDescent="0.25">
      <c r="A10" s="121" t="s">
        <v>213</v>
      </c>
      <c r="B10" s="53" t="s">
        <v>325</v>
      </c>
      <c r="C10" t="s">
        <v>125</v>
      </c>
      <c r="D10" t="s">
        <v>127</v>
      </c>
      <c r="E10" t="s">
        <v>201</v>
      </c>
      <c r="F10" t="s">
        <v>260</v>
      </c>
    </row>
    <row r="11" spans="1:7" x14ac:dyDescent="0.25">
      <c r="A11" s="121" t="s">
        <v>214</v>
      </c>
      <c r="B11" s="53" t="s">
        <v>326</v>
      </c>
      <c r="C11" t="s">
        <v>125</v>
      </c>
      <c r="D11" t="s">
        <v>136</v>
      </c>
      <c r="E11" t="s">
        <v>201</v>
      </c>
      <c r="F11" t="s">
        <v>196</v>
      </c>
    </row>
    <row r="12" spans="1:7" x14ac:dyDescent="0.25">
      <c r="A12" s="121" t="s">
        <v>215</v>
      </c>
      <c r="B12" s="53" t="s">
        <v>327</v>
      </c>
      <c r="C12" t="s">
        <v>125</v>
      </c>
      <c r="D12" t="s">
        <v>136</v>
      </c>
      <c r="E12" t="s">
        <v>201</v>
      </c>
      <c r="F12" t="s">
        <v>196</v>
      </c>
    </row>
    <row r="13" spans="1:7" x14ac:dyDescent="0.25">
      <c r="A13" s="121" t="s">
        <v>216</v>
      </c>
      <c r="B13" s="53" t="s">
        <v>329</v>
      </c>
      <c r="C13" t="s">
        <v>127</v>
      </c>
      <c r="D13" t="s">
        <v>125</v>
      </c>
      <c r="E13" t="s">
        <v>200</v>
      </c>
      <c r="F13" t="s">
        <v>166</v>
      </c>
    </row>
    <row r="14" spans="1:7" x14ac:dyDescent="0.25">
      <c r="A14" s="121" t="s">
        <v>217</v>
      </c>
      <c r="B14" s="53" t="s">
        <v>328</v>
      </c>
      <c r="C14" t="s">
        <v>128</v>
      </c>
      <c r="D14" t="s">
        <v>136</v>
      </c>
      <c r="E14" t="s">
        <v>201</v>
      </c>
      <c r="F14" t="s">
        <v>166</v>
      </c>
    </row>
    <row r="15" spans="1:7" x14ac:dyDescent="0.25">
      <c r="A15" s="121" t="s">
        <v>264</v>
      </c>
      <c r="B15" s="53" t="s">
        <v>330</v>
      </c>
      <c r="C15" t="s">
        <v>128</v>
      </c>
      <c r="D15" t="s">
        <v>136</v>
      </c>
      <c r="E15" t="s">
        <v>201</v>
      </c>
      <c r="F15" t="s">
        <v>260</v>
      </c>
    </row>
    <row r="16" spans="1:7" x14ac:dyDescent="0.25">
      <c r="A16" s="121" t="s">
        <v>265</v>
      </c>
      <c r="B16" s="53" t="s">
        <v>331</v>
      </c>
      <c r="C16" t="s">
        <v>126</v>
      </c>
      <c r="D16" t="s">
        <v>136</v>
      </c>
      <c r="E16" t="s">
        <v>201</v>
      </c>
      <c r="F16" t="s">
        <v>260</v>
      </c>
    </row>
    <row r="17" spans="1:16" x14ac:dyDescent="0.25">
      <c r="A17" s="121" t="s">
        <v>333</v>
      </c>
      <c r="B17" s="53" t="s">
        <v>332</v>
      </c>
      <c r="C17" t="s">
        <v>267</v>
      </c>
      <c r="D17" t="s">
        <v>136</v>
      </c>
      <c r="E17" t="s">
        <v>201</v>
      </c>
      <c r="F17" t="s">
        <v>260</v>
      </c>
    </row>
    <row r="18" spans="1:16" x14ac:dyDescent="0.25">
      <c r="A18" s="121" t="s">
        <v>334</v>
      </c>
      <c r="B18" s="53" t="s">
        <v>202</v>
      </c>
      <c r="C18" t="s">
        <v>267</v>
      </c>
      <c r="E18" t="s">
        <v>201</v>
      </c>
      <c r="F18" t="s">
        <v>196</v>
      </c>
    </row>
    <row r="19" spans="1:16" x14ac:dyDescent="0.25">
      <c r="A19" s="121" t="s">
        <v>335</v>
      </c>
      <c r="B19" s="53" t="s">
        <v>266</v>
      </c>
      <c r="C19" t="s">
        <v>267</v>
      </c>
      <c r="E19" t="s">
        <v>201</v>
      </c>
      <c r="F19" t="s">
        <v>260</v>
      </c>
    </row>
    <row r="20" spans="1:16" x14ac:dyDescent="0.25">
      <c r="F20" s="53"/>
    </row>
    <row r="21" spans="1:16" x14ac:dyDescent="0.25">
      <c r="F21" s="53"/>
      <c r="O21" s="3" t="s">
        <v>147</v>
      </c>
      <c r="P21" s="3"/>
    </row>
    <row r="22" spans="1:16" x14ac:dyDescent="0.25">
      <c r="F22" s="53"/>
      <c r="O22" s="3" t="s">
        <v>142</v>
      </c>
      <c r="P22" s="3" t="s">
        <v>149</v>
      </c>
    </row>
    <row r="23" spans="1:16" x14ac:dyDescent="0.25">
      <c r="F23" s="53"/>
      <c r="O23" s="3"/>
      <c r="P23" s="3"/>
    </row>
    <row r="24" spans="1:16" x14ac:dyDescent="0.25">
      <c r="F24" s="53"/>
      <c r="O24" s="3"/>
      <c r="P24" s="3"/>
    </row>
    <row r="25" spans="1:16" x14ac:dyDescent="0.25">
      <c r="F25" s="53"/>
      <c r="O25" s="3"/>
      <c r="P25" s="3"/>
    </row>
    <row r="26" spans="1:16" x14ac:dyDescent="0.25">
      <c r="F26" s="53"/>
      <c r="O26" s="3"/>
      <c r="P26" s="3"/>
    </row>
    <row r="27" spans="1:16" x14ac:dyDescent="0.25">
      <c r="F27" s="53"/>
      <c r="O27" s="3"/>
      <c r="P27" s="3"/>
    </row>
    <row r="28" spans="1:16" x14ac:dyDescent="0.25">
      <c r="F28" s="53"/>
      <c r="O28" s="3"/>
      <c r="P28" s="3"/>
    </row>
    <row r="29" spans="1:16" x14ac:dyDescent="0.25">
      <c r="F29" s="53"/>
      <c r="O29" s="3" t="s">
        <v>142</v>
      </c>
      <c r="P29" s="3" t="s">
        <v>152</v>
      </c>
    </row>
    <row r="30" spans="1:16" ht="20.100000000000001" customHeight="1" x14ac:dyDescent="0.25">
      <c r="B30" s="128"/>
      <c r="F30" s="53"/>
      <c r="O30" s="3" t="s">
        <v>142</v>
      </c>
      <c r="P30" s="3" t="s">
        <v>150</v>
      </c>
    </row>
    <row r="31" spans="1:16" ht="20.100000000000001" customHeight="1" x14ac:dyDescent="0.25">
      <c r="B31" s="128"/>
      <c r="O31" s="3" t="s">
        <v>142</v>
      </c>
      <c r="P31" s="3" t="s">
        <v>151</v>
      </c>
    </row>
    <row r="32" spans="1:16" ht="20.100000000000001" customHeight="1" x14ac:dyDescent="0.25">
      <c r="B32" s="128"/>
      <c r="O32" s="3" t="s">
        <v>148</v>
      </c>
      <c r="P32" s="3"/>
    </row>
    <row r="33" spans="2:16" ht="20.100000000000001" customHeight="1" x14ac:dyDescent="0.25">
      <c r="B33" s="128"/>
      <c r="O33" s="3"/>
      <c r="P33" s="3"/>
    </row>
    <row r="34" spans="2:16" ht="20.100000000000001" customHeight="1" x14ac:dyDescent="0.25">
      <c r="B34" s="128"/>
      <c r="O34" s="3"/>
      <c r="P34" s="3"/>
    </row>
    <row r="52" spans="2:5" x14ac:dyDescent="0.25">
      <c r="B52" s="121"/>
      <c r="C52" s="53"/>
    </row>
    <row r="53" spans="2:5" ht="20.25" customHeight="1" x14ac:dyDescent="0.25">
      <c r="B53" s="261"/>
      <c r="C53" s="261"/>
    </row>
    <row r="55" spans="2:5" x14ac:dyDescent="0.25">
      <c r="E55" s="53"/>
    </row>
    <row r="56" spans="2:5" x14ac:dyDescent="0.25">
      <c r="E56" s="53"/>
    </row>
    <row r="57" spans="2:5" x14ac:dyDescent="0.25">
      <c r="E57" s="53"/>
    </row>
    <row r="58" spans="2:5" x14ac:dyDescent="0.25">
      <c r="E58" s="53"/>
    </row>
    <row r="66" spans="3:3" x14ac:dyDescent="0.25">
      <c r="C66" s="53"/>
    </row>
    <row r="67" spans="3:3" x14ac:dyDescent="0.25">
      <c r="C67" s="53"/>
    </row>
    <row r="68" spans="3:3" x14ac:dyDescent="0.25">
      <c r="C68" s="53"/>
    </row>
  </sheetData>
  <mergeCells count="1">
    <mergeCell ref="B53:C53"/>
  </mergeCells>
  <phoneticPr fontId="15" type="noConversion"/>
  <dataValidations disablePrompts="1" count="4">
    <dataValidation type="list" allowBlank="1" showInputMessage="1" showErrorMessage="1" sqref="D25" xr:uid="{EEC9F5A3-4E1D-4C83-B9E0-EBC28A88747B}">
      <formula1>"IP55,IP66"</formula1>
    </dataValidation>
    <dataValidation type="list" allowBlank="1" showInputMessage="1" showErrorMessage="1" sqref="D24" xr:uid="{6E0BD13F-7DA3-4248-BF1C-982B05EB305E}">
      <formula1>$E$55:$E$58</formula1>
    </dataValidation>
    <dataValidation type="list" allowBlank="1" showInputMessage="1" showErrorMessage="1" sqref="D22" xr:uid="{8BEF27F3-F1C1-4902-8EDD-98960E23A4E1}">
      <formula1>$B$55:$B$68</formula1>
    </dataValidation>
    <dataValidation type="list" allowBlank="1" showInputMessage="1" showErrorMessage="1" sqref="D26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46"/>
  <sheetViews>
    <sheetView zoomScale="115" zoomScaleNormal="115" workbookViewId="0">
      <selection activeCell="B11" sqref="B11"/>
    </sheetView>
  </sheetViews>
  <sheetFormatPr defaultRowHeight="15" x14ac:dyDescent="0.25"/>
  <cols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218</v>
      </c>
      <c r="B1" t="s">
        <v>219</v>
      </c>
      <c r="G1" s="82"/>
    </row>
    <row r="2" spans="1:16" x14ac:dyDescent="0.25">
      <c r="A2" t="s">
        <v>136</v>
      </c>
      <c r="B2" t="s">
        <v>220</v>
      </c>
      <c r="G2" s="53"/>
    </row>
    <row r="3" spans="1:16" x14ac:dyDescent="0.25">
      <c r="A3" t="s">
        <v>138</v>
      </c>
      <c r="B3" t="s">
        <v>395</v>
      </c>
    </row>
    <row r="4" spans="1:16" x14ac:dyDescent="0.25">
      <c r="A4" t="s">
        <v>139</v>
      </c>
      <c r="B4" t="s">
        <v>396</v>
      </c>
    </row>
    <row r="5" spans="1:16" x14ac:dyDescent="0.25">
      <c r="A5" t="s">
        <v>72</v>
      </c>
      <c r="B5" t="s">
        <v>353</v>
      </c>
    </row>
    <row r="6" spans="1:16" x14ac:dyDescent="0.25">
      <c r="A6" t="s">
        <v>140</v>
      </c>
      <c r="B6" t="s">
        <v>352</v>
      </c>
    </row>
    <row r="7" spans="1:16" x14ac:dyDescent="0.25">
      <c r="A7" t="s">
        <v>141</v>
      </c>
      <c r="B7" t="s">
        <v>351</v>
      </c>
    </row>
    <row r="8" spans="1:16" x14ac:dyDescent="0.25">
      <c r="A8" t="s">
        <v>354</v>
      </c>
      <c r="B8" t="s">
        <v>355</v>
      </c>
    </row>
    <row r="9" spans="1:16" x14ac:dyDescent="0.25">
      <c r="B9" s="53" t="s">
        <v>382</v>
      </c>
    </row>
    <row r="10" spans="1:16" x14ac:dyDescent="0.25">
      <c r="F10" s="53"/>
      <c r="O10" s="3" t="s">
        <v>142</v>
      </c>
      <c r="P10" s="3" t="s">
        <v>149</v>
      </c>
    </row>
    <row r="11" spans="1:16" x14ac:dyDescent="0.25">
      <c r="F11" s="53"/>
      <c r="O11" s="3"/>
      <c r="P11" s="3"/>
    </row>
    <row r="12" spans="1:16" x14ac:dyDescent="0.25">
      <c r="F12" s="53"/>
      <c r="O12" s="3"/>
      <c r="P12" s="3"/>
    </row>
    <row r="13" spans="1:16" x14ac:dyDescent="0.25">
      <c r="F13" s="53"/>
      <c r="O13" s="3"/>
      <c r="P13" s="3"/>
    </row>
    <row r="14" spans="1:16" x14ac:dyDescent="0.25">
      <c r="F14" s="53"/>
      <c r="O14" s="3"/>
      <c r="P14" s="3"/>
    </row>
    <row r="15" spans="1:16" x14ac:dyDescent="0.25">
      <c r="F15" s="53"/>
      <c r="O15" s="3"/>
      <c r="P15" s="3"/>
    </row>
    <row r="16" spans="1:16" x14ac:dyDescent="0.25">
      <c r="F16" s="53"/>
      <c r="O16" s="3"/>
      <c r="P16" s="3"/>
    </row>
    <row r="17" spans="2:16" x14ac:dyDescent="0.25">
      <c r="F17" s="53"/>
      <c r="O17" s="3" t="s">
        <v>142</v>
      </c>
      <c r="P17" s="3" t="s">
        <v>152</v>
      </c>
    </row>
    <row r="18" spans="2:16" ht="20.100000000000001" customHeight="1" x14ac:dyDescent="0.25">
      <c r="B18" s="128"/>
      <c r="F18" s="53"/>
      <c r="O18" s="3" t="s">
        <v>142</v>
      </c>
      <c r="P18" s="3" t="s">
        <v>150</v>
      </c>
    </row>
    <row r="19" spans="2:16" ht="20.100000000000001" customHeight="1" x14ac:dyDescent="0.25">
      <c r="B19" s="128"/>
      <c r="O19" s="3" t="s">
        <v>142</v>
      </c>
      <c r="P19" s="3" t="s">
        <v>151</v>
      </c>
    </row>
    <row r="20" spans="2:16" ht="20.100000000000001" customHeight="1" x14ac:dyDescent="0.25">
      <c r="B20" s="128"/>
      <c r="O20" s="3" t="s">
        <v>148</v>
      </c>
      <c r="P20" s="3"/>
    </row>
    <row r="21" spans="2:16" ht="20.100000000000001" customHeight="1" x14ac:dyDescent="0.25">
      <c r="B21" s="128"/>
      <c r="O21" s="3"/>
      <c r="P21" s="3"/>
    </row>
    <row r="22" spans="2:16" ht="20.100000000000001" customHeight="1" x14ac:dyDescent="0.25">
      <c r="B22" s="128"/>
      <c r="O22" s="3"/>
      <c r="P22" s="3"/>
    </row>
    <row r="40" spans="2:5" x14ac:dyDescent="0.25">
      <c r="B40" s="121"/>
      <c r="C40" s="53"/>
    </row>
    <row r="41" spans="2:5" ht="20.25" customHeight="1" x14ac:dyDescent="0.25"/>
    <row r="43" spans="2:5" x14ac:dyDescent="0.25">
      <c r="E43" s="53"/>
    </row>
    <row r="44" spans="2:5" x14ac:dyDescent="0.25">
      <c r="E44" s="53"/>
    </row>
    <row r="45" spans="2:5" x14ac:dyDescent="0.25">
      <c r="E45" s="53"/>
    </row>
    <row r="46" spans="2:5" x14ac:dyDescent="0.25">
      <c r="E46" s="53"/>
    </row>
  </sheetData>
  <dataValidations count="4">
    <dataValidation type="list" allowBlank="1" showInputMessage="1" showErrorMessage="1" sqref="D14" xr:uid="{D94A2014-CD8A-47DA-9CD5-5E69CA4142B5}">
      <formula1>"YES,NO"</formula1>
    </dataValidation>
    <dataValidation type="list" allowBlank="1" showInputMessage="1" showErrorMessage="1" sqref="D12" xr:uid="{BEF029E8-7750-4B58-8632-8DAE2ECFF0FA}">
      <formula1>$E$43:$E$46</formula1>
    </dataValidation>
    <dataValidation type="list" allowBlank="1" showInputMessage="1" showErrorMessage="1" sqref="D13" xr:uid="{31912351-E37F-4EF1-B50F-DD6C48F2EA5E}">
      <formula1>"IP55,IP66"</formula1>
    </dataValidation>
    <dataValidation type="list" allowBlank="1" showInputMessage="1" showErrorMessage="1" sqref="D10" xr:uid="{DD8DBC36-A047-486C-B0CC-674848D0FC28}">
      <formula1>$A$2:$A$9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142</v>
      </c>
      <c r="B1" s="7"/>
      <c r="C1" s="53"/>
      <c r="D1" s="53"/>
      <c r="E1" s="53"/>
      <c r="F1" s="53"/>
    </row>
    <row r="2" spans="1:16" ht="30" x14ac:dyDescent="0.25">
      <c r="A2" s="53" t="s">
        <v>221</v>
      </c>
      <c r="B2" s="53"/>
      <c r="G2" s="82"/>
    </row>
    <row r="3" spans="1:16" ht="30" x14ac:dyDescent="0.25">
      <c r="A3" s="53" t="s">
        <v>222</v>
      </c>
      <c r="B3" s="53"/>
      <c r="G3" s="53"/>
    </row>
    <row r="4" spans="1:16" x14ac:dyDescent="0.25">
      <c r="A4" s="53" t="s">
        <v>223</v>
      </c>
      <c r="B4" s="53"/>
    </row>
    <row r="5" spans="1:16" x14ac:dyDescent="0.25">
      <c r="A5" s="53" t="s">
        <v>224</v>
      </c>
      <c r="B5" s="53"/>
    </row>
    <row r="6" spans="1:16" x14ac:dyDescent="0.25">
      <c r="A6" s="121"/>
      <c r="B6" s="53"/>
    </row>
    <row r="7" spans="1:16" x14ac:dyDescent="0.25">
      <c r="A7" s="121"/>
      <c r="B7" s="53"/>
    </row>
    <row r="8" spans="1:16" x14ac:dyDescent="0.25">
      <c r="A8" s="121"/>
      <c r="B8" s="53"/>
    </row>
    <row r="9" spans="1:16" x14ac:dyDescent="0.25">
      <c r="A9" s="121"/>
      <c r="B9" s="53"/>
    </row>
    <row r="10" spans="1:16" x14ac:dyDescent="0.25">
      <c r="A10" s="121"/>
      <c r="B10" s="53"/>
    </row>
    <row r="11" spans="1:16" x14ac:dyDescent="0.25">
      <c r="A11" s="121"/>
      <c r="B11" s="53"/>
    </row>
    <row r="12" spans="1:16" x14ac:dyDescent="0.25">
      <c r="A12" s="121"/>
      <c r="B12" s="53"/>
    </row>
    <row r="13" spans="1:16" x14ac:dyDescent="0.25">
      <c r="A13" s="121"/>
      <c r="B13" s="53"/>
    </row>
    <row r="14" spans="1:16" x14ac:dyDescent="0.25">
      <c r="A14" s="121"/>
      <c r="B14" s="53"/>
    </row>
    <row r="15" spans="1:16" x14ac:dyDescent="0.25">
      <c r="F15" s="53"/>
    </row>
    <row r="16" spans="1:16" x14ac:dyDescent="0.25">
      <c r="F16" s="53"/>
      <c r="O16" s="3" t="s">
        <v>147</v>
      </c>
      <c r="P16" s="3"/>
    </row>
    <row r="17" spans="2:16" x14ac:dyDescent="0.25">
      <c r="F17" s="53"/>
      <c r="O17" s="3" t="s">
        <v>142</v>
      </c>
      <c r="P17" s="3" t="s">
        <v>149</v>
      </c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/>
      <c r="P22" s="3"/>
    </row>
    <row r="23" spans="2:16" x14ac:dyDescent="0.25">
      <c r="F23" s="53"/>
      <c r="O23" s="3"/>
      <c r="P23" s="3"/>
    </row>
    <row r="24" spans="2:16" x14ac:dyDescent="0.25">
      <c r="F24" s="53"/>
      <c r="O24" s="3" t="s">
        <v>142</v>
      </c>
      <c r="P24" s="3" t="s">
        <v>152</v>
      </c>
    </row>
    <row r="25" spans="2:16" ht="20.100000000000001" customHeight="1" x14ac:dyDescent="0.25">
      <c r="B25" s="128"/>
      <c r="F25" s="53"/>
      <c r="O25" s="3" t="s">
        <v>142</v>
      </c>
      <c r="P25" s="3" t="s">
        <v>150</v>
      </c>
    </row>
    <row r="26" spans="2:16" ht="20.100000000000001" customHeight="1" x14ac:dyDescent="0.25">
      <c r="B26" s="128"/>
      <c r="O26" s="3" t="s">
        <v>142</v>
      </c>
      <c r="P26" s="3" t="s">
        <v>151</v>
      </c>
    </row>
    <row r="27" spans="2:16" ht="20.100000000000001" customHeight="1" x14ac:dyDescent="0.25">
      <c r="B27" s="128"/>
      <c r="O27" s="3" t="s">
        <v>148</v>
      </c>
      <c r="P27" s="3"/>
    </row>
    <row r="28" spans="2:16" ht="20.100000000000001" customHeight="1" x14ac:dyDescent="0.25">
      <c r="B28" s="128"/>
      <c r="O28" s="3"/>
      <c r="P28" s="3"/>
    </row>
    <row r="29" spans="2:16" ht="20.100000000000001" customHeight="1" x14ac:dyDescent="0.25">
      <c r="B29" s="128"/>
      <c r="O29" s="3"/>
      <c r="P29" s="3"/>
    </row>
    <row r="47" spans="2:3" x14ac:dyDescent="0.25">
      <c r="B47" s="121"/>
      <c r="C47" s="53"/>
    </row>
    <row r="48" spans="2:3" ht="20.25" customHeight="1" x14ac:dyDescent="0.25">
      <c r="B48" s="261"/>
      <c r="C48" s="261"/>
    </row>
    <row r="61" spans="3:3" x14ac:dyDescent="0.25">
      <c r="C61" s="53"/>
    </row>
    <row r="62" spans="3:3" x14ac:dyDescent="0.25">
      <c r="C62" s="53"/>
    </row>
    <row r="63" spans="3:3" x14ac:dyDescent="0.25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142</v>
      </c>
      <c r="B1" s="7"/>
      <c r="C1" s="53"/>
      <c r="D1" s="53"/>
      <c r="E1" s="53"/>
      <c r="F1" s="53"/>
    </row>
    <row r="2" spans="1:16" x14ac:dyDescent="0.25">
      <c r="A2" s="53" t="s">
        <v>240</v>
      </c>
      <c r="B2" s="53"/>
      <c r="G2" s="82"/>
    </row>
    <row r="3" spans="1:16" x14ac:dyDescent="0.25">
      <c r="A3" s="53" t="s">
        <v>143</v>
      </c>
      <c r="B3" s="53"/>
      <c r="G3" s="53"/>
    </row>
    <row r="4" spans="1:16" x14ac:dyDescent="0.25">
      <c r="A4" s="121"/>
      <c r="B4" s="53"/>
    </row>
    <row r="5" spans="1:16" x14ac:dyDescent="0.25">
      <c r="A5" s="121"/>
      <c r="B5" s="53"/>
    </row>
    <row r="6" spans="1:16" x14ac:dyDescent="0.25">
      <c r="A6" s="121"/>
      <c r="B6" s="53"/>
    </row>
    <row r="7" spans="1:16" x14ac:dyDescent="0.25">
      <c r="A7" s="121"/>
      <c r="B7" s="53"/>
    </row>
    <row r="8" spans="1:16" x14ac:dyDescent="0.25">
      <c r="A8" s="121"/>
      <c r="B8" s="53"/>
    </row>
    <row r="9" spans="1:16" x14ac:dyDescent="0.25">
      <c r="A9" s="121"/>
      <c r="B9" s="53"/>
    </row>
    <row r="10" spans="1:16" x14ac:dyDescent="0.25">
      <c r="A10" s="121"/>
      <c r="B10" s="53"/>
    </row>
    <row r="11" spans="1:16" x14ac:dyDescent="0.25">
      <c r="A11" s="121"/>
      <c r="B11" s="53"/>
    </row>
    <row r="12" spans="1:16" x14ac:dyDescent="0.25">
      <c r="A12" s="121"/>
      <c r="B12" s="53"/>
    </row>
    <row r="13" spans="1:16" x14ac:dyDescent="0.25">
      <c r="F13" s="53"/>
    </row>
    <row r="14" spans="1:16" x14ac:dyDescent="0.25">
      <c r="F14" s="53"/>
      <c r="O14" s="3" t="s">
        <v>147</v>
      </c>
      <c r="P14" s="3"/>
    </row>
    <row r="15" spans="1:16" x14ac:dyDescent="0.25">
      <c r="F15" s="53"/>
      <c r="O15" s="3" t="s">
        <v>142</v>
      </c>
      <c r="P15" s="3" t="s">
        <v>149</v>
      </c>
    </row>
    <row r="16" spans="1:16" x14ac:dyDescent="0.25">
      <c r="F16" s="53"/>
      <c r="O16" s="3"/>
      <c r="P16" s="3"/>
    </row>
    <row r="17" spans="2:16" x14ac:dyDescent="0.25">
      <c r="F17" s="53"/>
      <c r="O17" s="3"/>
      <c r="P17" s="3"/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 t="s">
        <v>142</v>
      </c>
      <c r="P22" s="3" t="s">
        <v>152</v>
      </c>
    </row>
    <row r="23" spans="2:16" ht="20.100000000000001" customHeight="1" x14ac:dyDescent="0.25">
      <c r="B23" s="128"/>
      <c r="F23" s="53"/>
      <c r="O23" s="3" t="s">
        <v>142</v>
      </c>
      <c r="P23" s="3" t="s">
        <v>150</v>
      </c>
    </row>
    <row r="24" spans="2:16" ht="20.100000000000001" customHeight="1" x14ac:dyDescent="0.25">
      <c r="B24" s="128"/>
      <c r="O24" s="3" t="s">
        <v>142</v>
      </c>
      <c r="P24" s="3" t="s">
        <v>151</v>
      </c>
    </row>
    <row r="25" spans="2:16" ht="20.100000000000001" customHeight="1" x14ac:dyDescent="0.25">
      <c r="B25" s="128"/>
      <c r="O25" s="3" t="s">
        <v>148</v>
      </c>
      <c r="P25" s="3"/>
    </row>
    <row r="26" spans="2:16" ht="20.100000000000001" customHeight="1" x14ac:dyDescent="0.25">
      <c r="B26" s="128"/>
      <c r="O26" s="3"/>
      <c r="P26" s="3"/>
    </row>
    <row r="27" spans="2:16" ht="20.100000000000001" customHeight="1" x14ac:dyDescent="0.25">
      <c r="B27" s="128"/>
      <c r="O27" s="3"/>
      <c r="P27" s="3"/>
    </row>
    <row r="45" spans="2:3" x14ac:dyDescent="0.25">
      <c r="B45" s="121"/>
      <c r="C45" s="53"/>
    </row>
    <row r="46" spans="2:3" ht="20.25" customHeight="1" x14ac:dyDescent="0.25">
      <c r="B46" s="261"/>
      <c r="C46" s="261"/>
    </row>
    <row r="59" spans="3:3" x14ac:dyDescent="0.25">
      <c r="C59" s="53"/>
    </row>
    <row r="60" spans="3:3" x14ac:dyDescent="0.25">
      <c r="C60" s="53"/>
    </row>
    <row r="61" spans="3:3" x14ac:dyDescent="0.25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92D5-CDB8-4B21-BCAC-9A485BC799FA}">
  <sheetPr>
    <tabColor theme="7" tint="0.39997558519241921"/>
  </sheetPr>
  <dimension ref="A1:W55"/>
  <sheetViews>
    <sheetView zoomScaleNormal="100" workbookViewId="0">
      <selection activeCell="G58" sqref="G58"/>
    </sheetView>
  </sheetViews>
  <sheetFormatPr defaultRowHeight="15" x14ac:dyDescent="0.25"/>
  <cols>
    <col min="1" max="1" width="17" customWidth="1"/>
    <col min="2" max="2" width="25.140625" customWidth="1"/>
    <col min="3" max="3" width="13.5703125" customWidth="1"/>
    <col min="4" max="4" width="9.5703125" customWidth="1"/>
    <col min="5" max="5" width="23.5703125" customWidth="1"/>
    <col min="6" max="6" width="9.5703125" customWidth="1"/>
    <col min="7" max="7" width="10.42578125" customWidth="1"/>
    <col min="8" max="8" width="13.28515625" customWidth="1"/>
    <col min="9" max="9" width="19.140625" customWidth="1"/>
    <col min="10" max="10" width="23.85546875" customWidth="1"/>
    <col min="11" max="11" width="9.7109375" customWidth="1"/>
    <col min="12" max="12" width="11.5703125" bestFit="1" customWidth="1"/>
    <col min="13" max="13" width="13" customWidth="1"/>
    <col min="18" max="18" width="10.7109375" customWidth="1"/>
  </cols>
  <sheetData>
    <row r="1" spans="1:23" ht="18.75" x14ac:dyDescent="0.25">
      <c r="A1" s="109" t="s">
        <v>165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t="s">
        <v>293</v>
      </c>
      <c r="O1" t="s">
        <v>304</v>
      </c>
      <c r="P1" t="s">
        <v>303</v>
      </c>
      <c r="Q1" t="s">
        <v>302</v>
      </c>
      <c r="R1" t="s">
        <v>290</v>
      </c>
      <c r="S1" t="s">
        <v>291</v>
      </c>
      <c r="T1" t="s">
        <v>292</v>
      </c>
      <c r="U1" s="112"/>
      <c r="V1" s="112"/>
      <c r="W1" s="112"/>
    </row>
    <row r="2" spans="1:23" ht="15.75" x14ac:dyDescent="0.25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95" t="s">
        <v>18</v>
      </c>
      <c r="O2">
        <v>35</v>
      </c>
      <c r="P2">
        <v>27.5</v>
      </c>
      <c r="Q2">
        <v>9</v>
      </c>
      <c r="R2" s="196">
        <v>61.25</v>
      </c>
      <c r="S2" s="197">
        <v>90</v>
      </c>
      <c r="T2" s="196">
        <v>16.39</v>
      </c>
      <c r="U2" s="110"/>
      <c r="V2" s="110"/>
      <c r="W2" s="110"/>
    </row>
    <row r="3" spans="1:23" ht="30" x14ac:dyDescent="0.25">
      <c r="A3" t="s">
        <v>344</v>
      </c>
      <c r="B3" s="53" t="s">
        <v>276</v>
      </c>
      <c r="D3" s="7"/>
      <c r="E3" s="7"/>
      <c r="F3" s="7"/>
      <c r="G3" s="7"/>
      <c r="H3" s="53"/>
      <c r="I3" s="53"/>
      <c r="J3" s="7"/>
      <c r="N3" s="195" t="s">
        <v>19</v>
      </c>
      <c r="O3">
        <v>48</v>
      </c>
      <c r="P3">
        <v>27.5</v>
      </c>
      <c r="Q3">
        <v>9</v>
      </c>
      <c r="R3" s="196">
        <v>61.75</v>
      </c>
      <c r="S3" s="197">
        <v>90.5</v>
      </c>
      <c r="T3" s="196">
        <v>18.88</v>
      </c>
      <c r="U3" s="7"/>
      <c r="V3" s="7"/>
      <c r="W3" s="7"/>
    </row>
    <row r="4" spans="1:23" ht="18.75" x14ac:dyDescent="0.3">
      <c r="A4" s="4" t="s">
        <v>13</v>
      </c>
      <c r="B4" s="5">
        <f>Input!$D$12</f>
        <v>500</v>
      </c>
      <c r="C4" s="6" t="s">
        <v>12</v>
      </c>
      <c r="D4" s="7"/>
      <c r="E4" s="7"/>
      <c r="F4" s="7"/>
      <c r="G4" s="7"/>
      <c r="H4" s="53"/>
      <c r="J4" s="7"/>
      <c r="L4" s="82"/>
      <c r="N4" s="195"/>
      <c r="O4">
        <v>0</v>
      </c>
      <c r="P4">
        <v>0</v>
      </c>
      <c r="Q4">
        <v>0</v>
      </c>
      <c r="R4" s="196"/>
      <c r="S4" s="197"/>
      <c r="T4" s="196"/>
      <c r="U4" s="7"/>
      <c r="V4" s="7"/>
      <c r="W4" s="7"/>
    </row>
    <row r="5" spans="1:23" ht="18.75" x14ac:dyDescent="0.3">
      <c r="A5" s="8" t="s">
        <v>1</v>
      </c>
      <c r="B5" s="9">
        <f>Input!$D$9</f>
        <v>1650</v>
      </c>
      <c r="C5" s="10" t="s">
        <v>7</v>
      </c>
      <c r="D5" s="11"/>
      <c r="E5" s="11"/>
      <c r="F5" s="11"/>
      <c r="G5" s="11"/>
      <c r="H5" s="53"/>
      <c r="J5" s="11"/>
      <c r="L5" s="82"/>
      <c r="N5" s="195" t="s">
        <v>20</v>
      </c>
      <c r="O5">
        <v>58.5</v>
      </c>
      <c r="P5">
        <v>47</v>
      </c>
      <c r="Q5">
        <v>16</v>
      </c>
      <c r="R5" s="197">
        <v>91</v>
      </c>
      <c r="S5" s="197">
        <v>162.80000000000001</v>
      </c>
      <c r="T5" s="196">
        <v>19.37</v>
      </c>
      <c r="U5" s="11"/>
      <c r="V5" s="11"/>
      <c r="W5" s="11"/>
    </row>
    <row r="6" spans="1:23" ht="18.75" x14ac:dyDescent="0.3">
      <c r="A6" s="8" t="s">
        <v>348</v>
      </c>
      <c r="B6" s="9">
        <f>$B$5/2</f>
        <v>825</v>
      </c>
      <c r="C6" s="10" t="s">
        <v>7</v>
      </c>
      <c r="D6" s="11"/>
      <c r="E6" s="11"/>
      <c r="F6" s="11"/>
      <c r="G6" s="11"/>
      <c r="H6" s="53"/>
      <c r="J6" s="11"/>
      <c r="L6" s="82"/>
      <c r="N6" s="195" t="s">
        <v>21</v>
      </c>
      <c r="O6">
        <v>74</v>
      </c>
      <c r="P6">
        <v>47</v>
      </c>
      <c r="Q6">
        <v>16</v>
      </c>
      <c r="R6" s="197">
        <v>101</v>
      </c>
      <c r="S6" s="197">
        <v>172.8</v>
      </c>
      <c r="T6" s="196">
        <v>19.96</v>
      </c>
      <c r="U6" s="11"/>
      <c r="V6" s="11"/>
      <c r="W6" s="11"/>
    </row>
    <row r="7" spans="1:23" ht="18.75" x14ac:dyDescent="0.3">
      <c r="A7" s="8" t="s">
        <v>15</v>
      </c>
      <c r="B7" s="9">
        <f>IF(Input!$D$10=0,5,Input!$D$10)</f>
        <v>10</v>
      </c>
      <c r="C7" s="1" t="s">
        <v>7</v>
      </c>
      <c r="H7" s="53"/>
      <c r="L7" s="58"/>
      <c r="N7" s="195" t="s">
        <v>22</v>
      </c>
      <c r="O7">
        <v>80</v>
      </c>
      <c r="P7">
        <v>52</v>
      </c>
      <c r="Q7">
        <v>16</v>
      </c>
      <c r="R7" s="197">
        <v>102.5</v>
      </c>
      <c r="S7" s="197">
        <v>174.3</v>
      </c>
      <c r="T7" s="196">
        <v>19.59</v>
      </c>
      <c r="U7" s="111"/>
      <c r="W7" s="12"/>
    </row>
    <row r="8" spans="1:23" ht="18.75" x14ac:dyDescent="0.3">
      <c r="A8" s="8" t="s">
        <v>349</v>
      </c>
      <c r="B8" s="9">
        <f>VLOOKUP($B$3,Tabell2[[Dish Head Type]:[Vol dish]],2,FALSE)</f>
        <v>1670</v>
      </c>
      <c r="C8" s="1" t="s">
        <v>7</v>
      </c>
      <c r="H8" s="53"/>
      <c r="L8" s="58"/>
      <c r="N8" s="195" t="s">
        <v>23</v>
      </c>
      <c r="O8">
        <v>88.5</v>
      </c>
      <c r="P8">
        <v>64.75</v>
      </c>
      <c r="Q8">
        <v>16</v>
      </c>
      <c r="R8" s="197">
        <v>106</v>
      </c>
      <c r="S8" s="197">
        <v>177.8</v>
      </c>
      <c r="T8" s="196">
        <v>18.850000000000001</v>
      </c>
      <c r="U8" s="111"/>
      <c r="W8" s="12"/>
    </row>
    <row r="9" spans="1:23" ht="15.75" x14ac:dyDescent="0.25">
      <c r="A9" s="8" t="s">
        <v>272</v>
      </c>
      <c r="B9" s="11">
        <f>VLOOKUP($B$3,Tabell2[[Dish Head Type]:[Vol dish]],4,FALSE)</f>
        <v>1670</v>
      </c>
      <c r="C9" s="1"/>
      <c r="H9" s="53"/>
      <c r="L9" s="58"/>
      <c r="N9" s="195" t="s">
        <v>24</v>
      </c>
      <c r="O9">
        <v>118</v>
      </c>
      <c r="P9">
        <v>79.75</v>
      </c>
      <c r="Q9">
        <v>20</v>
      </c>
      <c r="R9" s="197">
        <v>107.6</v>
      </c>
      <c r="S9" s="196">
        <f>194.94+4.6</f>
        <v>199.54</v>
      </c>
      <c r="T9" s="196">
        <v>19.09</v>
      </c>
      <c r="U9" s="111"/>
      <c r="W9" s="12"/>
    </row>
    <row r="10" spans="1:23" ht="15.75" x14ac:dyDescent="0.25">
      <c r="A10" s="8" t="s">
        <v>286</v>
      </c>
      <c r="B10" s="11">
        <f>VLOOKUP($B$3,Tabell2[[Dish Head Type]:[Vol dish]],5,FALSE)</f>
        <v>167</v>
      </c>
      <c r="C10" s="1"/>
      <c r="H10" s="53"/>
      <c r="L10" s="58"/>
      <c r="N10" s="195" t="s">
        <v>25</v>
      </c>
      <c r="O10">
        <v>150</v>
      </c>
      <c r="P10">
        <v>99.75</v>
      </c>
      <c r="Q10">
        <v>20</v>
      </c>
      <c r="R10" s="197">
        <v>119.6</v>
      </c>
      <c r="S10" s="196">
        <v>211.09527947999999</v>
      </c>
      <c r="T10" s="196">
        <v>19.079999999999998</v>
      </c>
      <c r="U10" s="111"/>
      <c r="W10" s="12"/>
    </row>
    <row r="11" spans="1:23" ht="15.75" x14ac:dyDescent="0.25">
      <c r="A11" s="8" t="s">
        <v>356</v>
      </c>
      <c r="B11" s="201">
        <f>($B$6-$B$10)*$B$9/($B$9-$B$10)</f>
        <v>731.11111111111109</v>
      </c>
      <c r="C11" s="1"/>
      <c r="H11" s="53"/>
      <c r="L11" s="58"/>
      <c r="N11" s="195" t="s">
        <v>26</v>
      </c>
      <c r="O11">
        <v>175</v>
      </c>
      <c r="P11">
        <v>114.75</v>
      </c>
      <c r="Q11">
        <v>20</v>
      </c>
      <c r="R11" s="197">
        <v>125.5</v>
      </c>
      <c r="S11" s="197">
        <v>217</v>
      </c>
      <c r="T11" s="196">
        <v>18.62</v>
      </c>
      <c r="U11" s="111"/>
      <c r="W11" s="12"/>
    </row>
    <row r="12" spans="1:23" ht="18.75" x14ac:dyDescent="0.3">
      <c r="A12" s="8"/>
      <c r="B12" s="14"/>
      <c r="C12" s="1"/>
      <c r="H12" s="53"/>
      <c r="L12" s="58"/>
      <c r="N12" t="s">
        <v>134</v>
      </c>
      <c r="O12">
        <v>200</v>
      </c>
      <c r="P12">
        <v>124.75</v>
      </c>
      <c r="Q12">
        <v>0</v>
      </c>
      <c r="U12" s="12"/>
      <c r="W12" s="12"/>
    </row>
    <row r="13" spans="1:23" ht="45.75" x14ac:dyDescent="0.3">
      <c r="A13" s="96" t="s">
        <v>121</v>
      </c>
      <c r="B13" s="14" t="str">
        <f>IF($B$5&lt;1000,
CONCATENATE(ROUNDUP(0.5*$B$11,0),"mm"),
CONCATENATE(ROUNDUP(0.3*$B$11,0), "mm - ",ROUNDUP(0.5*$B$11,0),"mm"))</f>
        <v>220mm - 366mm</v>
      </c>
      <c r="C13" s="1"/>
      <c r="D13" s="14"/>
      <c r="E13" s="14"/>
      <c r="F13" s="14"/>
      <c r="H13" s="53"/>
      <c r="L13" s="58"/>
      <c r="N13" t="s">
        <v>135</v>
      </c>
      <c r="O13">
        <v>225</v>
      </c>
      <c r="P13">
        <v>124.75</v>
      </c>
      <c r="Q13">
        <v>0</v>
      </c>
      <c r="U13" s="12"/>
      <c r="W13" s="12"/>
    </row>
    <row r="14" spans="1:23" ht="45.75" x14ac:dyDescent="0.3">
      <c r="A14" s="96" t="s">
        <v>259</v>
      </c>
      <c r="B14" s="14" t="str">
        <f>IF($B$5&lt;1000,
CONCATENATE(ROUNDUP(0.5*$B$11/25.4,1)," in"),
CONCATENATE(SUBSTITUTE(ROUNDUP(0.3*$B$11/25.4,1),",",".",1), " in - ",SUBSTITUTE(ROUNDUP(0.5*$B$11/25.4,1),",",".",1)," in"))</f>
        <v>8.7 in - 14.4 in</v>
      </c>
      <c r="C14" s="1"/>
      <c r="H14" s="53"/>
      <c r="N14" s="195" t="s">
        <v>30</v>
      </c>
      <c r="O14">
        <v>33</v>
      </c>
      <c r="P14">
        <v>40</v>
      </c>
      <c r="Q14">
        <v>9</v>
      </c>
      <c r="R14" s="196">
        <v>89.75</v>
      </c>
      <c r="S14" s="197">
        <f>2.27+135.93</f>
        <v>138.20000000000002</v>
      </c>
      <c r="T14" s="197">
        <v>42</v>
      </c>
      <c r="U14" s="12"/>
      <c r="W14" s="12"/>
    </row>
    <row r="15" spans="1:23" ht="30.75" x14ac:dyDescent="0.3">
      <c r="A15" s="96" t="s">
        <v>377</v>
      </c>
      <c r="B15" s="108">
        <f>VLOOKUP($B$3,Tabell2[[Dish Head Type]:[Vol dish]],7,FALSE)</f>
        <v>444.644008875</v>
      </c>
      <c r="C15" s="1" t="s">
        <v>12</v>
      </c>
      <c r="H15" s="53"/>
      <c r="I15" s="82"/>
      <c r="N15" s="195" t="s">
        <v>31</v>
      </c>
      <c r="O15">
        <v>52.5</v>
      </c>
      <c r="P15">
        <v>57</v>
      </c>
      <c r="Q15">
        <v>16</v>
      </c>
      <c r="R15" s="197">
        <v>131.5</v>
      </c>
      <c r="S15" s="197">
        <f>207.14+4.16</f>
        <v>211.29999999999998</v>
      </c>
      <c r="T15" s="197">
        <v>47</v>
      </c>
      <c r="U15" s="12"/>
      <c r="W15" s="12"/>
    </row>
    <row r="16" spans="1:23" ht="30.75" x14ac:dyDescent="0.3">
      <c r="A16" s="96" t="s">
        <v>376</v>
      </c>
      <c r="B16" s="97">
        <f>VLOOKUP($B$3,Tabell2[[Dish Head Type]:[Vol dish]],6,FALSE)</f>
        <v>318.59499999999997</v>
      </c>
      <c r="C16" s="1" t="s">
        <v>7</v>
      </c>
      <c r="H16" s="53"/>
      <c r="I16" s="82"/>
      <c r="N16" s="195" t="s">
        <v>32</v>
      </c>
      <c r="O16">
        <v>69.5</v>
      </c>
      <c r="P16">
        <v>80</v>
      </c>
      <c r="Q16">
        <v>20</v>
      </c>
      <c r="R16" s="197">
        <v>169</v>
      </c>
      <c r="S16" s="197">
        <f>255.84+4.16</f>
        <v>260</v>
      </c>
      <c r="T16" s="197">
        <v>58</v>
      </c>
      <c r="U16" s="12"/>
      <c r="W16" s="12"/>
    </row>
    <row r="17" spans="1:23" ht="18.75" x14ac:dyDescent="0.3">
      <c r="A17" s="96" t="s">
        <v>159</v>
      </c>
      <c r="B17" s="97">
        <f>$B$4-$B$15</f>
        <v>55.355991125000003</v>
      </c>
      <c r="C17" s="1" t="s">
        <v>12</v>
      </c>
      <c r="H17" s="53"/>
      <c r="N17" s="195" t="s">
        <v>27</v>
      </c>
      <c r="O17">
        <v>33</v>
      </c>
      <c r="P17">
        <v>27.5</v>
      </c>
      <c r="Q17">
        <v>9</v>
      </c>
      <c r="R17" s="196">
        <f>3.5+58.13</f>
        <v>61.63</v>
      </c>
      <c r="S17" s="196">
        <f>106.56+2.27</f>
        <v>108.83</v>
      </c>
      <c r="T17" s="196">
        <v>34.14</v>
      </c>
      <c r="U17" s="12"/>
      <c r="W17" s="12"/>
    </row>
    <row r="18" spans="1:23" ht="30.75" x14ac:dyDescent="0.3">
      <c r="A18" s="96" t="s">
        <v>163</v>
      </c>
      <c r="B18" s="97">
        <f>($B$4-(0.1*($B$5/100)^3))/(PI()*(($B$5)/200)^2)*100</f>
        <v>23.751938798250517</v>
      </c>
      <c r="C18" s="1" t="s">
        <v>7</v>
      </c>
      <c r="H18" s="53"/>
      <c r="N18" s="195" t="s">
        <v>28</v>
      </c>
      <c r="O18">
        <v>51.5</v>
      </c>
      <c r="P18">
        <v>47</v>
      </c>
      <c r="Q18">
        <v>16</v>
      </c>
      <c r="R18" s="196">
        <v>100.37</v>
      </c>
      <c r="S18" s="196">
        <f>176.01+4.16</f>
        <v>180.17</v>
      </c>
      <c r="T18" s="196">
        <v>47.4</v>
      </c>
      <c r="U18" s="12"/>
      <c r="W18" s="12"/>
    </row>
    <row r="19" spans="1:23" ht="18.75" x14ac:dyDescent="0.3">
      <c r="A19" s="15" t="s">
        <v>14</v>
      </c>
      <c r="B19" s="95">
        <f>($B$16+$B$18)/$B$5</f>
        <v>0.20748299321106092</v>
      </c>
      <c r="C19" s="2"/>
      <c r="H19" s="53"/>
      <c r="N19" s="195" t="s">
        <v>29</v>
      </c>
      <c r="O19">
        <v>68</v>
      </c>
      <c r="P19">
        <v>79.75</v>
      </c>
      <c r="Q19">
        <v>20</v>
      </c>
      <c r="R19" s="197">
        <v>137</v>
      </c>
      <c r="S19" s="196">
        <f>224.61+4.16</f>
        <v>228.77</v>
      </c>
      <c r="T19" s="197">
        <v>78</v>
      </c>
    </row>
    <row r="20" spans="1:23" x14ac:dyDescent="0.25">
      <c r="H20" s="53"/>
      <c r="K20" s="44"/>
      <c r="L20" s="44"/>
      <c r="N20" s="195" t="s">
        <v>79</v>
      </c>
      <c r="O20">
        <v>48</v>
      </c>
      <c r="P20">
        <v>27.5</v>
      </c>
      <c r="Q20">
        <v>9</v>
      </c>
      <c r="R20" s="197"/>
      <c r="S20" s="197"/>
      <c r="T20" s="197"/>
    </row>
    <row r="21" spans="1:23" x14ac:dyDescent="0.25">
      <c r="H21" s="53"/>
      <c r="N21" s="195" t="s">
        <v>80</v>
      </c>
      <c r="O21">
        <v>75</v>
      </c>
      <c r="P21">
        <v>47</v>
      </c>
      <c r="Q21">
        <v>16</v>
      </c>
      <c r="R21" s="197">
        <v>101</v>
      </c>
      <c r="S21" s="197">
        <v>179</v>
      </c>
      <c r="T21" s="197">
        <v>20</v>
      </c>
    </row>
    <row r="22" spans="1:23" ht="15.75" x14ac:dyDescent="0.25">
      <c r="A22" s="110" t="s">
        <v>357</v>
      </c>
      <c r="B22" s="110"/>
      <c r="C22" s="110"/>
      <c r="D22" s="110"/>
      <c r="E22" s="110" t="s">
        <v>289</v>
      </c>
      <c r="F22" s="110"/>
      <c r="G22" s="110"/>
      <c r="H22" s="53"/>
      <c r="K22" s="110"/>
      <c r="L22" s="110"/>
      <c r="M22" s="110"/>
      <c r="N22" t="s">
        <v>119</v>
      </c>
      <c r="O22">
        <v>88.5</v>
      </c>
      <c r="P22">
        <v>64.75</v>
      </c>
      <c r="Q22">
        <v>16</v>
      </c>
      <c r="R22">
        <v>105</v>
      </c>
      <c r="S22">
        <v>187</v>
      </c>
      <c r="T22">
        <v>20</v>
      </c>
      <c r="U22" s="110"/>
      <c r="V22" s="110"/>
      <c r="W22" s="110"/>
    </row>
    <row r="23" spans="1:23" ht="30.75" x14ac:dyDescent="0.3">
      <c r="A23" s="4" t="s">
        <v>156</v>
      </c>
      <c r="B23" s="5">
        <f>Input!$D$11-$B$4</f>
        <v>0</v>
      </c>
      <c r="C23" s="6" t="s">
        <v>12</v>
      </c>
      <c r="D23" s="7"/>
      <c r="E23" s="33" t="s">
        <v>358</v>
      </c>
      <c r="F23" s="33" t="str">
        <f>Output!C$24</f>
        <v>ZG5</v>
      </c>
      <c r="G23" s="33" t="str">
        <f>Output!D$24</f>
        <v>ZGP5</v>
      </c>
      <c r="H23" s="33" t="str">
        <f>Output!E$24</f>
        <v>HP5</v>
      </c>
      <c r="I23" s="33" t="str">
        <f>Output!F$24</f>
        <v>HS5</v>
      </c>
      <c r="J23" s="33" t="str">
        <f>Output!G$24</f>
        <v>ZF160</v>
      </c>
      <c r="K23" s="7"/>
      <c r="L23" s="7"/>
      <c r="M23" s="7"/>
      <c r="N23" s="195" t="s">
        <v>81</v>
      </c>
      <c r="O23">
        <v>118</v>
      </c>
      <c r="P23">
        <v>79.75</v>
      </c>
      <c r="Q23">
        <v>20</v>
      </c>
      <c r="R23" s="197">
        <v>109</v>
      </c>
      <c r="S23" s="197">
        <v>201</v>
      </c>
      <c r="T23" s="197">
        <v>21.38</v>
      </c>
      <c r="U23" s="7"/>
      <c r="V23" s="7"/>
      <c r="W23" s="7"/>
    </row>
    <row r="24" spans="1:23" ht="18.75" x14ac:dyDescent="0.3">
      <c r="A24" s="8" t="s">
        <v>1</v>
      </c>
      <c r="B24" s="9">
        <f>$B$5</f>
        <v>1650</v>
      </c>
      <c r="C24" s="10" t="s">
        <v>7</v>
      </c>
      <c r="D24" s="11"/>
      <c r="E24" s="202" t="s">
        <v>375</v>
      </c>
      <c r="F24" s="203">
        <f>IF($F$23="N/A","N/A",VLOOKUP($F$23,Tabell36[],3,FALSE))</f>
        <v>47</v>
      </c>
      <c r="G24" s="203">
        <f>IF($G$23="N/A","N/A",VLOOKUP($G$23,Tabell36[],3,FALSE))</f>
        <v>47</v>
      </c>
      <c r="H24" s="203">
        <f>IF($H$23="N/A","N/A",VLOOKUP($H$23,Tabell36[],3,FALSE))</f>
        <v>47</v>
      </c>
      <c r="I24" s="203">
        <f>IF($I$23="N/A","N/A",VLOOKUP($I$23,Tabell36[],3,FALSE))</f>
        <v>57</v>
      </c>
      <c r="J24" s="203">
        <f>IF($J$23="N/A","N/A",VLOOKUP($J$23,Tabell36[],3,FALSE))</f>
        <v>84</v>
      </c>
      <c r="K24" s="11"/>
      <c r="L24" s="11"/>
      <c r="M24" s="11"/>
      <c r="N24" s="195" t="s">
        <v>33</v>
      </c>
      <c r="O24">
        <v>70</v>
      </c>
      <c r="P24">
        <v>54.75</v>
      </c>
      <c r="Q24">
        <v>36.75</v>
      </c>
      <c r="R24" s="197">
        <v>55</v>
      </c>
      <c r="S24" s="197">
        <v>66.5</v>
      </c>
      <c r="T24" s="197">
        <v>31.1</v>
      </c>
      <c r="U24" s="11"/>
      <c r="V24" s="11"/>
      <c r="W24" s="11"/>
    </row>
    <row r="25" spans="1:23" ht="30.75" x14ac:dyDescent="0.3">
      <c r="A25" s="8" t="s">
        <v>15</v>
      </c>
      <c r="B25" s="9">
        <f>$B$7</f>
        <v>10</v>
      </c>
      <c r="C25" s="1" t="s">
        <v>7</v>
      </c>
      <c r="E25" s="192" t="s">
        <v>374</v>
      </c>
      <c r="F25" s="204">
        <f>IF($F$23="N/A","N/A",VLOOKUP($F$23,Tabell36[],4,FALSE))</f>
        <v>16</v>
      </c>
      <c r="G25" s="204">
        <f>IF($G$23="N/A","N/A",VLOOKUP($G$23,Tabell36[],4,FALSE))</f>
        <v>16</v>
      </c>
      <c r="H25" s="204">
        <f>IF($H$23="N/A","N/A",VLOOKUP($H$23,Tabell36[],4,FALSE))</f>
        <v>16</v>
      </c>
      <c r="I25" s="204">
        <f>IF($I$23="N/A","N/A",VLOOKUP($I$23,Tabell36[],4,FALSE))</f>
        <v>16</v>
      </c>
      <c r="J25" s="204">
        <f>IF($J$23="N/A","N/A",VLOOKUP($J$23,Tabell36[],4,FALSE))</f>
        <v>61</v>
      </c>
      <c r="N25" s="195" t="s">
        <v>34</v>
      </c>
      <c r="O25">
        <v>110</v>
      </c>
      <c r="P25">
        <v>84</v>
      </c>
      <c r="Q25">
        <v>61</v>
      </c>
      <c r="R25" s="197">
        <v>71.5</v>
      </c>
      <c r="S25" s="197">
        <v>169.5</v>
      </c>
      <c r="T25" s="197">
        <v>41.5</v>
      </c>
      <c r="U25" s="111"/>
      <c r="W25" s="12"/>
    </row>
    <row r="26" spans="1:23" ht="30.75" x14ac:dyDescent="0.3">
      <c r="A26" s="8"/>
      <c r="B26" s="14"/>
      <c r="C26" s="1"/>
      <c r="E26" s="192" t="s">
        <v>373</v>
      </c>
      <c r="F26" s="204">
        <f>IF($F$23="N/A","N/A",VLOOKUP($F$23,Tabell36[],5,FALSE))</f>
        <v>101</v>
      </c>
      <c r="G26" s="204">
        <f>IF($G$23="N/A","N/A",VLOOKUP($G$23,Tabell36[],5,FALSE))</f>
        <v>101</v>
      </c>
      <c r="H26" s="204">
        <f>IF($H$23="N/A","N/A",VLOOKUP($H$23,Tabell36[],5,FALSE))</f>
        <v>100.37</v>
      </c>
      <c r="I26" s="204">
        <f>IF($I$23="N/A","N/A",VLOOKUP($I$23,Tabell36[],5,FALSE))</f>
        <v>131.5</v>
      </c>
      <c r="J26" s="204">
        <f>IF($J$23="N/A","N/A",VLOOKUP($J$23,Tabell36[],5,FALSE))</f>
        <v>71.5</v>
      </c>
      <c r="P26" s="12"/>
      <c r="Q26" s="12"/>
      <c r="S26" s="12"/>
      <c r="T26" s="13"/>
      <c r="U26" s="12"/>
      <c r="W26" s="12"/>
    </row>
    <row r="27" spans="1:23" ht="18.75" x14ac:dyDescent="0.3">
      <c r="A27" s="96" t="s">
        <v>122</v>
      </c>
      <c r="B27" s="97">
        <f>$B$16</f>
        <v>318.59499999999997</v>
      </c>
      <c r="C27" s="1" t="s">
        <v>7</v>
      </c>
      <c r="E27" s="192" t="s">
        <v>378</v>
      </c>
      <c r="F27" s="204">
        <f>IF($F$23="N/A","N/A",VLOOKUP($F$23,Tabell36[],6,FALSE))</f>
        <v>172.8</v>
      </c>
      <c r="G27" s="204">
        <f>IF($G$23="N/A","N/A",VLOOKUP($G$23,Tabell36[],6,FALSE))</f>
        <v>179</v>
      </c>
      <c r="H27" s="204">
        <f>IF($H$23="N/A","N/A",VLOOKUP($H$23,Tabell36[],6,FALSE))</f>
        <v>180.17</v>
      </c>
      <c r="I27" s="204">
        <f>IF($I$23="N/A","N/A",VLOOKUP($I$23,Tabell36[],6,FALSE))</f>
        <v>211.29999999999998</v>
      </c>
      <c r="J27" s="204">
        <f>IF($J$23="N/A","N/A",VLOOKUP($J$23,Tabell36[],6,FALSE))</f>
        <v>169.5</v>
      </c>
      <c r="P27" s="12"/>
      <c r="Q27" s="12"/>
      <c r="S27" s="12"/>
      <c r="T27" s="13"/>
      <c r="U27" s="12"/>
      <c r="W27" s="12"/>
    </row>
    <row r="28" spans="1:23" ht="30.75" x14ac:dyDescent="0.3">
      <c r="A28" s="96" t="s">
        <v>153</v>
      </c>
      <c r="B28" s="97">
        <f>(Input!$D$11-$B$4)/(PI()*($B$5/200)^2)*100</f>
        <v>0</v>
      </c>
      <c r="C28" s="1" t="s">
        <v>7</v>
      </c>
      <c r="E28" s="192" t="s">
        <v>372</v>
      </c>
      <c r="F28" s="204">
        <f>IF($F$23="N/A","N/A",VLOOKUP($F$23,Tabell36[],7,FALSE))</f>
        <v>19.96</v>
      </c>
      <c r="G28" s="204">
        <f>IF($G$23="N/A","N/A",VLOOKUP($G$23,Tabell36[],7,FALSE))</f>
        <v>20</v>
      </c>
      <c r="H28" s="204">
        <f>IF($H$23="N/A","N/A",VLOOKUP($H$23,Tabell36[],7,FALSE))</f>
        <v>47.4</v>
      </c>
      <c r="I28" s="204">
        <f>IF($I$23="N/A","N/A",VLOOKUP($I$23,Tabell36[],7,FALSE))</f>
        <v>47</v>
      </c>
      <c r="J28" s="204">
        <f>IF($J$23="N/A","N/A",VLOOKUP($J$23,Tabell36[],7,FALSE))</f>
        <v>41.5</v>
      </c>
      <c r="P28" s="12"/>
      <c r="Q28" s="12"/>
      <c r="S28" s="12"/>
      <c r="T28" s="13"/>
      <c r="U28" s="12"/>
      <c r="W28" s="12"/>
    </row>
    <row r="29" spans="1:23" ht="30.75" x14ac:dyDescent="0.3">
      <c r="A29" s="96" t="s">
        <v>123</v>
      </c>
      <c r="B29" s="97">
        <f>SUM($B$16,$B$18,$B$27,$B$28)</f>
        <v>660.94193879825048</v>
      </c>
      <c r="C29" s="1" t="s">
        <v>7</v>
      </c>
      <c r="E29" s="192" t="s">
        <v>371</v>
      </c>
      <c r="F29" s="205">
        <f>IF($F$23="N/A","N/A",VLOOKUP($F$23,Tabell36[],2,FALSE))</f>
        <v>74</v>
      </c>
      <c r="G29" s="205">
        <f>IF($G$23="N/A","N/A",VLOOKUP($G$23,Tabell36[],2,FALSE))</f>
        <v>75</v>
      </c>
      <c r="H29" s="205">
        <f>IF($H$23="N/A","N/A",VLOOKUP($H$23,Tabell36[],2,FALSE))</f>
        <v>51.5</v>
      </c>
      <c r="I29" s="205">
        <f>IF($I$23="N/A","N/A",VLOOKUP($I$23,Tabell36[],2,FALSE))</f>
        <v>52.5</v>
      </c>
      <c r="J29" s="205">
        <f>IF($J$23="N/A","N/A",VLOOKUP($J$23,Tabell36[],2,FALSE))</f>
        <v>110</v>
      </c>
      <c r="P29" s="12"/>
      <c r="Q29" s="12"/>
      <c r="S29" s="12"/>
      <c r="T29" s="13"/>
      <c r="U29" s="12"/>
      <c r="W29" s="12"/>
    </row>
    <row r="30" spans="1:23" ht="18.75" x14ac:dyDescent="0.3">
      <c r="A30" s="15"/>
      <c r="B30" s="16"/>
      <c r="C30" s="2"/>
      <c r="G30" s="12"/>
    </row>
    <row r="31" spans="1:23" x14ac:dyDescent="0.25">
      <c r="E31" s="206" t="s">
        <v>359</v>
      </c>
      <c r="F31" s="3" t="str">
        <f>F23</f>
        <v>ZG5</v>
      </c>
      <c r="G31" s="3" t="str">
        <f t="shared" ref="G31:J31" si="0">G23</f>
        <v>ZGP5</v>
      </c>
      <c r="H31" s="3" t="str">
        <f t="shared" si="0"/>
        <v>HP5</v>
      </c>
      <c r="I31" s="3" t="str">
        <f t="shared" si="0"/>
        <v>HS5</v>
      </c>
      <c r="J31" s="3" t="str">
        <f t="shared" si="0"/>
        <v>ZF160</v>
      </c>
    </row>
    <row r="32" spans="1:23" ht="15.75" x14ac:dyDescent="0.25">
      <c r="A32" s="110" t="s">
        <v>162</v>
      </c>
      <c r="B32" s="110"/>
      <c r="C32" s="110"/>
      <c r="E32" s="207" t="s">
        <v>297</v>
      </c>
      <c r="F32" s="209">
        <f>$B$9-SQRT(($B$9)^2-($B$11)^2)</f>
        <v>168.54186098650189</v>
      </c>
      <c r="G32" s="209">
        <f t="shared" ref="G32:J32" si="1">$B$9-SQRT(($B$9)^2-($B$11)^2)</f>
        <v>168.54186098650189</v>
      </c>
      <c r="H32" s="209">
        <f t="shared" si="1"/>
        <v>168.54186098650189</v>
      </c>
      <c r="I32" s="209">
        <f t="shared" si="1"/>
        <v>168.54186098650189</v>
      </c>
      <c r="J32" s="209">
        <f t="shared" si="1"/>
        <v>168.54186098650189</v>
      </c>
      <c r="M32" s="12"/>
    </row>
    <row r="33" spans="1:15" ht="30" x14ac:dyDescent="0.25">
      <c r="A33" s="33" t="s">
        <v>157</v>
      </c>
      <c r="B33" s="42">
        <f>($B$4+$B$23+$B$15)*8</f>
        <v>7557.1520710000004</v>
      </c>
      <c r="C33" s="33" t="s">
        <v>161</v>
      </c>
      <c r="E33" s="208" t="s">
        <v>370</v>
      </c>
      <c r="F33" s="210">
        <f>IF($B$5&lt;1000,
           ASIN(($B$11*0.5)/$B$9)*(180/PI()),
           ASIN(($B$11*0.3)/$B$9)*(180/PI()))</f>
        <v>7.5468780615650495</v>
      </c>
      <c r="G33" s="210">
        <f>IF($B$5&lt;1000,
           ASIN(($B$11*0.5)/$B$9)*(180/PI()),
           ASIN(($B$11*0.3)/$B$9)*(180/PI()))</f>
        <v>7.5468780615650495</v>
      </c>
      <c r="H33" s="210">
        <f>IF($B$5&lt;1000,
           ASIN(($B$11*0.5)/$B$9)*(180/PI()),
           ASIN(($B$11*0.3)/$B$9)*(180/PI()))</f>
        <v>7.5468780615650495</v>
      </c>
      <c r="I33" s="210">
        <f>IF($B$5&lt;1000,
           ASIN(($B$11*0.5)/$B$9)*(180/PI()),
           ASIN(($B$11*0.3)/$B$9)*(180/PI()))</f>
        <v>7.5468780615650495</v>
      </c>
      <c r="J33" s="210">
        <f>IF($B$5&lt;1000,
           ASIN(($B$11*0.5)/$B$9)*(180/PI()),
           ASIN(($B$11*0.3)/$B$9)*(180/PI()))</f>
        <v>7.5468780615650495</v>
      </c>
      <c r="L33" s="83"/>
    </row>
    <row r="34" spans="1:15" ht="30" x14ac:dyDescent="0.25">
      <c r="A34" s="33" t="s">
        <v>155</v>
      </c>
      <c r="B34" s="42">
        <f>(PI()*(($B$5+2*$B$7)/200)^2*((($B$29+2*$B$7)-2*(0.1935*($B$5+4*$B$7)-0.455*$B$7))/100)+2*(0.1*(($B$5+2*$B$7)/100)^3))*8</f>
        <v>8082.9843237719952</v>
      </c>
      <c r="C34" s="32" t="s">
        <v>161</v>
      </c>
      <c r="E34" s="208" t="s">
        <v>369</v>
      </c>
      <c r="F34" s="210">
        <f>IF(F$23="N/A","N/A",ASIN(F$24/$B$9)*(180/PI()))</f>
        <v>1.6127288968080586</v>
      </c>
      <c r="G34" s="210">
        <f t="shared" ref="G34:I34" si="2">IF(G$23="N/A","N/A",ASIN(G$24/$B$9)*(180/PI()))</f>
        <v>1.6127288968080586</v>
      </c>
      <c r="H34" s="210">
        <f t="shared" si="2"/>
        <v>1.6127288968080586</v>
      </c>
      <c r="I34" s="210">
        <f t="shared" si="2"/>
        <v>1.9559843548328963</v>
      </c>
      <c r="J34" s="210">
        <f>IF(J$23="N/A","N/A",ASIN(J$24/$B$9)*(180/PI()))</f>
        <v>2.8831600200672591</v>
      </c>
    </row>
    <row r="35" spans="1:15" ht="30" x14ac:dyDescent="0.25">
      <c r="A35" s="33" t="s">
        <v>160</v>
      </c>
      <c r="B35" s="42">
        <f>ROUNDUP($B$34-$B$33,-1)</f>
        <v>530</v>
      </c>
      <c r="C35" s="3" t="s">
        <v>161</v>
      </c>
      <c r="E35" s="208" t="s">
        <v>306</v>
      </c>
      <c r="F35" s="210">
        <f>IF(F$23="N/A","N/A",$B$9*(1-COS(F$34*PI()/180)))</f>
        <v>0.66150826143104746</v>
      </c>
      <c r="G35" s="210">
        <f t="shared" ref="G35:J35" si="3">IF(G$23="N/A","N/A",$B$9*(1-COS(G$34*PI()/180)))</f>
        <v>0.66150826143104746</v>
      </c>
      <c r="H35" s="210">
        <f t="shared" si="3"/>
        <v>0.66150826143104746</v>
      </c>
      <c r="I35" s="210">
        <f t="shared" si="3"/>
        <v>0.97303796493449557</v>
      </c>
      <c r="J35" s="210">
        <f t="shared" si="3"/>
        <v>2.113912762625084</v>
      </c>
    </row>
    <row r="36" spans="1:15" x14ac:dyDescent="0.25">
      <c r="E36" s="211" t="s">
        <v>366</v>
      </c>
      <c r="F36" s="212">
        <f>IF(F$23="N/A","N/A",ATAN(F$25/($B$9-F$35-F$26))*(180/PI()))</f>
        <v>0.58450434968324361</v>
      </c>
      <c r="G36" s="212">
        <f t="shared" ref="G36:J36" si="4">IF(G$23="N/A","N/A",ATAN(G$25/($B$9-G$35-G$26))*(180/PI()))</f>
        <v>0.58450434968324361</v>
      </c>
      <c r="H36" s="212">
        <f t="shared" si="4"/>
        <v>0.58426966542441627</v>
      </c>
      <c r="I36" s="212">
        <f t="shared" si="4"/>
        <v>0.59621678548797508</v>
      </c>
      <c r="J36" s="212">
        <f t="shared" si="4"/>
        <v>2.1882820358938311</v>
      </c>
    </row>
    <row r="37" spans="1:15" x14ac:dyDescent="0.25">
      <c r="A37" s="7"/>
      <c r="E37" s="214" t="s">
        <v>367</v>
      </c>
      <c r="F37" s="216">
        <f>IF(F$23="N/A","N/A",ATAN(F$29/($B$9-F$35-$F$28))*(180/PI()))</f>
        <v>2.568874463279271</v>
      </c>
      <c r="G37" s="216">
        <f t="shared" ref="G37:J37" si="5">IF(G$23="N/A","N/A",ATAN(G$29/($B$9-G$35-$F$28))*(180/PI()))</f>
        <v>2.6035415342081083</v>
      </c>
      <c r="H37" s="216">
        <f t="shared" si="5"/>
        <v>1.7884156366542325</v>
      </c>
      <c r="I37" s="216">
        <f t="shared" si="5"/>
        <v>1.8234631195720052</v>
      </c>
      <c r="J37" s="216">
        <f t="shared" si="5"/>
        <v>3.818860647987135</v>
      </c>
      <c r="L37" s="12"/>
      <c r="O37" s="12"/>
    </row>
    <row r="38" spans="1:15" x14ac:dyDescent="0.25">
      <c r="A38" s="7"/>
      <c r="E38" s="218" t="s">
        <v>368</v>
      </c>
      <c r="F38" s="221">
        <f>IF(F$23="N/A","N/A",ATAN(F$29/($B$9-F$35-$F$28))*(180/PI()))</f>
        <v>2.568874463279271</v>
      </c>
      <c r="G38" s="221"/>
      <c r="H38" s="221"/>
      <c r="I38" s="221"/>
      <c r="J38" s="221"/>
      <c r="L38" s="12"/>
      <c r="O38" s="12"/>
    </row>
    <row r="39" spans="1:15" x14ac:dyDescent="0.25">
      <c r="A39" s="7"/>
      <c r="B39" s="12"/>
      <c r="E39" s="211" t="s">
        <v>360</v>
      </c>
      <c r="F39" s="213">
        <f>IF(F$23="N/A","N/A",SQRT(($B$9-F$35-F$26)^2+(F$25)^2))</f>
        <v>1568.4201046495195</v>
      </c>
      <c r="G39" s="213">
        <f>IF(G$23="N/A","N/A",SQRT(($B$9-G$35-G$26)^2+(G$25)^2))</f>
        <v>1568.4201046495195</v>
      </c>
      <c r="H39" s="213">
        <f>IF(H$23="N/A","N/A",SQRT(($B$9-H$35-H$26)^2+(H$25)^2))</f>
        <v>1569.0500718805629</v>
      </c>
      <c r="I39" s="213">
        <f>IF(I$23="N/A","N/A",SQRT(($B$9-I$35-I$26)^2+(I$25)^2))</f>
        <v>1537.6102103539693</v>
      </c>
      <c r="J39" s="213">
        <f>IF(J$23="N/A","N/A",SQRT(($B$9-J$35-J$26)^2+(J$25)^2))</f>
        <v>1597.5511070150637</v>
      </c>
      <c r="O39" s="83"/>
    </row>
    <row r="40" spans="1:15" x14ac:dyDescent="0.25">
      <c r="E40" s="214" t="s">
        <v>365</v>
      </c>
      <c r="F40" s="215">
        <f>IF(F$23="N/A","N/A",SQRT(($B$9-F$35-F$28)^2+(F$29)^2))</f>
        <v>1651.0376764355792</v>
      </c>
      <c r="G40" s="215">
        <f>IF(G$23="N/A","N/A",SQRT(($B$9-G$35-G$28)^2+(G$29)^2))</f>
        <v>1651.0428402468719</v>
      </c>
      <c r="H40" s="215">
        <f>IF(H$23="N/A","N/A",SQRT(($B$9-H$35-H$28)^2+(H$29)^2))</f>
        <v>1622.7559030806772</v>
      </c>
      <c r="I40" s="215">
        <f>IF(I$23="N/A","N/A",SQRT(($B$9-I$35-I$28)^2+(I$29)^2))</f>
        <v>1622.8763710057226</v>
      </c>
      <c r="J40" s="215">
        <f>IF(J$23="N/A","N/A",SQRT(($B$9-J$35-J$28)^2+(J$29)^2))</f>
        <v>1630.1017467505819</v>
      </c>
    </row>
    <row r="41" spans="1:15" x14ac:dyDescent="0.25">
      <c r="E41" s="218" t="s">
        <v>379</v>
      </c>
      <c r="F41" s="220">
        <f>IF(F$23="N/A","N/A",$B$9-F$35-F$27)</f>
        <v>1496.5384917385691</v>
      </c>
      <c r="G41" s="220">
        <f t="shared" ref="G41:J41" si="6">IF(G$23="N/A","N/A",$B$9-G$35-G$27)</f>
        <v>1490.338491738569</v>
      </c>
      <c r="H41" s="220">
        <f t="shared" si="6"/>
        <v>1489.1684917385689</v>
      </c>
      <c r="I41" s="220">
        <f t="shared" si="6"/>
        <v>1457.7269620350655</v>
      </c>
      <c r="J41" s="220">
        <f t="shared" si="6"/>
        <v>1498.386087237375</v>
      </c>
    </row>
    <row r="42" spans="1:15" x14ac:dyDescent="0.25">
      <c r="E42" s="211" t="s">
        <v>361</v>
      </c>
      <c r="F42" s="213">
        <f>IF(F$23="N/A","N/A",F$39*SIN((F$33+F$36)*(PI()/180)))</f>
        <v>221.84278652453162</v>
      </c>
      <c r="G42" s="213">
        <f t="shared" ref="G42:J42" si="7">IF(G$23="N/A","N/A",G$39*SIN((G$33+G$36)*(PI()/180)))</f>
        <v>221.84278652453162</v>
      </c>
      <c r="H42" s="213">
        <f t="shared" si="7"/>
        <v>221.92552903950167</v>
      </c>
      <c r="I42" s="213">
        <f t="shared" si="7"/>
        <v>217.79608262335296</v>
      </c>
      <c r="J42" s="213">
        <f t="shared" si="7"/>
        <v>270.13668082328485</v>
      </c>
    </row>
    <row r="43" spans="1:15" x14ac:dyDescent="0.25">
      <c r="E43" s="214" t="s">
        <v>362</v>
      </c>
      <c r="F43" s="215">
        <f>IF(F$23="N/A","N/A",F$40*SIN((F$33+F$37)*(PI()/180)))</f>
        <v>289.98395206329974</v>
      </c>
      <c r="G43" s="215">
        <f t="shared" ref="G43:J43" si="8">IF(G$23="N/A","N/A",G$40*SIN((G$33+G$37)*(PI()/180)))</f>
        <v>290.96824775575493</v>
      </c>
      <c r="H43" s="215">
        <f t="shared" si="8"/>
        <v>263.22996918867955</v>
      </c>
      <c r="I43" s="215">
        <f t="shared" si="8"/>
        <v>264.22901749034344</v>
      </c>
      <c r="J43" s="215">
        <f t="shared" si="8"/>
        <v>321.24599331732668</v>
      </c>
    </row>
    <row r="44" spans="1:15" x14ac:dyDescent="0.25">
      <c r="E44" s="218" t="s">
        <v>380</v>
      </c>
      <c r="F44" s="220">
        <f>IF(F$23="N/A","N/A",F$41*SIN((F$33)*(PI()/180)))</f>
        <v>196.55136278722125</v>
      </c>
      <c r="G44" s="220">
        <f t="shared" ref="G44:J44" si="9">IF(G$23="N/A","N/A",G$41*SIN((G$33)*(PI()/180)))</f>
        <v>195.73707137005556</v>
      </c>
      <c r="H44" s="220">
        <f t="shared" si="9"/>
        <v>195.58340669939687</v>
      </c>
      <c r="I44" s="220">
        <f t="shared" si="9"/>
        <v>191.45396028324814</v>
      </c>
      <c r="J44" s="220">
        <f t="shared" si="9"/>
        <v>196.79402103836182</v>
      </c>
    </row>
    <row r="45" spans="1:15" x14ac:dyDescent="0.25">
      <c r="E45" s="211" t="s">
        <v>363</v>
      </c>
      <c r="F45" s="213">
        <f>IF(F$23="N/A","N/A",$B$9-SQRT(F$39^2-F$42^2))</f>
        <v>117.34826740320136</v>
      </c>
      <c r="G45" s="213">
        <f t="shared" ref="G45:J45" si="10">IF(G$23="N/A","N/A",$B$9-SQRT(G$39^2-G$42^2))</f>
        <v>117.34826740320136</v>
      </c>
      <c r="H45" s="213">
        <f t="shared" si="10"/>
        <v>116.72372462947305</v>
      </c>
      <c r="I45" s="213">
        <f t="shared" si="10"/>
        <v>147.89289950453917</v>
      </c>
      <c r="J45" s="213">
        <f t="shared" si="10"/>
        <v>95.453807219732653</v>
      </c>
    </row>
    <row r="46" spans="1:15" x14ac:dyDescent="0.25">
      <c r="E46" s="214" t="s">
        <v>364</v>
      </c>
      <c r="F46" s="215">
        <f>IF(F$23="N/A","N/A",$B$9-SQRT(F$40^2-F$43^2))</f>
        <v>44.627822141788101</v>
      </c>
      <c r="G46" s="215">
        <f t="shared" ref="G46:J46" si="11">IF(G$23="N/A","N/A",$B$9-SQRT(G$40^2-G$43^2))</f>
        <v>44.798492762080969</v>
      </c>
      <c r="H46" s="215">
        <f t="shared" si="11"/>
        <v>68.73590426060241</v>
      </c>
      <c r="I46" s="215">
        <f t="shared" si="11"/>
        <v>68.778359537696133</v>
      </c>
      <c r="J46" s="215">
        <f t="shared" si="11"/>
        <v>71.865864034916967</v>
      </c>
    </row>
    <row r="47" spans="1:15" x14ac:dyDescent="0.25">
      <c r="E47" s="218" t="s">
        <v>381</v>
      </c>
      <c r="F47" s="219">
        <f>IF(F$23="N/A","N/A",$B$9-SQRT(F$41^2-F$44^2))</f>
        <v>186.42491964793453</v>
      </c>
      <c r="G47" s="219">
        <f t="shared" ref="G47:J47" si="12">IF(G$23="N/A","N/A",$B$9-SQRT(G$41^2-G$44^2))</f>
        <v>192.57121361161148</v>
      </c>
      <c r="H47" s="219">
        <f t="shared" si="12"/>
        <v>193.73107876282165</v>
      </c>
      <c r="I47" s="219">
        <f t="shared" si="12"/>
        <v>224.90025363788754</v>
      </c>
      <c r="J47" s="219">
        <f t="shared" si="12"/>
        <v>184.59332850896249</v>
      </c>
    </row>
    <row r="48" spans="1:15" ht="30" x14ac:dyDescent="0.25">
      <c r="E48" s="224" t="s">
        <v>385</v>
      </c>
      <c r="F48" s="217">
        <f>IF(F$23="N/A","N/A",
          IF(F$45&lt;F$32,(1/3*PI()*F$45^2*(3*$B$9-F$45)/1000000),IF(F$45&lt;$B$16,(1/3*PI()*F$32^2*(3*$B$9-F$32)/1000000)+(((PI()*(SQRT($B$10^2-(F$45-$B$16)^2)+$B$6-$B$10)^2*(F$45-F$32)-$B$11^2*PI()*(F$45-F$32))/1.4+$B$11^2*PI()*(F$45-F$32))/1000000),$B$15+((F$45-$B$16)*PI()*$B$6^2/1000000))))</f>
        <v>70.554754431814231</v>
      </c>
      <c r="G48" s="217">
        <f t="shared" ref="G48:J48" si="13">IF(G$23="N/A","N/A",
          IF(G$45&lt;G$32,(1/3*PI()*G$45^2*(3*$B$9-G$45)/1000000),IF(G$45&lt;$B$16,(1/3*PI()*G$32^2*(3*$B$9-G$32)/1000000)+(((PI()*(SQRT($B$10^2-(G$45-$B$16)^2)+$B$6-$B$10)^2*(G$45-G$32)-$B$11^2*PI()*(G$45-G$32))/1.4+$B$11^2*PI()*(G$45-G$32))/1000000),$B$15+((G$45-$B$16)*PI()*$B$6^2/1000000))))</f>
        <v>70.554754431814231</v>
      </c>
      <c r="H48" s="217">
        <f t="shared" si="13"/>
        <v>69.814660346299533</v>
      </c>
      <c r="I48" s="217">
        <f t="shared" si="13"/>
        <v>111.36476017923704</v>
      </c>
      <c r="J48" s="217">
        <f t="shared" si="13"/>
        <v>46.89197768519535</v>
      </c>
    </row>
    <row r="49" spans="2:10" ht="30" x14ac:dyDescent="0.25">
      <c r="E49" s="225" t="s">
        <v>387</v>
      </c>
      <c r="F49" s="222">
        <f>IF(F$23="N/A","N/A",
          IF(F$46&lt;F$32,(1/3*PI()*F$46^2*(3*$B$9-F$46)/1000000),IF(F$46&lt;$B$16,(1/3*PI()*F$32^2*(3*$B$9-F$32)/1000000)+(((PI()*(SQRT($B$10^2-(F$46-$B$16)^2)+$B$6-$B$10)^2*(F$46-F$32)-$B$11^2*PI()*(F$46-F$32))/1.4+$B$11^2*PI()*(F$46-F$32))/1000000),$B$15+((F$46-$B$16)*PI()*$B$6^2/1000000))))</f>
        <v>10.355994511702093</v>
      </c>
      <c r="G49" s="222">
        <f t="shared" ref="G49:J49" si="14">IF(G$23="N/A","N/A",
          IF(G$46&lt;G$32,(1/3*PI()*G$46^2*(3*$B$9-G$46)/1000000),IF(G$46&lt;$B$16,(1/3*PI()*G$32^2*(3*$B$9-G$32)/1000000)+(((PI()*(SQRT($B$10^2-(G$46-$B$16)^2)+$B$6-$B$10)^2*(G$46-G$32)-$B$11^2*PI()*(G$46-G$32))/1.4+$B$11^2*PI()*(G$46-G$32))/1000000),$B$15+((G$46-$B$16)*PI()*$B$6^2/1000000))))</f>
        <v>10.434996349762695</v>
      </c>
      <c r="H49" s="222">
        <f t="shared" si="14"/>
        <v>24.447473559153853</v>
      </c>
      <c r="I49" s="222">
        <f t="shared" si="14"/>
        <v>24.4774729263194</v>
      </c>
      <c r="J49" s="222">
        <f t="shared" si="14"/>
        <v>26.707719319161082</v>
      </c>
    </row>
    <row r="50" spans="2:10" ht="30" x14ac:dyDescent="0.25">
      <c r="B50" s="12"/>
      <c r="E50" s="226" t="s">
        <v>386</v>
      </c>
      <c r="F50" s="223">
        <f>IF(F$23="N/A","N/A",
          IF(F$47&lt;F$32,(1/3*PI()*F$47^2*(3*$B$9-F$47)/1000000),IF(F$47&lt;$B$16,(1/3*PI()*F$32^2*(3*$B$9-F$32)/1000000)+(((PI()*(SQRT($B$10^2-(F$47-$B$16)^2)+$B$6-$B$10)^2*(F$47-F$32)-$B$11^2*PI()*(F$47-F$32))/1.4+$B$11^2*PI()*(F$47-F$32))/1000000),$B$15+((F$47-$B$16)*PI()*$B$6^2/1000000))))</f>
        <v>175.78284975879697</v>
      </c>
      <c r="G50" s="223">
        <f t="shared" ref="G50:J50" si="15">IF(G$23="N/A","N/A",
          IF(G$47&lt;G$32,(1/3*PI()*G$47^2*(3*$B$9-G$47)/1000000),IF(G$47&lt;$B$16,(1/3*PI()*G$32^2*(3*$B$9-G$32)/1000000)+(((PI()*(SQRT($B$10^2-(G$47-$B$16)^2)+$B$6-$B$10)^2*(G$47-G$32)-$B$11^2*PI()*(G$47-G$32))/1.4+$B$11^2*PI()*(G$47-G$32))/1000000),$B$15+((G$47-$B$16)*PI()*$B$6^2/1000000))))</f>
        <v>187.31743519378375</v>
      </c>
      <c r="H50" s="223">
        <f t="shared" si="15"/>
        <v>189.52201294549053</v>
      </c>
      <c r="I50" s="223">
        <f t="shared" si="15"/>
        <v>251.23965779101198</v>
      </c>
      <c r="J50" s="223">
        <f t="shared" si="15"/>
        <v>172.39749272463598</v>
      </c>
    </row>
    <row r="53" spans="2:10" x14ac:dyDescent="0.25">
      <c r="F53" s="12"/>
    </row>
    <row r="54" spans="2:10" x14ac:dyDescent="0.25">
      <c r="F54" s="12"/>
    </row>
    <row r="55" spans="2:10" x14ac:dyDescent="0.25">
      <c r="F55" s="44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2E4D64E-1A4E-4918-B637-6188ABDA9D18}">
          <x14:formula1>
            <xm:f>'Vessel Dish Type List (IGNORE!)'!$B$2:$B$7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F55"/>
  <sheetViews>
    <sheetView tabSelected="1" topLeftCell="A28" zoomScaleNormal="100" workbookViewId="0">
      <selection activeCell="B49" sqref="B49"/>
    </sheetView>
  </sheetViews>
  <sheetFormatPr defaultRowHeight="15" x14ac:dyDescent="0.25"/>
  <cols>
    <col min="1" max="1" width="13.5703125" customWidth="1"/>
    <col min="2" max="2" width="27.85546875" style="53" customWidth="1"/>
    <col min="3" max="5" width="25.7109375" style="53" customWidth="1"/>
    <col min="6" max="7" width="25.7109375" customWidth="1"/>
    <col min="10" max="10" width="11.7109375" bestFit="1" customWidth="1"/>
  </cols>
  <sheetData>
    <row r="1" spans="2:32" ht="15.75" thickBot="1" x14ac:dyDescent="0.3">
      <c r="B1" s="119"/>
      <c r="C1" s="235" t="s">
        <v>125</v>
      </c>
      <c r="D1" s="235" t="s">
        <v>126</v>
      </c>
      <c r="E1" s="235" t="s">
        <v>127</v>
      </c>
      <c r="F1" s="235" t="s">
        <v>128</v>
      </c>
      <c r="G1" s="239" t="s">
        <v>129</v>
      </c>
      <c r="H1" s="53"/>
      <c r="I1" s="53"/>
      <c r="J1" s="53"/>
    </row>
    <row r="2" spans="2:32" x14ac:dyDescent="0.25">
      <c r="B2" s="274" t="s">
        <v>193</v>
      </c>
      <c r="C2" s="275"/>
      <c r="D2" s="275"/>
      <c r="E2" s="275"/>
      <c r="F2" s="275"/>
      <c r="G2" s="276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</row>
    <row r="3" spans="2:32" ht="45" x14ac:dyDescent="0.25">
      <c r="B3" s="114" t="s">
        <v>192</v>
      </c>
      <c r="C3" s="106" t="str">
        <f>IF(Input!$D$3=0,"",VLOOKUP(Input!$D$3,'Main Mixing Purpose List'!$A$2:$F$19,2,FALSE))</f>
        <v>Biopharma - Upstream: Media prep - Sinking powder mixing</v>
      </c>
      <c r="D3" s="106" t="str">
        <f>IF(Input!$D$3=0,"",VLOOKUP(Input!$D$3,'Main Mixing Purpose List'!$A$2:$F$19,2,FALSE))</f>
        <v>Biopharma - Upstream: Media prep - Sinking powder mixing</v>
      </c>
      <c r="E3" s="106" t="str">
        <f>IF(Input!$D$3=0,"",VLOOKUP(Input!$D$3,'Main Mixing Purpose List'!$A$2:$F$19,2,FALSE))</f>
        <v>Biopharma - Upstream: Media prep - Sinking powder mixing</v>
      </c>
      <c r="F3" s="106" t="str">
        <f>IF(Input!$D$3=0,"",VLOOKUP(Input!$D$3,'Main Mixing Purpose List'!$A$2:$F$19,2,FALSE))</f>
        <v>Biopharma - Upstream: Media prep - Sinking powder mixing</v>
      </c>
      <c r="G3" s="114" t="str">
        <f>IF(Input!$D$3=0,"",VLOOKUP(Input!$D$3,'Main Mixing Purpose List'!$A$2:$F$19,2,FALSE))</f>
        <v>Biopharma - Upstream: Media prep - Sinking powder mixing</v>
      </c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</row>
    <row r="4" spans="2:32" x14ac:dyDescent="0.25">
      <c r="B4" s="114" t="s">
        <v>191</v>
      </c>
      <c r="C4" s="106" t="str">
        <f>IF(Input!$D$4=0,"",Input!$D$4)</f>
        <v/>
      </c>
      <c r="D4" s="106" t="str">
        <f>IF(Input!$D$4=0,"",Input!$D$4)</f>
        <v/>
      </c>
      <c r="E4" s="106" t="str">
        <f>IF(Input!$D$4=0,"",Input!$D$4)</f>
        <v/>
      </c>
      <c r="F4" s="106" t="str">
        <f>IF(Input!$D$4=0,"",Input!$D$4)</f>
        <v/>
      </c>
      <c r="G4" s="114" t="str">
        <f>IF(Input!$D$4=0,"",Input!$D$4)</f>
        <v/>
      </c>
    </row>
    <row r="5" spans="2:32" x14ac:dyDescent="0.25">
      <c r="B5" s="114" t="s">
        <v>190</v>
      </c>
      <c r="C5" s="106" t="str">
        <f>IF(Input!$D$5=0,"",Input!$D$5)</f>
        <v/>
      </c>
      <c r="D5" s="106" t="str">
        <f>IF(Input!$D$5=0,"",Input!$D$5)</f>
        <v/>
      </c>
      <c r="E5" s="106" t="str">
        <f>IF(Input!$D$5=0,"",Input!$D$5)</f>
        <v/>
      </c>
      <c r="F5" s="106" t="str">
        <f>IF(Input!$D$5=0,"",Input!$D$5)</f>
        <v/>
      </c>
      <c r="G5" s="114" t="str">
        <f>IF(Input!$D$5=0,"",Input!$D$5)</f>
        <v/>
      </c>
    </row>
    <row r="6" spans="2:32" x14ac:dyDescent="0.25">
      <c r="B6" s="114" t="s">
        <v>189</v>
      </c>
      <c r="C6" s="106" t="str">
        <f>IF(Input!$D$6=0,"",Input!$D$6)</f>
        <v/>
      </c>
      <c r="D6" s="106" t="str">
        <f>IF(Input!$D$6=0,"",Input!$D$6)</f>
        <v/>
      </c>
      <c r="E6" s="106" t="str">
        <f>IF(Input!$D$6=0,"",Input!$D$6)</f>
        <v/>
      </c>
      <c r="F6" s="106" t="str">
        <f>IF(Input!$D$6=0,"",Input!$D$6)</f>
        <v/>
      </c>
      <c r="G6" s="114" t="str">
        <f>IF(Input!$D$6=0,"",Input!$D$6)</f>
        <v/>
      </c>
    </row>
    <row r="7" spans="2:32" ht="21.75" customHeight="1" x14ac:dyDescent="0.25">
      <c r="B7" s="271" t="s">
        <v>124</v>
      </c>
      <c r="C7" s="272"/>
      <c r="D7" s="272"/>
      <c r="E7" s="272"/>
      <c r="F7" s="272"/>
      <c r="G7" s="273"/>
    </row>
    <row r="8" spans="2:32" ht="30.75" customHeight="1" x14ac:dyDescent="0.25">
      <c r="B8" s="114" t="s">
        <v>188</v>
      </c>
      <c r="C8" s="234" t="str">
        <f>IF(Input!$D$7="YES","YES - Drive Unit extension might be needed",Input!$D$7)</f>
        <v>YES - Drive Unit extension might be needed</v>
      </c>
      <c r="D8" s="106" t="str">
        <f>IF(Input!$D$7="YES","YES - Drive Unit extension might be needed",Input!$D$7)</f>
        <v>YES - Drive Unit extension might be needed</v>
      </c>
      <c r="E8" s="106" t="str">
        <f>IF(Input!$D$7="YES","YES - Drive Unit extension might be needed",Input!$D$7)</f>
        <v>YES - Drive Unit extension might be needed</v>
      </c>
      <c r="F8" s="106" t="str">
        <f>IF(Input!$D$7="YES","YES - Drive Unit extension might be needed",Input!$D$7)</f>
        <v>YES - Drive Unit extension might be needed</v>
      </c>
      <c r="G8" s="114" t="str">
        <f>IF(Input!$D$7="YES","YES - Drive Unit extension might be needed",Input!$D$7)</f>
        <v>YES - Drive Unit extension might be needed</v>
      </c>
    </row>
    <row r="9" spans="2:32" x14ac:dyDescent="0.25">
      <c r="B9" s="114" t="s">
        <v>187</v>
      </c>
      <c r="C9" s="106" t="str">
        <f>Input!$D$8</f>
        <v>YES</v>
      </c>
      <c r="D9" s="106" t="str">
        <f>Input!$D$8</f>
        <v>YES</v>
      </c>
      <c r="E9" s="106" t="str">
        <f>Input!$D$8</f>
        <v>YES</v>
      </c>
      <c r="F9" s="106" t="str">
        <f>Input!$D$8</f>
        <v>YES</v>
      </c>
      <c r="G9" s="114" t="str">
        <f>Input!$D$8</f>
        <v>YES</v>
      </c>
    </row>
    <row r="10" spans="2:32" x14ac:dyDescent="0.25">
      <c r="B10" s="114" t="s">
        <v>1</v>
      </c>
      <c r="C10" s="106" t="str">
        <f>IF(Input!$D$24="Metric",
CONCATENATE(Input!$D$9," mm"),
CONCATENATE(SUBSTITUTE(ROUND(Input!$D$9/25.4,1),",",".",1)," in"))</f>
        <v>65 in</v>
      </c>
      <c r="D10" s="106" t="str">
        <f>IF(Input!$D$24="Metric",
CONCATENATE(Input!$D$9," mm"),
CONCATENATE(SUBSTITUTE(ROUND(Input!$D$9/25.4,1),",",".",1)," in"))</f>
        <v>65 in</v>
      </c>
      <c r="E10" s="106" t="str">
        <f>IF(Input!$D$24="Metric",
CONCATENATE(Input!$D$9," mm"),
CONCATENATE(SUBSTITUTE(ROUND(Input!$D$9/25.4,1),",",".",1)," in"))</f>
        <v>65 in</v>
      </c>
      <c r="F10" s="106" t="str">
        <f>IF(Input!$D$24="Metric",
CONCATENATE(Input!$D$9," mm"),
CONCATENATE(SUBSTITUTE(ROUND(Input!$D$9/25.4,1),",",".",1)," in"))</f>
        <v>65 in</v>
      </c>
      <c r="G10" s="114" t="str">
        <f>IF(Input!$D$24="Metric",
CONCATENATE(Input!$D$9," mm"),
CONCATENATE(SUBSTITUTE(ROUND(Input!$D$9/25.4,1),",",".",1)," in"))</f>
        <v>65 in</v>
      </c>
    </row>
    <row r="11" spans="2:32" x14ac:dyDescent="0.25">
      <c r="B11" s="114" t="s">
        <v>186</v>
      </c>
      <c r="C11" s="106" t="str">
        <f>IF(Input!$D$24="Metric",
'Vessel dimensions - DIN 28011'!$B$13,
'Vessel dimensions - DIN 28011'!$B$14)</f>
        <v>8.7 in - 14.4 in</v>
      </c>
      <c r="D11" s="106" t="str">
        <f>IF(Input!$D$24="Metric",
'Vessel dimensions - DIN 28011'!$B$13,
'Vessel dimensions - DIN 28011'!$B$14)</f>
        <v>8.7 in - 14.4 in</v>
      </c>
      <c r="E11" s="106" t="str">
        <f>IF(Input!$D$24="Metric",
'Vessel dimensions - DIN 28011'!$B$13,
'Vessel dimensions - DIN 28011'!$B$14)</f>
        <v>8.7 in - 14.4 in</v>
      </c>
      <c r="F11" s="106" t="str">
        <f>IF(Input!$D$24="Metric",
'Vessel dimensions - DIN 28011'!$B$13,
'Vessel dimensions - DIN 28011'!$B$14)</f>
        <v>8.7 in - 14.4 in</v>
      </c>
      <c r="G11" s="114" t="str">
        <f>IF(Input!$D$24="Metric",
'Vessel dimensions - DIN 28011'!$B$13,
'Vessel dimensions - DIN 28011'!$B$14)</f>
        <v>8.7 in - 14.4 in</v>
      </c>
    </row>
    <row r="12" spans="2:32" x14ac:dyDescent="0.25">
      <c r="B12" s="114" t="s">
        <v>15</v>
      </c>
      <c r="C12" s="106" t="str">
        <f>IF(Input!$D$24="Metric",
CONCATENATE(Input!$D$10," mm"),
CONCATENATE(SUBSTITUTE(ROUND(Input!$D$10/25.4,3),",",".",1)," in"))</f>
        <v>0.394 in</v>
      </c>
      <c r="D12" s="106" t="str">
        <f>IF(Input!$D$24="Metric",
CONCATENATE(Input!$D$10," mm"),
CONCATENATE(SUBSTITUTE(ROUND(Input!$D$10/25.4,3),",",".",1)," in"))</f>
        <v>0.394 in</v>
      </c>
      <c r="E12" s="106" t="str">
        <f>IF(Input!$D$24="Metric",
CONCATENATE(Input!$D$10," mm"),
CONCATENATE(SUBSTITUTE(ROUND(Input!$D$10/25.4,3),",",".",1)," in"))</f>
        <v>0.394 in</v>
      </c>
      <c r="F12" s="106" t="str">
        <f>IF(Input!$D$24="Metric",
CONCATENATE(Input!$D$10," mm"),
CONCATENATE(SUBSTITUTE(ROUND(Input!$D$10/25.4,3),",",".",1)," in"))</f>
        <v>0.394 in</v>
      </c>
      <c r="G12" s="114" t="str">
        <f>IF(Input!$D$24="Metric",
CONCATENATE(Input!$D$10," mm"),
CONCATENATE(SUBSTITUTE(ROUND(Input!$D$10/25.4,3),",",".",1)," in"))</f>
        <v>0.394 in</v>
      </c>
    </row>
    <row r="13" spans="2:32" ht="30" x14ac:dyDescent="0.25">
      <c r="B13" s="114" t="s">
        <v>160</v>
      </c>
      <c r="C13" s="106" t="str">
        <f>IF(Input!$D$24="Metric",
CONCATENATE('Vessel dimensions - DIN 28011'!$B$35," kg"),
CONCATENATE(ROUNDUP('Vessel dimensions - DIN 28011'!$B$35*2.20462,-1)," lb"))</f>
        <v>1170 lb</v>
      </c>
      <c r="D13" s="106" t="str">
        <f>IF(Input!$D$24="Metric",
CONCATENATE('Vessel dimensions - DIN 28011'!$B$35," kg"),
CONCATENATE(ROUNDUP('Vessel dimensions - DIN 28011'!$B$35*2.20462,-1)," lb"))</f>
        <v>1170 lb</v>
      </c>
      <c r="E13" s="106" t="str">
        <f>IF(Input!$D$24="Metric",
CONCATENATE('Vessel dimensions - DIN 28011'!$B$35," kg"),
CONCATENATE(ROUNDUP('Vessel dimensions - DIN 28011'!$B$35*2.20462,-1)," lb"))</f>
        <v>1170 lb</v>
      </c>
      <c r="F13" s="106" t="str">
        <f>IF(Input!$D$24="Metric",
CONCATENATE('Vessel dimensions - DIN 28011'!$B$35," kg"),
CONCATENATE(ROUNDUP('Vessel dimensions - DIN 28011'!$B$35*2.20462,-1)," lb"))</f>
        <v>1170 lb</v>
      </c>
      <c r="G13" s="114" t="str">
        <f>IF(Input!$D$24="Metric",
CONCATENATE('Vessel dimensions - DIN 28011'!$B$35," kg"),
CONCATENATE(ROUNDUP('Vessel dimensions - DIN 28011'!$B$35*2.20462,-1)," lb"))</f>
        <v>1170 lb</v>
      </c>
      <c r="J13" s="126"/>
      <c r="K13" s="127"/>
    </row>
    <row r="14" spans="2:32" ht="23.25" x14ac:dyDescent="0.25">
      <c r="B14" s="114" t="s">
        <v>350</v>
      </c>
      <c r="C14" s="106" t="str">
        <f>IF(Input!$D$24="Metric",
CONCATENATE(Input!$D$11," L"),
CONCATENATE(SUBSTITUTE(ROUNDUP(Input!$D$11*0.264172,1),",",".",1)," gal"))</f>
        <v>132.1 gal</v>
      </c>
      <c r="D14" s="106" t="str">
        <f>IF(Input!$D$24="Metric",
CONCATENATE(Input!$D$11," L"),
CONCATENATE(SUBSTITUTE(ROUNDUP(Input!$D$11*0.264172,1),",",".",1)," gal"))</f>
        <v>132.1 gal</v>
      </c>
      <c r="E14" s="106" t="str">
        <f>IF(Input!$D$24="Metric",
CONCATENATE(Input!$D$11," L"),
CONCATENATE(SUBSTITUTE(ROUNDUP(Input!$D$11*0.264172,1),",",".",1)," gal"))</f>
        <v>132.1 gal</v>
      </c>
      <c r="F14" s="106" t="str">
        <f>IF(Input!$D$24="Metric",
CONCATENATE(Input!$D$11," L"),
CONCATENATE(SUBSTITUTE(ROUNDUP(Input!$D$11*0.264172,1),",",".",1)," gal"))</f>
        <v>132.1 gal</v>
      </c>
      <c r="G14" s="114" t="str">
        <f>IF(Input!$D$24="Metric",
CONCATENATE(Input!$D$11," L"),
CONCATENATE(SUBSTITUTE(ROUNDUP(Input!$D$11*0.264172,1),",",".",1)," gal"))</f>
        <v>132.1 gal</v>
      </c>
      <c r="J14" s="126"/>
      <c r="K14" s="127"/>
    </row>
    <row r="15" spans="2:32" ht="23.25" x14ac:dyDescent="0.25">
      <c r="B15" s="114" t="s">
        <v>2</v>
      </c>
      <c r="C15" s="106" t="str">
        <f>IF(Input!$D$24="Metric",
CONCATENATE(Input!$D$12," L"),
CONCATENATE(SUBSTITUTE(ROUNDUP(Input!$D$12*0.264172,1),",",".",1)," gal"))</f>
        <v>132.1 gal</v>
      </c>
      <c r="D15" s="106" t="str">
        <f>IF(Input!$D$24="Metric",
CONCATENATE(Input!$D$12," L"),
CONCATENATE(SUBSTITUTE(ROUNDUP(Input!$D$12*0.264172,1),",",".",1)," gal"))</f>
        <v>132.1 gal</v>
      </c>
      <c r="E15" s="106" t="str">
        <f>IF(Input!$D$24="Metric",
CONCATENATE(Input!$D$12," L"),
CONCATENATE(SUBSTITUTE(ROUNDUP(Input!$D$12*0.264172,1),",",".",1)," gal"))</f>
        <v>132.1 gal</v>
      </c>
      <c r="F15" s="106" t="str">
        <f>IF(Input!$D$24="Metric",
CONCATENATE(Input!$D$12," L"),
CONCATENATE(SUBSTITUTE(ROUNDUP(Input!$D$12*0.264172,1),",",".",1)," gal"))</f>
        <v>132.1 gal</v>
      </c>
      <c r="G15" s="114" t="str">
        <f>IF(Input!$D$24="Metric",
CONCATENATE(Input!$D$12," L"),
CONCATENATE(SUBSTITUTE(ROUNDUP(Input!$D$12*0.264172,1),",",".",1)," gal"))</f>
        <v>132.1 gal</v>
      </c>
      <c r="J15" s="126"/>
      <c r="K15" s="127"/>
    </row>
    <row r="16" spans="2:32" ht="30" x14ac:dyDescent="0.25">
      <c r="B16" s="114" t="s">
        <v>393</v>
      </c>
      <c r="C16" s="106" t="str">
        <f>IF(Input!$D$24="Metric",
CONCATENATE(ROUNDUP('Vessel dimensions - DIN 28011'!$F$48,1)," L"),
CONCATENATE(SUBSTITUTE(ROUNDUP('Vessel dimensions - DIN 28011'!$F$48*0.264172,1),",",".",1)," gal"))</f>
        <v>18.7 gal</v>
      </c>
      <c r="D16" s="106" t="str">
        <f>IF(Input!$D$24="Metric",
CONCATENATE(ROUNDUP('Vessel dimensions - DIN 28011'!$G$48,1)," L"),
CONCATENATE(SUBSTITUTE(ROUNDUP('Vessel dimensions - DIN 28011'!$G$48*0.264172,1),",",".",1)," gal"))</f>
        <v>18.7 gal</v>
      </c>
      <c r="E16" s="106" t="str">
        <f>IF(Input!$D$24="Metric",
CONCATENATE(ROUNDUP('Vessel dimensions - DIN 28011'!$H$48,1)," L"),
CONCATENATE(SUBSTITUTE(ROUNDUP('Vessel dimensions - DIN 28011'!$H$48*0.264172,1),",",".",1)," gal"))</f>
        <v>18.5 gal</v>
      </c>
      <c r="F16" s="106" t="str">
        <f>IF(Input!$D$24="Metric",
CONCATENATE(ROUNDUP('Vessel dimensions - DIN 28011'!$I$48,1)," L"),
CONCATENATE(SUBSTITUTE(ROUNDUP('Vessel dimensions - DIN 28011'!$I$48*0.264172,1),",",".",1)," gal"))</f>
        <v>29.5 gal</v>
      </c>
      <c r="G16" s="114" t="str">
        <f>IF(Input!$D$24="Metric",
CONCATENATE(ROUNDUP('Vessel dimensions - DIN 28011'!$J$48,1)," L"),
CONCATENATE(SUBSTITUTE(ROUNDUP('Vessel dimensions - DIN 28011'!$J$48*0.264172,1),",",".",1)," gal"))</f>
        <v>12.4 gal</v>
      </c>
    </row>
    <row r="17" spans="1:9" ht="30" x14ac:dyDescent="0.25">
      <c r="B17" s="114" t="s">
        <v>392</v>
      </c>
      <c r="C17" s="106" t="str">
        <f>IF(Input!$D$24="Metric",
CONCATENATE(ROUNDUP('Vessel dimensions - DIN 28011'!$F$49,1)," L"),
CONCATENATE(SUBSTITUTE(ROUNDUP('Vessel dimensions - DIN 28011'!$F$49*0.264172,1),",",".",1)," gal"))</f>
        <v>2.8 gal</v>
      </c>
      <c r="D17" s="106" t="str">
        <f>IF(Input!$D$24="Metric",
CONCATENATE(ROUNDUP('Vessel dimensions - DIN 28011'!$G$49,1)," L"),
CONCATENATE(SUBSTITUTE(ROUNDUP('Vessel dimensions - DIN 28011'!$G$49*0.264172,1),",",".",1)," gal"))</f>
        <v>2.8 gal</v>
      </c>
      <c r="E17" s="106" t="str">
        <f>IF(Input!$D$24="Metric",
CONCATENATE(ROUNDUP('Vessel dimensions - DIN 28011'!$H$49,1)," L"),
CONCATENATE(SUBSTITUTE(ROUNDUP('Vessel dimensions - DIN 28011'!$H$49*0.264172,1),",",".",1)," gal"))</f>
        <v>6.5 gal</v>
      </c>
      <c r="F17" s="106" t="str">
        <f>IF(Input!$D$24="Metric",
CONCATENATE(ROUNDUP('Vessel dimensions - DIN 28011'!$I$49,1)," L"),
CONCATENATE(SUBSTITUTE(ROUNDUP('Vessel dimensions - DIN 28011'!$I$49*0.264172,1),",",".",1)," gal"))</f>
        <v>6.5 gal</v>
      </c>
      <c r="G17" s="114" t="str">
        <f>IF(Input!$D$24="Metric",
CONCATENATE(ROUNDUP('Vessel dimensions - DIN 28011'!$J$49,1)," L"),
CONCATENATE(SUBSTITUTE(ROUNDUP('Vessel dimensions - DIN 28011'!$J$49*0.264172,1),",",".",1)," gal"))</f>
        <v>7.1 gal</v>
      </c>
    </row>
    <row r="18" spans="1:9" ht="30" customHeight="1" x14ac:dyDescent="0.25">
      <c r="B18" s="114" t="s">
        <v>185</v>
      </c>
      <c r="C18" s="106" t="str">
        <f>IF(Input!$D$24="metric",
ROUND('Vessel dimensions - DIN 28011'!$B$19,2),
SUBSTITUTE(ROUND('Vessel dimensions - DIN 28011'!$B$19,2),",",".",1))</f>
        <v>0.21</v>
      </c>
      <c r="D18" s="106" t="str">
        <f>IF(Input!$D$24="metric",
ROUND('Vessel dimensions - DIN 28011'!$B$19,2),
SUBSTITUTE(ROUND('Vessel dimensions - DIN 28011'!$B$19,2),",",".",1))</f>
        <v>0.21</v>
      </c>
      <c r="E18" s="106" t="str">
        <f>IF(Input!$D$24="metric",
ROUND('Vessel dimensions - DIN 28011'!$B$19,2),
SUBSTITUTE(ROUND('Vessel dimensions - DIN 28011'!$B$19,2),",",".",1))</f>
        <v>0.21</v>
      </c>
      <c r="F18" s="106" t="str">
        <f>IF(Input!$D$24="metric",
ROUND('Vessel dimensions - DIN 28011'!$B$19,2),
SUBSTITUTE(ROUND('Vessel dimensions - DIN 28011'!$B$19,2),",",".",1))</f>
        <v>0.21</v>
      </c>
      <c r="G18" s="114" t="str">
        <f>IF(Input!$D$24="metric",
ROUND('Vessel dimensions - DIN 28011'!$B$19,2),
SUBSTITUTE(ROUND('Vessel dimensions - DIN 28011'!$B$19,2),",",".",1))</f>
        <v>0.21</v>
      </c>
    </row>
    <row r="19" spans="1:9" ht="45" customHeight="1" x14ac:dyDescent="0.25">
      <c r="A19" s="27"/>
      <c r="B19" s="277" t="s">
        <v>398</v>
      </c>
      <c r="C19" s="278"/>
      <c r="D19" s="278"/>
      <c r="E19" s="278"/>
      <c r="F19" s="278"/>
      <c r="G19" s="279"/>
    </row>
    <row r="20" spans="1:9" ht="23.25" customHeight="1" x14ac:dyDescent="0.25">
      <c r="B20" s="271" t="s">
        <v>184</v>
      </c>
      <c r="C20" s="272"/>
      <c r="D20" s="272"/>
      <c r="E20" s="272"/>
      <c r="F20" s="272"/>
      <c r="G20" s="273"/>
    </row>
    <row r="21" spans="1:9" x14ac:dyDescent="0.25">
      <c r="B21" s="114" t="s">
        <v>183</v>
      </c>
      <c r="C21" s="106" t="str">
        <f>IF(Input!$D$3=0,Input!$D$13,VLOOKUP(Input!$D$3,'Main Mixing Purpose List'!$A$2:$F$19,5,FALSE))</f>
        <v>General</v>
      </c>
      <c r="D21" s="227" t="str">
        <f>IF(Input!$D$3=0,Input!$D$13,VLOOKUP(Input!$D$3,'Main Mixing Purpose List'!$A$2:$F$19,5,FALSE))</f>
        <v>General</v>
      </c>
      <c r="E21" s="227" t="str">
        <f>IF(Input!$D$3=0,Input!$D$13,VLOOKUP(Input!$D$3,'Main Mixing Purpose List'!$A$2:$F$19,5,FALSE))</f>
        <v>General</v>
      </c>
      <c r="F21" s="227" t="str">
        <f>IF(Input!$D$3=0,Input!$D$13,VLOOKUP(Input!$D$3,'Main Mixing Purpose List'!$A$2:$F$19,5,FALSE))</f>
        <v>General</v>
      </c>
      <c r="G21" s="114" t="str">
        <f>IF(Input!$D$3=0,Input!$D$13,VLOOKUP(Input!$D$3,'Main Mixing Purpose List'!$A$2:$F$19,5,FALSE))</f>
        <v>General</v>
      </c>
    </row>
    <row r="22" spans="1:9" x14ac:dyDescent="0.25">
      <c r="B22" s="114" t="s">
        <v>4</v>
      </c>
      <c r="C22" s="106" t="str">
        <f>IF(Input!$D$24="Metric",
CONCATENATE(Input!$D$14," kg/m3"),
CONCATENATE(SUBSTITUTE(ROUNDUP(Input!$D$14*2.20462/35.3147,1),",",".",1)," lb/ft3"))</f>
        <v>62.5 lb/ft3</v>
      </c>
      <c r="D22" s="106" t="str">
        <f>IF(Input!$D$24="Metric",
CONCATENATE(Input!$D$14," kg/m3"),
CONCATENATE(SUBSTITUTE(ROUNDUP(Input!$D$14*2.20462/35.3147,1),",",".",1)," lb/ft3"))</f>
        <v>62.5 lb/ft3</v>
      </c>
      <c r="E22" s="106" t="str">
        <f>IF(Input!$D$24="Metric",
CONCATENATE(Input!$D$14," kg/m3"),
CONCATENATE(SUBSTITUTE(ROUNDUP(Input!$D$14*2.20462/35.3147,1),",",".",1)," lb/ft3"))</f>
        <v>62.5 lb/ft3</v>
      </c>
      <c r="F22" s="106" t="str">
        <f>IF(Input!$D$24="Metric",
CONCATENATE(Input!$D$14," kg/m3"),
CONCATENATE(SUBSTITUTE(ROUNDUP(Input!$D$14*2.20462/35.3147,1),",",".",1)," lb/ft3"))</f>
        <v>62.5 lb/ft3</v>
      </c>
      <c r="G22" s="114" t="str">
        <f>IF(Input!$D$24="Metric",
CONCATENATE(Input!$D$14," kg/m3"),
CONCATENATE(SUBSTITUTE(ROUNDUP(Input!$D$14*2.20462/35.3147,1),",",".",1)," lb/ft3"))</f>
        <v>62.5 lb/ft3</v>
      </c>
    </row>
    <row r="23" spans="1:9" x14ac:dyDescent="0.25">
      <c r="B23" s="114" t="s">
        <v>3</v>
      </c>
      <c r="C23" s="106" t="str">
        <f>CONCATENATE(Input!$D$15," cP")</f>
        <v>1 cP</v>
      </c>
      <c r="D23" s="227" t="str">
        <f>CONCATENATE(Input!$D$15," cP")</f>
        <v>1 cP</v>
      </c>
      <c r="E23" s="227" t="str">
        <f>CONCATENATE(Input!$D$15," cP")</f>
        <v>1 cP</v>
      </c>
      <c r="F23" s="227" t="str">
        <f>CONCATENATE(Input!$D$15," cP")</f>
        <v>1 cP</v>
      </c>
      <c r="G23" s="114" t="str">
        <f>CONCATENATE(Input!$D$15," cP")</f>
        <v>1 cP</v>
      </c>
    </row>
    <row r="24" spans="1:9" x14ac:dyDescent="0.25">
      <c r="B24" s="115" t="s">
        <v>182</v>
      </c>
      <c r="C24" s="227" t="str">
        <f>UPPER(IF(ZG!$B$45=0,
ZG!$B$44,
ZG!$B$45))</f>
        <v>ZG5</v>
      </c>
      <c r="D24" s="227" t="str">
        <f>UPPER(IF(ZGP!$B$45=0,
ZGP!$B$44,
ZGP!$B$45))</f>
        <v>ZGP5</v>
      </c>
      <c r="E24" s="227" t="str">
        <f>UPPER(IF(HP!$B$45=0,
HP!$B$44,
HP!$B$45))</f>
        <v>HP5</v>
      </c>
      <c r="F24" s="227" t="str">
        <f>UPPER(IF(HS!$B$45=0,
HS!$B$44,
HS!$B$45))</f>
        <v>HS5</v>
      </c>
      <c r="G24" s="114" t="str">
        <f>UPPER(IF(ZF!$B$45=0,
ZF!$B$44,
ZF!$B$45))</f>
        <v>ZF160</v>
      </c>
    </row>
    <row r="25" spans="1:9" x14ac:dyDescent="0.25">
      <c r="B25" s="114" t="s">
        <v>181</v>
      </c>
      <c r="C25" s="106" t="str">
        <f>IF($C$31="N/A",
           "N/A",
             CONCATENATE(ZG!$X$49," rpm (max speed)"))</f>
        <v>490 rpm (max speed)</v>
      </c>
      <c r="D25" s="106" t="str">
        <f>IF($D$31="N/A",
           "N/A",
            CONCATENATE(ZGP!$X$49," rpm (max speed)"))</f>
        <v>490 rpm (max speed)</v>
      </c>
      <c r="E25" s="106" t="str">
        <f>IF($E$31="N/A",
           "N/A",
            CONCATENATE(HP!$X$49," (max speed)"))</f>
        <v>1700 (max speed)</v>
      </c>
      <c r="F25" s="106" t="str">
        <f>IF($F$31="N/A",
           "N/A",
             CONCATENATE(HS!$X$49," (max speed)"))</f>
        <v>3900 (max speed)</v>
      </c>
      <c r="G25" s="114" t="str">
        <f>IF($G$31="N/A",
           "N/A",
            CONCATENATE(ZF!$X$49," (max speed)"))</f>
        <v>350 (max speed)</v>
      </c>
    </row>
    <row r="26" spans="1:9" x14ac:dyDescent="0.25">
      <c r="B26" s="114" t="s">
        <v>180</v>
      </c>
      <c r="C26" s="106" t="str">
        <f>IF($C$31="N/A",
           "N/A",
             IF(Input!$D$24="Metric",
                       CONCATENATE(ROUND(ZG!$X$50,3)," W/L"),
                       CONCATENATE(SUBSTITUTE(ROUND(ZG!$Z$50,3),",",".",1)," W/gal")))</f>
        <v>1.957 W/gal</v>
      </c>
      <c r="D26" s="106" t="str">
        <f>IF($D$31="N/A",
           "N/A",
            IF(Input!$D$24="Metric",
                     CONCATENATE(ROUND(ZGP!$X$50,3)," W/L"),
                     CONCATENATE(SUBSTITUTE(ROUND(ZGP!$Z$50,3),",",".",1)," W/gal")))</f>
        <v>2.093 W/gal</v>
      </c>
      <c r="E26" s="106" t="str">
        <f>IF($E$31="N/A",
           "N/A",
            IF(Input!$D$24="Metric",
                     CONCATENATE(ROUND(HP!$X$50,3)," W/L"),
                     CONCATENATE(SUBSTITUTE(ROUND(HP!$Z$50,3),",",".",1)," W/gal")))</f>
        <v>6.588 W/gal</v>
      </c>
      <c r="F26" s="106" t="str">
        <f>IF($F$31="N/A",
           "N/A",
            IF(Input!$D$24="Metric",
                     CONCATENATE(ROUND(HS!$X$50,3)," W/L"),
                     CONCATENATE(SUBSTITUTE(ROUND(HS!$Z$50,3),",",".",1)," W/gal")))</f>
        <v>13.268 W/gal</v>
      </c>
      <c r="G26" s="114" t="str">
        <f>IF($G$31="N/A",
           "N/A",
            IF(Input!$D$24="Metric",
                     CONCATENATE(ROUND(ZF!$X$50,3)," W/L"),
                     CONCATENATE(SUBSTITUTE(ROUND(ZF!$Z$50,3),",",".",1)," W/gal")))</f>
        <v>1.704 W/gal</v>
      </c>
    </row>
    <row r="27" spans="1:9" x14ac:dyDescent="0.25">
      <c r="B27" s="114" t="s">
        <v>10</v>
      </c>
      <c r="C27" s="106" t="str">
        <f>IF($C$31="N/A",
           "N/A",
            IF(Input!$D$24="metric",
                     CONCATENATE(ROUND(ZG!$X$51,3)," m/s"),
                     CONCATENATE(SUBSTITUTE(ROUND(ZG!$X$51*196.85039,0),",",".",1)," ft/min")))</f>
        <v>747 ft/min</v>
      </c>
      <c r="D27" s="106" t="str">
        <f>IF($D$31="N/A",
           "N/A",
             IF(Input!$D$24="metric",
                       CONCATENATE(ROUND(ZGP!$X$51,3)," m/s"),
                       CONCATENATE(SUBSTITUTE(ROUND(ZGP!$X$51*196.85039,0),",",".",1)," ft/min")))</f>
        <v>757 ft/min</v>
      </c>
      <c r="E27" s="106" t="str">
        <f>IF($E$31="N/A",
           "N/A",
            IF(Input!$D$24="metric",
                     CONCATENATE(ROUND(HP!$X$51,3)," m/s"),
                     CONCATENATE(SUBSTITUTE(ROUND(HP!$X$51*196.85039,0),",",".",1)," ft/min")))</f>
        <v>1804 ft/min</v>
      </c>
      <c r="F27" s="106" t="str">
        <f>IF($F$31="N/A",
           "N/A",
             IF(Input!$D$24="metric",
                     CONCATENATE(ROUND(HS!$X$51,3)," m/s"),
                     CONCATENATE(SUBSTITUTE(ROUND(HS!$X$51*196.85039,0),",",".",1)," ft/min")))</f>
        <v>4219 ft/min</v>
      </c>
      <c r="G27" s="114" t="str">
        <f>IF($G$31="N/A",
           "N/A",
            IF(Input!$D$24="metric",
                     CONCATENATE(ROUND(ZF!$X$51,3)," m/s"),
                     CONCATENATE(SUBSTITUTE(ROUND(ZF!$X$51*196.85039,0),",",".",1)," ft/min")))</f>
        <v>793 ft/min</v>
      </c>
    </row>
    <row r="28" spans="1:9" x14ac:dyDescent="0.25">
      <c r="B28" s="114" t="s">
        <v>261</v>
      </c>
      <c r="C28" s="106" t="str">
        <f>IF(OR($C$31="N/A",ZG!$X$54="N/A"),
           "N/A",
            ZG!$X$54)</f>
        <v>50s - 1min 30s</v>
      </c>
      <c r="D28" s="106" t="str">
        <f>IF(OR($D$31="N/A",ZGP!$X$54="N/A"),
           "N/A",
            ZGP!$X$54)</f>
        <v>N/A</v>
      </c>
      <c r="E28" s="106" t="str">
        <f>IF(OR($E$31="N/A",HP!$X$54="N/A"),
           "N/A",
            HP!$X$54)</f>
        <v>N/A</v>
      </c>
      <c r="F28" s="106" t="str">
        <f>IF(OR($F$31="N/A",HS!$X$54="N/A"),
           "N/A",
            HS!$X$54)</f>
        <v>N/A</v>
      </c>
      <c r="G28" s="114" t="str">
        <f>IF(OR($G$31="N/A",ZF!$X$54="N/A"),
           "N/A",
            ZF!$X$54)</f>
        <v>N/A</v>
      </c>
    </row>
    <row r="29" spans="1:9" ht="73.5" customHeight="1" x14ac:dyDescent="0.25">
      <c r="B29" s="280" t="s">
        <v>391</v>
      </c>
      <c r="C29" s="281"/>
      <c r="D29" s="259" t="s">
        <v>260</v>
      </c>
      <c r="E29" s="259" t="s">
        <v>260</v>
      </c>
      <c r="F29" s="259" t="s">
        <v>260</v>
      </c>
      <c r="G29" s="259" t="s">
        <v>260</v>
      </c>
    </row>
    <row r="30" spans="1:9" x14ac:dyDescent="0.25">
      <c r="B30" s="271" t="s">
        <v>262</v>
      </c>
      <c r="C30" s="272"/>
      <c r="D30" s="272"/>
      <c r="E30" s="272"/>
      <c r="F30" s="272"/>
      <c r="G30" s="273"/>
    </row>
    <row r="31" spans="1:9" x14ac:dyDescent="0.25">
      <c r="B31" s="114" t="s">
        <v>178</v>
      </c>
      <c r="C31" s="106" t="str">
        <f>IF(Input!$D$27=0,ZG!$B$44,Input!$D$27)</f>
        <v>ZG5</v>
      </c>
      <c r="D31" s="106" t="str">
        <f>IF(Input!$D$28=0,ZGP!$B$44,Input!$D$28)</f>
        <v>ZGP5</v>
      </c>
      <c r="E31" s="106" t="str">
        <f>IF(Input!$D$29=0,HP!$B$44,Input!$D$29)</f>
        <v>HP5</v>
      </c>
      <c r="F31" s="106" t="str">
        <f>IF(Input!$D$30=0,HS!$B$44,Input!$D$30)</f>
        <v>HS5</v>
      </c>
      <c r="G31" s="114" t="str">
        <f>IF($G$9="YES",IF(Input!$D$31=0,IF(ZF!$B$44="ZF160","ZFM160","ZFM100"),IF(Input!$D$31="ZF160","ZFM160","ZFM100")),IF(Input!$D$31=0,ZF!$B$44,Input!$D$31))</f>
        <v>ZFM160</v>
      </c>
    </row>
    <row r="32" spans="1:9" x14ac:dyDescent="0.25">
      <c r="B32" s="114" t="s">
        <v>177</v>
      </c>
      <c r="C32" s="106" t="str">
        <f>IF($C$31="N/A",
           "N/A",
           IF(Input!$D$24="Metric",
                   CONCATENATE(VLOOKUP(C$31,ZG!$B$48:$M$69,3,FALSE)," mm"),
                   CONCATENATE(SUBSTITUTE(ROUND(VLOOKUP(C$31,ZG!$B$48:$M$69,3,FALSE)/25.4,2),",",".",1)," in")))</f>
        <v>5.83 in</v>
      </c>
      <c r="D32" s="106" t="str">
        <f>IF($D$31="N/A",
           "N/A",
            IF(Input!$D$24="Metric",
                     CONCATENATE(VLOOKUP($D$31,ZGP!$B$48:$N$55,3,FALSE)," mm"),
                     CONCATENATE(SUBSTITUTE(ROUND(VLOOKUP($D$31,ZGP!$B$48:$N$55,3,FALSE)/25.4,2),",",".",1)," in")))</f>
        <v>5.91 in</v>
      </c>
      <c r="E32" s="106" t="str">
        <f>IF($E$31="N/A",
           "N/A",
            IF(Input!$D$24="Metric",
                    CONCATENATE(VLOOKUP($E$31,HP!$B$48:$N$53,3,FALSE)," mm"),
                    CONCATENATE(SUBSTITUTE(ROUND(VLOOKUP($E$31,HP!$B$48:$N$53,3,FALSE)/25.4,2),",",".",1)," in")))</f>
        <v>4.06 in</v>
      </c>
      <c r="F32" s="106" t="str">
        <f>IF(F$31="N/A",
           "N/A",
             IF(Input!$D$24="Metric",
                      CONCATENATE(VLOOKUP($F$31,HS!$B$48:$N$53,3,FALSE)," mm"),
                      CONCATENATE(SUBSTITUTE(ROUND(VLOOKUP($F$31,HS!$B$48:$N$53,3,FALSE)/25.4,2),",",".",1)," in")))</f>
        <v>4.13 in</v>
      </c>
      <c r="G32" s="114" t="str">
        <f>IF($G$31="N/A",
           "N/A",
             IF(Input!$D$24="Metric",
                     CONCATENATE(IF(OR($G$31="ZF160",$G$31="ZFM160"),VLOOKUP("ZF160",ZF!$B$48:$N$51,3,FALSE),VLOOKUP("ZF100",ZF!$B$48:$N$51,3,FALSE))," mm"),
                     CONCATENATE(IF(OR($G$31="ZF160",$G$31="ZFM160"),SUBSTITUTE(ROUND(VLOOKUP("ZF160",ZF!$B$48:$N$51,3,FALSE)/25.4,2),",",".",1),SUBSTITUTE(ROUND(VLOOKUP("ZF100",ZF!$B$48:$N$51,3,FALSE)/25.4,2),",",".",1))," in")))</f>
        <v>8.66 in</v>
      </c>
      <c r="I32" s="44"/>
    </row>
    <row r="33" spans="2:7" x14ac:dyDescent="0.25">
      <c r="B33" s="114" t="s">
        <v>176</v>
      </c>
      <c r="C33" s="106" t="str">
        <f>IF($C$31="N/A",
           "N/A",
             CONCATENATE(VLOOKUP(C$31,ZG!$B$48:$M$69,2,FALSE)," rpm"))</f>
        <v>490 rpm</v>
      </c>
      <c r="D33" s="106" t="str">
        <f>IF($D$31="N/A",
"N/A",
CONCATENATE(VLOOKUP(D$31,ZGP!$B$48:$N$55,2,FALSE)," rpm"))</f>
        <v>490 rpm</v>
      </c>
      <c r="E33" s="106" t="str">
        <f>IF($E$31="N/A",
"N/A",
CONCATENATE(VLOOKUP($E$31,HP!$B$48:$N$53,2,FALSE)," rpm"))</f>
        <v>1700 rpm</v>
      </c>
      <c r="F33" s="106" t="str">
        <f>IF($F$31="N/A",
           "N/A",
             CONCATENATE(VLOOKUP($F$31,HS!$B$48:$N$53,2,FALSE)," rpm"))</f>
        <v>3900 rpm</v>
      </c>
      <c r="G33" s="114" t="str">
        <f>IF($G$31="N/A",
"N/A",
CONCATENATE(IF(OR($G$31="ZF160",$G$31="ZFM160"),VLOOKUP("ZF160",ZF!$B$48:$N$51,2,FALSE),VLOOKUP("ZF100",ZF!$B$48:$N$51,2,FALSE))," rpm"))</f>
        <v>350 rpm</v>
      </c>
    </row>
    <row r="34" spans="2:7" ht="30" x14ac:dyDescent="0.25">
      <c r="B34" s="114" t="s">
        <v>394</v>
      </c>
      <c r="C34" s="106" t="str">
        <f>IF($C$31="N/A",
"N/A",
CONCATENATE(ROUNDUP(VLOOKUP(C$31,ZG!$B$48:$M$69,2,FALSE)*0.1,0)," rpm"))</f>
        <v>49 rpm</v>
      </c>
      <c r="D34" s="106" t="str">
        <f>IF($D$31="N/A",
           "N/A",
            CONCATENATE(ROUNDUP(VLOOKUP($D$31,ZGP!$B$48:$N$55,2,FALSE)*0.1,0)," rpm"))</f>
        <v>49 rpm</v>
      </c>
      <c r="E34" s="106" t="str">
        <f>IF($E$31="N/A",
           "N/A",
             CONCATENATE(ROUNDUP(VLOOKUP($E$31,HP!$B$48:$N$53,2,FALSE)*0.1,0)," rpm"))</f>
        <v>170 rpm</v>
      </c>
      <c r="F34" s="106" t="str">
        <f>IF($F$31="N/A",
           "N/A",
              CONCATENATE(ROUNDUP(VLOOKUP($F$31,HS!$B$48:$N$53,2,FALSE)*0.1,0)," rpm"))</f>
        <v>390 rpm</v>
      </c>
      <c r="G34" s="114" t="str">
        <f>IF($G$31="N/A",
           "N/A",
             "1 rpm")</f>
        <v>1 rpm</v>
      </c>
    </row>
    <row r="35" spans="2:7" ht="15" customHeight="1" x14ac:dyDescent="0.25">
      <c r="B35" s="114" t="s">
        <v>170</v>
      </c>
      <c r="C35" s="106" t="str">
        <f>VLOOKUP(Input!$D$17,'SS Material List'!$A$2:$B$9,2,FALSE)</f>
        <v>Alloy C276</v>
      </c>
      <c r="D35" s="106" t="str">
        <f>"Polypropylene (PP) - FDA USP Class VI"</f>
        <v>Polypropylene (PP) - FDA USP Class VI</v>
      </c>
      <c r="E35" s="106" t="str">
        <f>VLOOKUP(Input!$D$17,'SS Material List'!$A$2:$B$9,2,FALSE)</f>
        <v>Alloy C276</v>
      </c>
      <c r="F35" s="106" t="str">
        <f>VLOOKUP(Input!$D$17,'SS Material List'!$A$2:$B$9,2,FALSE)</f>
        <v>Alloy C276</v>
      </c>
      <c r="G35" s="114" t="str">
        <f>VLOOKUP(Input!$D$17,'SS Material List'!$A$2:$B$9,2,FALSE)</f>
        <v>Alloy C276</v>
      </c>
    </row>
    <row r="36" spans="2:7" ht="45" customHeight="1" x14ac:dyDescent="0.25">
      <c r="B36" s="114" t="s">
        <v>175</v>
      </c>
      <c r="C36" s="106" t="str">
        <f>IF(Input!$D$24="Metric","Ra &lt;= 0,38μm, EP, on SS Component surfaces in contact with product","Ra &lt;= 15μin, EP, on SS Component surfaces in contact with product")</f>
        <v>Ra &lt;= 15μin, EP, on SS Component surfaces in contact with product</v>
      </c>
      <c r="D36" s="106" t="s">
        <v>260</v>
      </c>
      <c r="E36" s="106" t="str">
        <f>IF(Input!$D$24="Metric","Ra &lt;= 0,38μm, EP, on SS Component surfaces in contact with product","Ra &lt;= 15μin, EP, on SS Component surfaces in contact with product")</f>
        <v>Ra &lt;= 15μin, EP, on SS Component surfaces in contact with product</v>
      </c>
      <c r="F36" s="106" t="str">
        <f>IF(Input!$D$24="Metric","Ra &lt;= 0,38μm, EP, on SS Component surfaces in contact with product","Ra &lt;= 15μin, EP, on SS Component surfaces in contact with product")</f>
        <v>Ra &lt;= 15μin, EP, on SS Component surfaces in contact with product</v>
      </c>
      <c r="G36" s="114" t="str">
        <f>IF(Input!$D$24="Metric","Ra &lt;= 0,38μm, EP, on SS Component surfaces in contact with product","Ra &lt;= 15μin, EP, on SS Component surfaces in contact with product")</f>
        <v>Ra &lt;= 15μin, EP, on SS Component surfaces in contact with product</v>
      </c>
    </row>
    <row r="37" spans="2:7" x14ac:dyDescent="0.25">
      <c r="B37" s="114" t="s">
        <v>174</v>
      </c>
      <c r="C37" s="106" t="str">
        <f>IF($C$31="N/A",
           "N/A",
             IF(Input!$D$24="Metric",
                       CONCATENATE(VLOOKUP(C$31,ZG!$B$48:$M$69,12,FALSE)," mm"),
                       CONCATENATE(SUBSTITUTE(ROUND(VLOOKUP(C$31,ZG!$B$48:$M$69,12,FALSE)/25.4,2),",",".",1)," in")))</f>
        <v>3.7 in</v>
      </c>
      <c r="D37" s="106" t="str">
        <f>IF($D$31="N/A",
           "N/A",
            IF(Input!$D$24="Metric",
                     CONCATENATE(VLOOKUP($D$31,ZGP!$B$48:$N$55,12,FALSE)," mm"),
                     CONCATENATE(SUBSTITUTE(ROUND(VLOOKUP($D$31,ZGP!$B$48:$N$55,12,FALSE)/25.4,2),",",".",1)," in")))</f>
        <v>3.7 in</v>
      </c>
      <c r="E37" s="106" t="str">
        <f>IF($E$31="N/A",
           "N/A",
             IF(Input!$D$24="Metric",
                     CONCATENATE(VLOOKUP($E$31,HP!$B$48:$N$53,12,FALSE)," mm"),
                     CONCATENATE(SUBSTITUTE(ROUND(VLOOKUP($E$31,HP!$B$48:$N$53,12,FALSE)/25.4,2),",",".",1)," in")))</f>
        <v>3.7 in</v>
      </c>
      <c r="F37" s="106" t="str">
        <f>IF($F$31="N/A",
           "N/A",
             IF(Input!$D$24="Metric",
                      CONCATENATE(VLOOKUP($F$31,HS!$B$48:$N$53,12,FALSE)," mm"),
                      CONCATENATE(SUBSTITUTE(ROUND(VLOOKUP($F$31,HS!$B$48:$N$53,12,FALSE)/25.4,2),",",".",1)," in")))</f>
        <v>4.49 in</v>
      </c>
      <c r="G37" s="114" t="str">
        <f>IF($G$31="N/A",
           "N/A",
             IF(Input!$D$24="Metric",
                     CONCATENATE(IF(OR($G$31="ZF160",$G$31="ZFM160"),VLOOKUP("ZF160",ZF!$B$48:$N$51,12,FALSE),VLOOKUP("ZF100",ZF!$B$48:$N$51,12,FALSE))," mm"),
                     CONCATENATE(IF(OR($G$31="ZF160",$G$31="ZFM160"),SUBSTITUTE(ROUND(VLOOKUP("ZF160",ZF!$B$48:$N$51,12,FALSE)/25.4,2),",",".",1),SUBSTITUTE(ROUND(VLOOKUP("ZF100",ZF!$B$48:$N$51,12,FALSE)/25.4,2),",",".",1))," in")))</f>
        <v>6.61 in</v>
      </c>
    </row>
    <row r="38" spans="2:7" x14ac:dyDescent="0.25">
      <c r="B38" s="114" t="s">
        <v>173</v>
      </c>
      <c r="C38" s="106" t="str">
        <f>IF(Input!$D$24="Metric",
"5°C - 150°C",
"41°F - 302°F")</f>
        <v>41°F - 302°F</v>
      </c>
      <c r="D38" s="106" t="str">
        <f>IF(Input!$D$24="Metric",
"5°C - 60°C",
"41°F - 140°F")</f>
        <v>41°F - 140°F</v>
      </c>
      <c r="E38" s="106" t="str">
        <f>IF(Input!$D$24="Metric",
"5°C - 150°C",
"41°F - 302°F")</f>
        <v>41°F - 302°F</v>
      </c>
      <c r="F38" s="106" t="str">
        <f>IF(Input!$D$24="Metric",
"5°C - 150°C",
"41°F - 302°F")</f>
        <v>41°F - 302°F</v>
      </c>
      <c r="G38" s="114" t="str">
        <f>IF(Input!$D$24="Metric",
"5°C - 135°C",
"41°F - 275°F")</f>
        <v>41°F - 275°F</v>
      </c>
    </row>
    <row r="39" spans="2:7" ht="15" customHeight="1" x14ac:dyDescent="0.25">
      <c r="B39" s="114" t="s">
        <v>172</v>
      </c>
      <c r="C39" s="234" t="str">
        <f>IF(Input!$D$24="Metric",
"-1 – 7 barg",
"-14.5 – 101.5 psig")</f>
        <v>-14.5 – 101.5 psig</v>
      </c>
      <c r="D39" s="106" t="s">
        <v>260</v>
      </c>
      <c r="E39" s="234" t="str">
        <f>IF(Input!$D$24="Metric",
"-1 – 7 barg",
"-14.5 – 101.5 psig")</f>
        <v>-14.5 – 101.5 psig</v>
      </c>
      <c r="F39" s="234" t="str">
        <f>IF(Input!$D$24="Metric",
"-1 – 7 barg",
"-14.5 – 101.5 psig")</f>
        <v>-14.5 – 101.5 psig</v>
      </c>
      <c r="G39" s="240" t="str">
        <f>IF(Input!$D$24="Metric",
"-1 – 7 barg",
"-14.5 – 101.5 psig")</f>
        <v>-14.5 – 101.5 psig</v>
      </c>
    </row>
    <row r="40" spans="2:7" x14ac:dyDescent="0.25">
      <c r="B40" s="188" t="s">
        <v>171</v>
      </c>
      <c r="C40" s="189"/>
      <c r="D40" s="189"/>
      <c r="E40" s="189"/>
      <c r="F40" s="189"/>
      <c r="G40" s="190" t="s">
        <v>260</v>
      </c>
    </row>
    <row r="41" spans="2:7" ht="30.75" customHeight="1" x14ac:dyDescent="0.3">
      <c r="B41" s="113" t="s">
        <v>170</v>
      </c>
      <c r="C41" s="106" t="s">
        <v>169</v>
      </c>
      <c r="D41" s="106" t="s">
        <v>169</v>
      </c>
      <c r="E41" s="106" t="s">
        <v>169</v>
      </c>
      <c r="F41" s="106" t="s">
        <v>169</v>
      </c>
      <c r="G41" s="114" t="s">
        <v>260</v>
      </c>
    </row>
    <row r="42" spans="2:7" ht="15.75" x14ac:dyDescent="0.3">
      <c r="B42" s="113" t="s">
        <v>142</v>
      </c>
      <c r="C42" s="106" t="str">
        <f>IF(Input!D19=0,"EPDM",Input!$D$19)</f>
        <v>EPDM</v>
      </c>
      <c r="D42" s="106" t="str">
        <f>IF(Input!D19=0,"EPDM",Input!$D$19)</f>
        <v>EPDM</v>
      </c>
      <c r="E42" s="106" t="str">
        <f>IF(Input!D19=0,"EPDM",Input!$D$19)</f>
        <v>EPDM</v>
      </c>
      <c r="F42" s="106" t="str">
        <f>IF(Input!D19=0,"EPDM",Input!$D$19)</f>
        <v>EPDM</v>
      </c>
      <c r="G42" s="114" t="s">
        <v>260</v>
      </c>
    </row>
    <row r="43" spans="2:7" x14ac:dyDescent="0.25">
      <c r="B43" s="271" t="s">
        <v>137</v>
      </c>
      <c r="C43" s="272"/>
      <c r="D43" s="272"/>
      <c r="E43" s="272"/>
      <c r="F43" s="272"/>
      <c r="G43" s="273"/>
    </row>
    <row r="44" spans="2:7" ht="15.75" x14ac:dyDescent="0.3">
      <c r="B44" s="113" t="s">
        <v>168</v>
      </c>
      <c r="C44" s="106" t="str">
        <f>IF(Input!$D$20=0,"IP55",Input!$D$20)</f>
        <v>IP55</v>
      </c>
      <c r="D44" s="227" t="str">
        <f>IF(Input!$D$20=0,"IP55",Input!$D$20)</f>
        <v>IP55</v>
      </c>
      <c r="E44" s="106" t="str">
        <f>IF(Input!$D$20=0,"IP55",Input!$D$20)</f>
        <v>IP55</v>
      </c>
      <c r="F44" s="106" t="str">
        <f>IF(Input!$D$20=0,"IP55",Input!$D$20)</f>
        <v>IP55</v>
      </c>
      <c r="G44" s="114" t="s">
        <v>269</v>
      </c>
    </row>
    <row r="45" spans="2:7" ht="15.75" x14ac:dyDescent="0.3">
      <c r="B45" s="139" t="s">
        <v>390</v>
      </c>
      <c r="C45" s="106" t="str">
        <f>IF(Input!$D$21=0,"NO",Input!$D$21)</f>
        <v>NO</v>
      </c>
      <c r="D45" s="236" t="str">
        <f>IF(Input!$D$21=0,"NO",Input!$D$21)</f>
        <v>NO</v>
      </c>
      <c r="E45" s="237" t="str">
        <f>IF(Input!$D$21=0,"NO",Input!$D$21)</f>
        <v>NO</v>
      </c>
      <c r="F45" s="237" t="str">
        <f>IF(Input!$D$21=0,"NO",Input!$D$21)</f>
        <v>NO</v>
      </c>
      <c r="G45" s="241" t="s">
        <v>260</v>
      </c>
    </row>
    <row r="46" spans="2:7" ht="15.75" x14ac:dyDescent="0.3">
      <c r="B46" s="113" t="s">
        <v>167</v>
      </c>
      <c r="C46" s="106" t="str">
        <f>IF(Input!$D$22=0,"NO",Input!$D$22)</f>
        <v>YES</v>
      </c>
      <c r="D46" s="238" t="str">
        <f>IF(Input!$D$22=0,"NO",Input!$D$22)</f>
        <v>YES</v>
      </c>
      <c r="E46" s="106" t="str">
        <f>IF(Input!$D$22=0,"NO",Input!$D$22)</f>
        <v>YES</v>
      </c>
      <c r="F46" s="114" t="str">
        <f>IF(Input!$D$22=0,"NO",Input!$D$22)</f>
        <v>YES</v>
      </c>
      <c r="G46" s="233" t="s">
        <v>260</v>
      </c>
    </row>
    <row r="47" spans="2:7" ht="15.75" x14ac:dyDescent="0.3">
      <c r="B47" s="113" t="s">
        <v>238</v>
      </c>
      <c r="C47" s="106" t="str">
        <f>IF(Input!$D$23=0,"NO",Input!$D$23)</f>
        <v>NO</v>
      </c>
      <c r="D47" s="106" t="str">
        <f>IF(Input!$D$23=0,"NO",Input!$D$23)</f>
        <v>NO</v>
      </c>
      <c r="E47" s="114" t="str">
        <f>IF(Input!$D$23=0,"NO",Input!$D$23)</f>
        <v>NO</v>
      </c>
      <c r="F47" s="114" t="str">
        <f>IF(Input!$D$23=0,"NO",Input!$D$23)</f>
        <v>NO</v>
      </c>
      <c r="G47" s="233" t="s">
        <v>260</v>
      </c>
    </row>
    <row r="48" spans="2:7" ht="15.75" thickBot="1" x14ac:dyDescent="0.3">
      <c r="B48" s="268" t="s">
        <v>399</v>
      </c>
      <c r="C48" s="269"/>
      <c r="D48" s="269"/>
      <c r="E48" s="269"/>
      <c r="F48" s="269"/>
      <c r="G48" s="270"/>
    </row>
    <row r="49" spans="1:3" x14ac:dyDescent="0.25">
      <c r="C49" s="129"/>
    </row>
    <row r="50" spans="1:3" x14ac:dyDescent="0.25">
      <c r="C50" s="129"/>
    </row>
    <row r="53" spans="1:3" x14ac:dyDescent="0.25">
      <c r="A53" s="118"/>
    </row>
    <row r="54" spans="1:3" x14ac:dyDescent="0.25">
      <c r="A54" s="117"/>
      <c r="C54" s="129"/>
    </row>
    <row r="55" spans="1:3" x14ac:dyDescent="0.25">
      <c r="A55" s="116"/>
    </row>
  </sheetData>
  <mergeCells count="30">
    <mergeCell ref="AA2:AB2"/>
    <mergeCell ref="AC2:AD2"/>
    <mergeCell ref="AE2:AF2"/>
    <mergeCell ref="Q3:R3"/>
    <mergeCell ref="O3:P3"/>
    <mergeCell ref="Y2:Z2"/>
    <mergeCell ref="AE3:AF3"/>
    <mergeCell ref="AC3:AD3"/>
    <mergeCell ref="AA3:AB3"/>
    <mergeCell ref="Y3:Z3"/>
    <mergeCell ref="W3:X3"/>
    <mergeCell ref="U2:V2"/>
    <mergeCell ref="W2:X2"/>
    <mergeCell ref="S2:T2"/>
    <mergeCell ref="U3:V3"/>
    <mergeCell ref="S3:T3"/>
    <mergeCell ref="B48:G48"/>
    <mergeCell ref="K2:L2"/>
    <mergeCell ref="M2:N2"/>
    <mergeCell ref="O2:P2"/>
    <mergeCell ref="Q2:R2"/>
    <mergeCell ref="B30:G30"/>
    <mergeCell ref="B43:G43"/>
    <mergeCell ref="B2:G2"/>
    <mergeCell ref="B7:G7"/>
    <mergeCell ref="B20:G20"/>
    <mergeCell ref="B19:G19"/>
    <mergeCell ref="M3:N3"/>
    <mergeCell ref="K3:L3"/>
    <mergeCell ref="B29:C29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AAF354F0-0E69-46C6-ADD1-FF51675EFF7F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4" id="{2B9E009E-D39D-4D47-985F-B18E4E4CFCC1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5" id="{8113BF32-BC82-45D5-932B-678DDAA68A0D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6" id="{963E1CE3-A4CC-4921-9E4F-214090CDA143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E078DF41-2F94-4F56-AE7D-38B4ED2E295F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01D725DA-3D83-4784-A806-B4DB28FAA675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82A922F0-A86E-4219-AA0C-66D1F71B61C0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4" id="{8277EACC-DCC0-4114-891C-0C9FAC68C996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8" id="{415738CE-F344-4623-8E68-77BC4C85AE36}">
            <xm:f>Input!$D$3="#05"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m:sqref>C3:C6 C8:C18 C21:C28 C31:C39 C41:C42 C44:C47</xm:sqref>
        </x14:conditionalFormatting>
        <x14:conditionalFormatting xmlns:xm="http://schemas.microsoft.com/office/excel/2006/main">
          <x14:cfRule type="expression" priority="25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D3:D6 D8:D18 D21:D28 D31:D39 D41:D42 D44:D47</xm:sqref>
        </x14:conditionalFormatting>
        <x14:conditionalFormatting xmlns:xm="http://schemas.microsoft.com/office/excel/2006/main">
          <x14:cfRule type="expression" priority="10" id="{8DDC5E0C-E4A9-4B95-816F-8EBA8D3DD68D}">
            <xm:f>Input!$D$3="#04"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1" id="{6A78F626-D3AA-486C-96EF-4CC72DF22DB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2" id="{CFD4A0FB-A327-4FF7-A4AA-4D7A764AA9B2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1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4" id="{AB6E60BE-F45E-46C0-9A3D-5C28BD9FA4BE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m:sqref>E3:E6 E8:E18 E21:E28 E31:E39 E41:E42 E44:E47</xm:sqref>
        </x14:conditionalFormatting>
        <x14:conditionalFormatting xmlns:xm="http://schemas.microsoft.com/office/excel/2006/main">
          <x14:cfRule type="expression" priority="2" id="{7FCC29DC-66B7-4D49-A7D7-D5A91CBE55C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8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F3:F6 F8:F18 F21:F28 F31:F39 F41:F42 F44:F47</xm:sqref>
        </x14:conditionalFormatting>
        <x14:conditionalFormatting xmlns:xm="http://schemas.microsoft.com/office/excel/2006/main">
          <x14:cfRule type="expression" priority="1" id="{03901BC5-F347-4BA4-B20C-1D22AAA107FF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6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G3:G6 G8:G18 G21:G28 G31:G39 G41:G42 G44:G47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E98"/>
  <sheetViews>
    <sheetView topLeftCell="A19" zoomScaleNormal="100" workbookViewId="0">
      <selection activeCell="L52" sqref="L52"/>
    </sheetView>
  </sheetViews>
  <sheetFormatPr defaultRowHeight="15" x14ac:dyDescent="0.25"/>
  <cols>
    <col min="1" max="1" width="20.28515625" bestFit="1" customWidth="1"/>
    <col min="4" max="4" width="17.42578125" customWidth="1"/>
    <col min="13" max="13" width="12.28515625" customWidth="1"/>
    <col min="14" max="14" width="11.5703125" bestFit="1" customWidth="1"/>
    <col min="15" max="15" width="16.42578125" bestFit="1" customWidth="1"/>
    <col min="17" max="17" width="9.140625" customWidth="1"/>
    <col min="18" max="18" width="13.28515625" customWidth="1"/>
    <col min="19" max="19" width="20.7109375" bestFit="1" customWidth="1"/>
    <col min="20" max="20" width="11.5703125" customWidth="1"/>
    <col min="21" max="21" width="12.85546875" customWidth="1"/>
    <col min="22" max="22" width="14.28515625" customWidth="1"/>
    <col min="23" max="23" width="21.5703125" customWidth="1"/>
    <col min="24" max="24" width="20.7109375" customWidth="1"/>
    <col min="26" max="26" width="20.28515625" customWidth="1"/>
    <col min="29" max="29" width="20.28515625" bestFit="1" customWidth="1"/>
  </cols>
  <sheetData>
    <row r="1" spans="1:28" ht="19.5" thickBot="1" x14ac:dyDescent="0.35">
      <c r="A1" s="287"/>
      <c r="B1" s="28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248</v>
      </c>
      <c r="B2" s="285">
        <f>IF(Input!$D$13="Gentle",1.2,IF(Input!$D$13="Vigorous", 0.8,1))</f>
        <v>1</v>
      </c>
      <c r="C2" s="286"/>
      <c r="D2" s="285">
        <f>IF(Input!$D$13="Gentle",1.2,IF(Input!$D$13="Vigorous", 0.8,1))</f>
        <v>1</v>
      </c>
      <c r="E2" s="286"/>
      <c r="F2" s="285">
        <f>IF(Input!$D$13="Gentle",1.2,IF(Input!$D$13="Vigorous", 0.8,1))</f>
        <v>1</v>
      </c>
      <c r="G2" s="286"/>
      <c r="H2" s="285">
        <f>IF(Input!$D$13="Gentle",1.2,IF(Input!$D$13="Vigorous", 0.8,1))</f>
        <v>1</v>
      </c>
      <c r="I2" s="286"/>
      <c r="J2" s="285">
        <f>IF(Input!$D$13="Gentle",1.2,IF(Input!$D$13="Vigorous", 0.8,1))</f>
        <v>1</v>
      </c>
      <c r="K2" s="286"/>
      <c r="L2" s="285">
        <f>IF(Input!$D$13="Gentle",1.2,IF(Input!$D$13="Vigorous", 0.8,1))</f>
        <v>1</v>
      </c>
      <c r="M2" s="286"/>
      <c r="N2" s="285">
        <f>IF(Input!$D$13="Gentle",1.2,IF(Input!$D$13="Vigorous", 0.8,1))</f>
        <v>1</v>
      </c>
      <c r="O2" s="286"/>
      <c r="P2" s="285">
        <f>IF(Input!$D$13="Gentle",1.2,IF(Input!$D$13="Vigorous", 0.8,1))</f>
        <v>1</v>
      </c>
      <c r="Q2" s="286"/>
      <c r="R2" s="285">
        <f>IF(Input!$D$13="Gentle",1.2,IF(Input!$D$13="Vigorous", 0.8,1))</f>
        <v>1</v>
      </c>
      <c r="S2" s="286"/>
      <c r="T2" s="285">
        <f>IF(Input!$D$13="Gentle",1.2,IF(Input!$D$13="Vigorous", 0.8,1))</f>
        <v>1</v>
      </c>
      <c r="U2" s="286"/>
      <c r="V2" s="285">
        <f>IF(Input!$D$13="Gentle",1.2,IF(Input!$D$13="Vigorous", 0.8,1))</f>
        <v>1</v>
      </c>
      <c r="W2" s="286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10</v>
      </c>
      <c r="C3" s="19"/>
      <c r="D3" s="18">
        <v>50</v>
      </c>
      <c r="E3" s="19"/>
      <c r="F3" s="18">
        <v>250</v>
      </c>
      <c r="G3" s="19"/>
      <c r="H3" s="18">
        <v>850</v>
      </c>
      <c r="I3" s="19"/>
      <c r="J3" s="18">
        <v>1200</v>
      </c>
      <c r="K3" s="19"/>
      <c r="L3" s="18">
        <v>2000</v>
      </c>
      <c r="M3" s="19"/>
      <c r="N3" s="18">
        <v>5000</v>
      </c>
      <c r="O3" s="19"/>
      <c r="P3" s="18">
        <v>10000</v>
      </c>
      <c r="Q3" s="19"/>
      <c r="R3" s="18">
        <v>20000</v>
      </c>
      <c r="S3" s="19"/>
      <c r="T3" s="18">
        <v>20000</v>
      </c>
      <c r="U3" s="19"/>
      <c r="V3" s="18">
        <v>20000</v>
      </c>
      <c r="W3" s="19"/>
      <c r="X3" s="17"/>
      <c r="Y3" s="17"/>
      <c r="Z3" s="17"/>
      <c r="AA3" s="17"/>
      <c r="AB3" s="17"/>
    </row>
    <row r="4" spans="1:28" ht="15.75" thickBot="1" x14ac:dyDescent="0.3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18" t="s">
        <v>13</v>
      </c>
      <c r="G4" s="19" t="s">
        <v>3</v>
      </c>
      <c r="H4" s="18" t="s">
        <v>13</v>
      </c>
      <c r="I4" s="19" t="s">
        <v>3</v>
      </c>
      <c r="J4" s="18" t="s">
        <v>13</v>
      </c>
      <c r="K4" s="19" t="s">
        <v>3</v>
      </c>
      <c r="L4" s="18" t="s">
        <v>13</v>
      </c>
      <c r="M4" s="19" t="s">
        <v>3</v>
      </c>
      <c r="N4" s="18" t="s">
        <v>13</v>
      </c>
      <c r="O4" s="19" t="s">
        <v>3</v>
      </c>
      <c r="P4" s="18" t="s">
        <v>13</v>
      </c>
      <c r="Q4" s="19" t="s">
        <v>3</v>
      </c>
      <c r="R4" s="18" t="s">
        <v>13</v>
      </c>
      <c r="S4" s="19" t="s">
        <v>3</v>
      </c>
      <c r="T4" s="18" t="s">
        <v>13</v>
      </c>
      <c r="U4" s="19" t="s">
        <v>3</v>
      </c>
      <c r="V4" s="18" t="s">
        <v>13</v>
      </c>
      <c r="W4" s="19" t="s">
        <v>3</v>
      </c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18</v>
      </c>
      <c r="C5" s="19" t="s">
        <v>18</v>
      </c>
      <c r="D5" s="18" t="s">
        <v>19</v>
      </c>
      <c r="E5" s="19" t="s">
        <v>19</v>
      </c>
      <c r="F5" s="18" t="s">
        <v>20</v>
      </c>
      <c r="G5" s="19" t="s">
        <v>20</v>
      </c>
      <c r="H5" s="18" t="s">
        <v>21</v>
      </c>
      <c r="I5" s="19" t="s">
        <v>21</v>
      </c>
      <c r="J5" s="18" t="s">
        <v>22</v>
      </c>
      <c r="K5" s="19" t="s">
        <v>22</v>
      </c>
      <c r="L5" s="18" t="s">
        <v>23</v>
      </c>
      <c r="M5" s="19" t="s">
        <v>23</v>
      </c>
      <c r="N5" s="18" t="s">
        <v>24</v>
      </c>
      <c r="O5" s="19" t="s">
        <v>24</v>
      </c>
      <c r="P5" s="18" t="s">
        <v>25</v>
      </c>
      <c r="Q5" s="19" t="s">
        <v>25</v>
      </c>
      <c r="R5" s="18" t="s">
        <v>26</v>
      </c>
      <c r="S5" s="19" t="s">
        <v>26</v>
      </c>
      <c r="T5" s="18" t="str">
        <f>IF($T$7=0,"","ZG11")</f>
        <v/>
      </c>
      <c r="U5" s="92" t="str">
        <f>IF($T$7=0,"","ZG11")</f>
        <v/>
      </c>
      <c r="V5" s="18" t="str">
        <f>IF($V$7=0,"","ZG12")</f>
        <v/>
      </c>
      <c r="W5" s="19" t="str">
        <f>IF($V$7=0,"","ZG12")</f>
        <v/>
      </c>
      <c r="X5" s="17"/>
      <c r="Y5" s="17"/>
      <c r="Z5" s="17"/>
      <c r="AA5" s="17"/>
      <c r="AB5" s="17"/>
    </row>
    <row r="6" spans="1:28" x14ac:dyDescent="0.25">
      <c r="A6" s="17"/>
      <c r="B6" s="20">
        <f>($B$2)*10</f>
        <v>10</v>
      </c>
      <c r="C6" s="21">
        <v>1</v>
      </c>
      <c r="D6" s="20">
        <f>(D$2)*50</f>
        <v>50</v>
      </c>
      <c r="E6" s="21">
        <v>1</v>
      </c>
      <c r="F6" s="20">
        <f>(F$2)*250</f>
        <v>250</v>
      </c>
      <c r="G6" s="21">
        <v>1</v>
      </c>
      <c r="H6" s="20">
        <f>(H$2)*850</f>
        <v>850</v>
      </c>
      <c r="I6" s="21">
        <v>1</v>
      </c>
      <c r="J6" s="20">
        <f>(J$2)*1200</f>
        <v>1200</v>
      </c>
      <c r="K6" s="21">
        <v>1</v>
      </c>
      <c r="L6" s="20">
        <f>(L$2)*2000</f>
        <v>2000</v>
      </c>
      <c r="M6" s="21">
        <v>1</v>
      </c>
      <c r="N6" s="20">
        <f>(N$2)*5000</f>
        <v>5000</v>
      </c>
      <c r="O6" s="21">
        <v>1</v>
      </c>
      <c r="P6" s="20">
        <f>(P$2)*10000</f>
        <v>10000</v>
      </c>
      <c r="Q6" s="21">
        <v>1</v>
      </c>
      <c r="R6" s="20">
        <f>(R$2)*20000</f>
        <v>20000</v>
      </c>
      <c r="S6" s="21">
        <v>1</v>
      </c>
      <c r="T6" s="48">
        <v>30000</v>
      </c>
      <c r="U6" s="49">
        <v>1</v>
      </c>
      <c r="V6" s="48">
        <v>50000</v>
      </c>
      <c r="W6" s="49">
        <v>1</v>
      </c>
      <c r="X6" s="17"/>
      <c r="Y6" s="17"/>
      <c r="Z6" s="17"/>
      <c r="AA6" s="17"/>
      <c r="AB6" s="17"/>
    </row>
    <row r="7" spans="1:28" x14ac:dyDescent="0.25">
      <c r="A7" s="17"/>
      <c r="B7" s="22">
        <f>($B$2)*9.1</f>
        <v>9.1</v>
      </c>
      <c r="C7" s="23">
        <v>5</v>
      </c>
      <c r="D7" s="22">
        <f>(D$2)*45.5</f>
        <v>45.5</v>
      </c>
      <c r="E7" s="23">
        <v>5</v>
      </c>
      <c r="F7" s="22">
        <f>(F$2)*227.5</f>
        <v>227.5</v>
      </c>
      <c r="G7" s="23">
        <v>5</v>
      </c>
      <c r="H7" s="22">
        <f>(H$2)*773.5</f>
        <v>773.5</v>
      </c>
      <c r="I7" s="23">
        <v>5</v>
      </c>
      <c r="J7" s="22">
        <f>(J$2)*1092</f>
        <v>1092</v>
      </c>
      <c r="K7" s="23">
        <v>5</v>
      </c>
      <c r="L7" s="22">
        <f>(L$2)*1820</f>
        <v>1820</v>
      </c>
      <c r="M7" s="23">
        <v>5</v>
      </c>
      <c r="N7" s="22">
        <f>(N$2)*4550</f>
        <v>4550</v>
      </c>
      <c r="O7" s="23">
        <v>5</v>
      </c>
      <c r="P7" s="22">
        <f>(P$2)*9100</f>
        <v>9100</v>
      </c>
      <c r="Q7" s="23">
        <v>5</v>
      </c>
      <c r="R7" s="22">
        <f>(R$2)*18200</f>
        <v>18200</v>
      </c>
      <c r="S7" s="23">
        <v>5</v>
      </c>
      <c r="T7" s="50"/>
      <c r="U7" s="85"/>
      <c r="V7" s="50"/>
      <c r="W7" s="85"/>
      <c r="X7" s="17"/>
      <c r="Y7" s="17"/>
      <c r="Z7" s="17"/>
      <c r="AA7" s="17"/>
      <c r="AB7" s="17"/>
    </row>
    <row r="8" spans="1:28" x14ac:dyDescent="0.25">
      <c r="A8" s="17"/>
      <c r="B8" s="22">
        <f>($B$2)*8.3</f>
        <v>8.3000000000000007</v>
      </c>
      <c r="C8" s="23">
        <v>10</v>
      </c>
      <c r="D8" s="22">
        <f>(D$2)*41.5</f>
        <v>41.5</v>
      </c>
      <c r="E8" s="23">
        <v>10</v>
      </c>
      <c r="F8" s="22">
        <f>(F$2)*207.5</f>
        <v>207.5</v>
      </c>
      <c r="G8" s="23">
        <v>10</v>
      </c>
      <c r="H8" s="22">
        <f>(H$2)*705.5</f>
        <v>705.5</v>
      </c>
      <c r="I8" s="23">
        <v>10</v>
      </c>
      <c r="J8" s="22">
        <f>(J$2)*996</f>
        <v>996</v>
      </c>
      <c r="K8" s="23">
        <v>10</v>
      </c>
      <c r="L8" s="22">
        <f>(L$2)*1660</f>
        <v>1660</v>
      </c>
      <c r="M8" s="23">
        <v>10</v>
      </c>
      <c r="N8" s="22">
        <f>(N$2)*4150</f>
        <v>4150</v>
      </c>
      <c r="O8" s="23">
        <v>10</v>
      </c>
      <c r="P8" s="22">
        <f>(P$2)*8300</f>
        <v>8300</v>
      </c>
      <c r="Q8" s="23">
        <v>10</v>
      </c>
      <c r="R8" s="22">
        <f>(R$2)*16600</f>
        <v>16600</v>
      </c>
      <c r="S8" s="23">
        <v>10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 x14ac:dyDescent="0.25">
      <c r="A9" s="17"/>
      <c r="B9" s="22">
        <f>($B$2)*7.7</f>
        <v>7.7</v>
      </c>
      <c r="C9" s="23">
        <v>15</v>
      </c>
      <c r="D9" s="22">
        <f>(D$2)*38.5</f>
        <v>38.5</v>
      </c>
      <c r="E9" s="23">
        <v>15</v>
      </c>
      <c r="F9" s="22">
        <f>(F$2)*192.5</f>
        <v>192.5</v>
      </c>
      <c r="G9" s="23">
        <v>15</v>
      </c>
      <c r="H9" s="22">
        <f>(H$2)*654.5</f>
        <v>654.5</v>
      </c>
      <c r="I9" s="23">
        <v>15</v>
      </c>
      <c r="J9" s="22">
        <f>(J$2)*924</f>
        <v>924</v>
      </c>
      <c r="K9" s="23">
        <v>15</v>
      </c>
      <c r="L9" s="22">
        <f>(L$2)*1540</f>
        <v>1540</v>
      </c>
      <c r="M9" s="23">
        <v>15</v>
      </c>
      <c r="N9" s="22">
        <f>(N$2)*3850</f>
        <v>3850</v>
      </c>
      <c r="O9" s="23">
        <v>15</v>
      </c>
      <c r="P9" s="22">
        <f>(P$2)*7700</f>
        <v>7700</v>
      </c>
      <c r="Q9" s="23">
        <v>15</v>
      </c>
      <c r="R9" s="22">
        <f>(R$2)*15400</f>
        <v>15400</v>
      </c>
      <c r="S9" s="23">
        <v>15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 x14ac:dyDescent="0.25">
      <c r="A10" s="17"/>
      <c r="B10" s="22">
        <f>($B$2)*7.2</f>
        <v>7.2</v>
      </c>
      <c r="C10" s="23">
        <v>20</v>
      </c>
      <c r="D10" s="22">
        <f>(D$2)*36</f>
        <v>36</v>
      </c>
      <c r="E10" s="23">
        <v>20</v>
      </c>
      <c r="F10" s="22">
        <f>(F$2)*180</f>
        <v>180</v>
      </c>
      <c r="G10" s="23">
        <v>20</v>
      </c>
      <c r="H10" s="22">
        <f>(H$2)*612</f>
        <v>612</v>
      </c>
      <c r="I10" s="23">
        <v>20</v>
      </c>
      <c r="J10" s="22">
        <f>(J$2)*864</f>
        <v>864</v>
      </c>
      <c r="K10" s="23">
        <v>20</v>
      </c>
      <c r="L10" s="22">
        <f>(L$2)*1440</f>
        <v>1440</v>
      </c>
      <c r="M10" s="23">
        <v>20</v>
      </c>
      <c r="N10" s="22">
        <f>(N$2)*3600</f>
        <v>3600</v>
      </c>
      <c r="O10" s="23">
        <v>20</v>
      </c>
      <c r="P10" s="22">
        <f>(P$2)*7200</f>
        <v>7200</v>
      </c>
      <c r="Q10" s="23">
        <v>20</v>
      </c>
      <c r="R10" s="22">
        <f>(R$2)*14400</f>
        <v>14400</v>
      </c>
      <c r="S10" s="23">
        <v>20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 x14ac:dyDescent="0.25">
      <c r="A11" s="17"/>
      <c r="B11" s="22">
        <f>($B$2)*6.8</f>
        <v>6.8</v>
      </c>
      <c r="C11" s="23">
        <v>25</v>
      </c>
      <c r="D11" s="22">
        <f>(D$2)*34</f>
        <v>34</v>
      </c>
      <c r="E11" s="23">
        <v>25</v>
      </c>
      <c r="F11" s="22">
        <f>(F$2)*170</f>
        <v>170</v>
      </c>
      <c r="G11" s="23">
        <v>25</v>
      </c>
      <c r="H11" s="22">
        <f>(H$2)*578</f>
        <v>578</v>
      </c>
      <c r="I11" s="23">
        <v>25</v>
      </c>
      <c r="J11" s="22">
        <f>(J$2)*816</f>
        <v>816</v>
      </c>
      <c r="K11" s="23">
        <v>25</v>
      </c>
      <c r="L11" s="22">
        <f>(L$2)*1360</f>
        <v>1360</v>
      </c>
      <c r="M11" s="23">
        <v>25</v>
      </c>
      <c r="N11" s="22">
        <f>(N$2)*3400</f>
        <v>3400</v>
      </c>
      <c r="O11" s="23">
        <v>25</v>
      </c>
      <c r="P11" s="22">
        <f>(P$2)*6800</f>
        <v>6800</v>
      </c>
      <c r="Q11" s="23">
        <v>25</v>
      </c>
      <c r="R11" s="22">
        <f>(R$2)*13600</f>
        <v>13600</v>
      </c>
      <c r="S11" s="23">
        <v>25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 x14ac:dyDescent="0.25">
      <c r="A12" s="17"/>
      <c r="B12" s="22">
        <f>($B$2)*6.55</f>
        <v>6.55</v>
      </c>
      <c r="C12" s="23">
        <v>30</v>
      </c>
      <c r="D12" s="22">
        <f>(D$2)*32.75</f>
        <v>32.75</v>
      </c>
      <c r="E12" s="23">
        <v>30</v>
      </c>
      <c r="F12" s="22">
        <f>(F$2)*163.75</f>
        <v>163.75</v>
      </c>
      <c r="G12" s="23">
        <v>30</v>
      </c>
      <c r="H12" s="22">
        <f>(H$2)*556.75</f>
        <v>556.75</v>
      </c>
      <c r="I12" s="23">
        <v>30</v>
      </c>
      <c r="J12" s="22">
        <f>(J$2)*786</f>
        <v>786</v>
      </c>
      <c r="K12" s="23">
        <v>30</v>
      </c>
      <c r="L12" s="22">
        <f>(L$2)*1310</f>
        <v>1310</v>
      </c>
      <c r="M12" s="23">
        <v>30</v>
      </c>
      <c r="N12" s="22">
        <f>(N$2)*3275</f>
        <v>3275</v>
      </c>
      <c r="O12" s="23">
        <v>30</v>
      </c>
      <c r="P12" s="22">
        <f>(P$2)*6550</f>
        <v>6550</v>
      </c>
      <c r="Q12" s="23">
        <v>30</v>
      </c>
      <c r="R12" s="22">
        <f>(R$2)*13100</f>
        <v>13100</v>
      </c>
      <c r="S12" s="23">
        <v>30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 x14ac:dyDescent="0.25">
      <c r="A13" s="17"/>
      <c r="B13" s="22">
        <f>($B$2)*6.3</f>
        <v>6.3</v>
      </c>
      <c r="C13" s="23">
        <v>35</v>
      </c>
      <c r="D13" s="22">
        <f>(D$2)*31.5</f>
        <v>31.5</v>
      </c>
      <c r="E13" s="23">
        <v>35</v>
      </c>
      <c r="F13" s="22">
        <f>(F$2)*157.5</f>
        <v>157.5</v>
      </c>
      <c r="G13" s="23">
        <v>35</v>
      </c>
      <c r="H13" s="22">
        <f>(H$2)*535.5</f>
        <v>535.5</v>
      </c>
      <c r="I13" s="23">
        <v>35</v>
      </c>
      <c r="J13" s="22">
        <f>(J$2)*756</f>
        <v>756</v>
      </c>
      <c r="K13" s="23">
        <v>35</v>
      </c>
      <c r="L13" s="22">
        <f>(L$2)*1260</f>
        <v>1260</v>
      </c>
      <c r="M13" s="23">
        <v>35</v>
      </c>
      <c r="N13" s="22">
        <f>(N$2)*3150</f>
        <v>3150</v>
      </c>
      <c r="O13" s="23">
        <v>35</v>
      </c>
      <c r="P13" s="22">
        <f>(P$2)*6300</f>
        <v>6300</v>
      </c>
      <c r="Q13" s="23">
        <v>35</v>
      </c>
      <c r="R13" s="22">
        <f>(R$2)*12600</f>
        <v>12600</v>
      </c>
      <c r="S13" s="23">
        <v>35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 x14ac:dyDescent="0.25">
      <c r="A14" s="17"/>
      <c r="B14" s="22">
        <f>($B$2)*6.15</f>
        <v>6.15</v>
      </c>
      <c r="C14" s="23">
        <v>40</v>
      </c>
      <c r="D14" s="22">
        <f>(D$2)*30.75</f>
        <v>30.75</v>
      </c>
      <c r="E14" s="23">
        <v>40</v>
      </c>
      <c r="F14" s="22">
        <f>(F$2)*153.75</f>
        <v>153.75</v>
      </c>
      <c r="G14" s="23">
        <v>40</v>
      </c>
      <c r="H14" s="22">
        <f>(H$2)*522.75</f>
        <v>522.75</v>
      </c>
      <c r="I14" s="23">
        <v>40</v>
      </c>
      <c r="J14" s="22">
        <f>(J$2)*738</f>
        <v>738</v>
      </c>
      <c r="K14" s="23">
        <v>40</v>
      </c>
      <c r="L14" s="22">
        <f>(L$2)*1230</f>
        <v>1230</v>
      </c>
      <c r="M14" s="23">
        <v>40</v>
      </c>
      <c r="N14" s="22">
        <f>(N$2)*3075</f>
        <v>3075</v>
      </c>
      <c r="O14" s="23">
        <v>40</v>
      </c>
      <c r="P14" s="22">
        <f>(P$2)*6150</f>
        <v>6150</v>
      </c>
      <c r="Q14" s="23">
        <v>40</v>
      </c>
      <c r="R14" s="22">
        <f>(R$2)*12300</f>
        <v>12300</v>
      </c>
      <c r="S14" s="23">
        <v>40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 x14ac:dyDescent="0.25">
      <c r="A15" s="17"/>
      <c r="B15" s="22">
        <f>($B$2)*6</f>
        <v>6</v>
      </c>
      <c r="C15" s="23">
        <v>45</v>
      </c>
      <c r="D15" s="22">
        <f>(D$2)*30</f>
        <v>30</v>
      </c>
      <c r="E15" s="23">
        <v>45</v>
      </c>
      <c r="F15" s="22">
        <f>(F$2)*150</f>
        <v>150</v>
      </c>
      <c r="G15" s="23">
        <v>45</v>
      </c>
      <c r="H15" s="22">
        <f>(H$2)*510</f>
        <v>510</v>
      </c>
      <c r="I15" s="23">
        <v>45</v>
      </c>
      <c r="J15" s="22">
        <f>(J$2)*720</f>
        <v>720</v>
      </c>
      <c r="K15" s="23">
        <v>45</v>
      </c>
      <c r="L15" s="22">
        <f>(L$2)*1200</f>
        <v>1200</v>
      </c>
      <c r="M15" s="23">
        <v>45</v>
      </c>
      <c r="N15" s="22">
        <f>(N$2)*3000</f>
        <v>3000</v>
      </c>
      <c r="O15" s="23">
        <v>45</v>
      </c>
      <c r="P15" s="22">
        <f>(P$2)*6000</f>
        <v>6000</v>
      </c>
      <c r="Q15" s="23">
        <v>45</v>
      </c>
      <c r="R15" s="22">
        <f>(R$2)*12000</f>
        <v>12000</v>
      </c>
      <c r="S15" s="23">
        <v>45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 x14ac:dyDescent="0.25">
      <c r="A16" s="17"/>
      <c r="B16" s="22">
        <f>($B$2)*5.86</f>
        <v>5.86</v>
      </c>
      <c r="C16" s="23">
        <v>50</v>
      </c>
      <c r="D16" s="22">
        <f>(D$2)*29.3</f>
        <v>29.3</v>
      </c>
      <c r="E16" s="23">
        <v>50</v>
      </c>
      <c r="F16" s="22">
        <f>(F$2)*146.5</f>
        <v>146.5</v>
      </c>
      <c r="G16" s="23">
        <v>50</v>
      </c>
      <c r="H16" s="22">
        <f>(H$2)*498.1</f>
        <v>498.1</v>
      </c>
      <c r="I16" s="23">
        <v>50</v>
      </c>
      <c r="J16" s="22">
        <f>(J$2)*703.2</f>
        <v>703.2</v>
      </c>
      <c r="K16" s="23">
        <v>50</v>
      </c>
      <c r="L16" s="22">
        <f>(L$2)*1172</f>
        <v>1172</v>
      </c>
      <c r="M16" s="23">
        <v>50</v>
      </c>
      <c r="N16" s="22">
        <f>(N$2)*2930</f>
        <v>2930</v>
      </c>
      <c r="O16" s="23">
        <v>50</v>
      </c>
      <c r="P16" s="22">
        <f>(P$2)*5860</f>
        <v>5860</v>
      </c>
      <c r="Q16" s="23">
        <v>50</v>
      </c>
      <c r="R16" s="22">
        <f>(R$2)*11720</f>
        <v>11720</v>
      </c>
      <c r="S16" s="23">
        <v>50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 x14ac:dyDescent="0.25">
      <c r="A17" s="17"/>
      <c r="B17" s="22">
        <f>($B$2)*5.7</f>
        <v>5.7</v>
      </c>
      <c r="C17" s="23">
        <v>55</v>
      </c>
      <c r="D17" s="22">
        <f>(D$2)*28.5</f>
        <v>28.5</v>
      </c>
      <c r="E17" s="23">
        <v>55</v>
      </c>
      <c r="F17" s="22">
        <f>(F$2)*142.5</f>
        <v>142.5</v>
      </c>
      <c r="G17" s="23">
        <v>55</v>
      </c>
      <c r="H17" s="22">
        <f>(H$2)*484.5</f>
        <v>484.5</v>
      </c>
      <c r="I17" s="23">
        <v>55</v>
      </c>
      <c r="J17" s="22">
        <f>(J$2)*684</f>
        <v>684</v>
      </c>
      <c r="K17" s="23">
        <v>55</v>
      </c>
      <c r="L17" s="22">
        <f>(L$2)*1140</f>
        <v>1140</v>
      </c>
      <c r="M17" s="23">
        <v>55</v>
      </c>
      <c r="N17" s="22">
        <f>(N$2)*2850</f>
        <v>2850</v>
      </c>
      <c r="O17" s="23">
        <v>55</v>
      </c>
      <c r="P17" s="22">
        <f>(P$2)*5700</f>
        <v>5700</v>
      </c>
      <c r="Q17" s="23">
        <v>55</v>
      </c>
      <c r="R17" s="22">
        <f>(R$2)*11400</f>
        <v>11400</v>
      </c>
      <c r="S17" s="23">
        <v>55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 x14ac:dyDescent="0.25">
      <c r="A18" s="17"/>
      <c r="B18" s="22">
        <f>($B$2)*5.6</f>
        <v>5.6</v>
      </c>
      <c r="C18" s="23">
        <v>60</v>
      </c>
      <c r="D18" s="22">
        <f>(D$2)*28</f>
        <v>28</v>
      </c>
      <c r="E18" s="23">
        <v>60</v>
      </c>
      <c r="F18" s="22">
        <f>(F$2)*140</f>
        <v>140</v>
      </c>
      <c r="G18" s="23">
        <v>60</v>
      </c>
      <c r="H18" s="22">
        <f>(H$2)*476</f>
        <v>476</v>
      </c>
      <c r="I18" s="23">
        <v>60</v>
      </c>
      <c r="J18" s="22">
        <f>(J$2)*672</f>
        <v>672</v>
      </c>
      <c r="K18" s="23">
        <v>60</v>
      </c>
      <c r="L18" s="22">
        <f>(L$2)*1120</f>
        <v>1120</v>
      </c>
      <c r="M18" s="23">
        <v>60</v>
      </c>
      <c r="N18" s="22">
        <f>(N$2)*2800</f>
        <v>2800</v>
      </c>
      <c r="O18" s="23">
        <v>60</v>
      </c>
      <c r="P18" s="22">
        <f>(P$2)*5600</f>
        <v>5600</v>
      </c>
      <c r="Q18" s="23">
        <v>60</v>
      </c>
      <c r="R18" s="22">
        <f>(R$2)*11200</f>
        <v>11200</v>
      </c>
      <c r="S18" s="23">
        <v>60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 x14ac:dyDescent="0.25">
      <c r="A19" s="17"/>
      <c r="B19" s="22">
        <f>($B$2)*5.5</f>
        <v>5.5</v>
      </c>
      <c r="C19" s="23">
        <v>65</v>
      </c>
      <c r="D19" s="22">
        <f>(D$2)*27.5</f>
        <v>27.5</v>
      </c>
      <c r="E19" s="23">
        <v>65</v>
      </c>
      <c r="F19" s="22">
        <f>(F$2)*137.5</f>
        <v>137.5</v>
      </c>
      <c r="G19" s="23">
        <v>65</v>
      </c>
      <c r="H19" s="22">
        <f>(H$2)*467.5</f>
        <v>467.5</v>
      </c>
      <c r="I19" s="23">
        <v>65</v>
      </c>
      <c r="J19" s="22">
        <f>(J$2)*660</f>
        <v>660</v>
      </c>
      <c r="K19" s="23">
        <v>65</v>
      </c>
      <c r="L19" s="22">
        <f>(L$2)*1100</f>
        <v>1100</v>
      </c>
      <c r="M19" s="23">
        <v>65</v>
      </c>
      <c r="N19" s="22">
        <f>(N$2)*2750</f>
        <v>2750</v>
      </c>
      <c r="O19" s="23">
        <v>65</v>
      </c>
      <c r="P19" s="22">
        <f>(P$2)*5500</f>
        <v>5500</v>
      </c>
      <c r="Q19" s="23">
        <v>65</v>
      </c>
      <c r="R19" s="22">
        <f>(R$2)*11000</f>
        <v>11000</v>
      </c>
      <c r="S19" s="23">
        <v>65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 x14ac:dyDescent="0.25">
      <c r="A20" s="17"/>
      <c r="B20" s="22">
        <f>($B$2)*5.4</f>
        <v>5.4</v>
      </c>
      <c r="C20" s="23">
        <v>70</v>
      </c>
      <c r="D20" s="22">
        <f>(D$2)*27</f>
        <v>27</v>
      </c>
      <c r="E20" s="23">
        <v>70</v>
      </c>
      <c r="F20" s="22">
        <f>(F$2)*135</f>
        <v>135</v>
      </c>
      <c r="G20" s="23">
        <v>70</v>
      </c>
      <c r="H20" s="22">
        <f>(H$2)*459</f>
        <v>459</v>
      </c>
      <c r="I20" s="23">
        <v>70</v>
      </c>
      <c r="J20" s="22">
        <f>(J$2)*648</f>
        <v>648</v>
      </c>
      <c r="K20" s="23">
        <v>70</v>
      </c>
      <c r="L20" s="22">
        <f>(L$2)*1080</f>
        <v>1080</v>
      </c>
      <c r="M20" s="23">
        <v>70</v>
      </c>
      <c r="N20" s="22">
        <f>(N$2)*2700</f>
        <v>2700</v>
      </c>
      <c r="O20" s="23">
        <v>70</v>
      </c>
      <c r="P20" s="22">
        <f>(P$2)*5400</f>
        <v>5400</v>
      </c>
      <c r="Q20" s="23">
        <v>70</v>
      </c>
      <c r="R20" s="22">
        <f>(R$2)*10800</f>
        <v>10800</v>
      </c>
      <c r="S20" s="23">
        <v>70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 x14ac:dyDescent="0.25">
      <c r="A21" s="17"/>
      <c r="B21" s="22">
        <f>($B$2)*5.3</f>
        <v>5.3</v>
      </c>
      <c r="C21" s="23">
        <v>75</v>
      </c>
      <c r="D21" s="22">
        <f>(D$2)*26.5</f>
        <v>26.5</v>
      </c>
      <c r="E21" s="23">
        <v>75</v>
      </c>
      <c r="F21" s="22">
        <f>(F$2)*132.5</f>
        <v>132.5</v>
      </c>
      <c r="G21" s="23">
        <v>75</v>
      </c>
      <c r="H21" s="22">
        <f>(H$2)*450.5</f>
        <v>450.5</v>
      </c>
      <c r="I21" s="23">
        <v>75</v>
      </c>
      <c r="J21" s="22">
        <f>(J$2)*636</f>
        <v>636</v>
      </c>
      <c r="K21" s="23">
        <v>75</v>
      </c>
      <c r="L21" s="22">
        <f>(L$2)*1060</f>
        <v>1060</v>
      </c>
      <c r="M21" s="23">
        <v>75</v>
      </c>
      <c r="N21" s="22">
        <f>(N$2)*2650</f>
        <v>2650</v>
      </c>
      <c r="O21" s="23">
        <v>75</v>
      </c>
      <c r="P21" s="22">
        <f>(P$2)*5300</f>
        <v>5300</v>
      </c>
      <c r="Q21" s="23">
        <v>75</v>
      </c>
      <c r="R21" s="22">
        <f>(R$2)*10600</f>
        <v>10600</v>
      </c>
      <c r="S21" s="23">
        <v>75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 x14ac:dyDescent="0.25">
      <c r="A22" s="17"/>
      <c r="B22" s="22">
        <f>($B$2)*5.2</f>
        <v>5.2</v>
      </c>
      <c r="C22" s="23">
        <v>80</v>
      </c>
      <c r="D22" s="22">
        <f>(D$2)*26</f>
        <v>26</v>
      </c>
      <c r="E22" s="23">
        <v>80</v>
      </c>
      <c r="F22" s="22">
        <f>(F$2)*130</f>
        <v>130</v>
      </c>
      <c r="G22" s="23">
        <v>80</v>
      </c>
      <c r="H22" s="22">
        <f>(H$2)*442</f>
        <v>442</v>
      </c>
      <c r="I22" s="23">
        <v>80</v>
      </c>
      <c r="J22" s="22">
        <f>(J$2)*624</f>
        <v>624</v>
      </c>
      <c r="K22" s="23">
        <v>80</v>
      </c>
      <c r="L22" s="22">
        <f>(L$2)*1040</f>
        <v>1040</v>
      </c>
      <c r="M22" s="23">
        <v>80</v>
      </c>
      <c r="N22" s="22">
        <f>(N$2)*2600</f>
        <v>2600</v>
      </c>
      <c r="O22" s="23">
        <v>80</v>
      </c>
      <c r="P22" s="22">
        <f>(P$2)*5200</f>
        <v>5200</v>
      </c>
      <c r="Q22" s="23">
        <v>80</v>
      </c>
      <c r="R22" s="22">
        <f>(R$2)*10400</f>
        <v>10400</v>
      </c>
      <c r="S22" s="23">
        <v>80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 x14ac:dyDescent="0.25">
      <c r="A23" s="17"/>
      <c r="B23" s="22">
        <f>($B$2)*5.1</f>
        <v>5.0999999999999996</v>
      </c>
      <c r="C23" s="23">
        <v>85</v>
      </c>
      <c r="D23" s="22">
        <f>(D$2)*25.5</f>
        <v>25.5</v>
      </c>
      <c r="E23" s="23">
        <v>85</v>
      </c>
      <c r="F23" s="22">
        <f>(F$2)*127.5</f>
        <v>127.5</v>
      </c>
      <c r="G23" s="23">
        <v>85</v>
      </c>
      <c r="H23" s="22">
        <f>(H$2)*433.5</f>
        <v>433.5</v>
      </c>
      <c r="I23" s="23">
        <v>85</v>
      </c>
      <c r="J23" s="22">
        <f>(J$2)*612</f>
        <v>612</v>
      </c>
      <c r="K23" s="23">
        <v>85</v>
      </c>
      <c r="L23" s="22">
        <f>(L$2)*1020</f>
        <v>1020</v>
      </c>
      <c r="M23" s="23">
        <v>85</v>
      </c>
      <c r="N23" s="22">
        <f>(N$2)*2550</f>
        <v>2550</v>
      </c>
      <c r="O23" s="23">
        <v>85</v>
      </c>
      <c r="P23" s="22">
        <f>(P$2)*5100</f>
        <v>5100</v>
      </c>
      <c r="Q23" s="23">
        <v>85</v>
      </c>
      <c r="R23" s="22">
        <f>(R$2)*10200</f>
        <v>10200</v>
      </c>
      <c r="S23" s="23">
        <v>85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 x14ac:dyDescent="0.25">
      <c r="A24" s="17"/>
      <c r="B24" s="22">
        <f>($B$2)*5</f>
        <v>5</v>
      </c>
      <c r="C24" s="23">
        <v>90</v>
      </c>
      <c r="D24" s="22">
        <f>(D$2)*25</f>
        <v>25</v>
      </c>
      <c r="E24" s="23">
        <v>90</v>
      </c>
      <c r="F24" s="22">
        <f>(F$2)*125</f>
        <v>125</v>
      </c>
      <c r="G24" s="23">
        <v>90</v>
      </c>
      <c r="H24" s="22">
        <f>(H$2)*425</f>
        <v>425</v>
      </c>
      <c r="I24" s="23">
        <v>90</v>
      </c>
      <c r="J24" s="22">
        <f>(J$2)*600</f>
        <v>600</v>
      </c>
      <c r="K24" s="23">
        <v>90</v>
      </c>
      <c r="L24" s="22">
        <f>(L$2)*1000</f>
        <v>1000</v>
      </c>
      <c r="M24" s="23">
        <v>90</v>
      </c>
      <c r="N24" s="22">
        <f>(N$2)*2500</f>
        <v>2500</v>
      </c>
      <c r="O24" s="23">
        <v>90</v>
      </c>
      <c r="P24" s="22">
        <f>(P$2)*5000</f>
        <v>5000</v>
      </c>
      <c r="Q24" s="23">
        <v>90</v>
      </c>
      <c r="R24" s="22">
        <f>(R$2)*10000</f>
        <v>10000</v>
      </c>
      <c r="S24" s="23">
        <v>90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 x14ac:dyDescent="0.25">
      <c r="A25" s="17"/>
      <c r="B25" s="22">
        <f>($B$2)*4.9</f>
        <v>4.9000000000000004</v>
      </c>
      <c r="C25" s="23">
        <v>95</v>
      </c>
      <c r="D25" s="22">
        <f>(D$2)*24.5</f>
        <v>24.5</v>
      </c>
      <c r="E25" s="23">
        <v>95</v>
      </c>
      <c r="F25" s="22">
        <f>(F$2)*122.5</f>
        <v>122.5</v>
      </c>
      <c r="G25" s="23">
        <v>95</v>
      </c>
      <c r="H25" s="22">
        <f>(H$2)*416.5</f>
        <v>416.5</v>
      </c>
      <c r="I25" s="23">
        <v>95</v>
      </c>
      <c r="J25" s="22">
        <f>(J$2)*588</f>
        <v>588</v>
      </c>
      <c r="K25" s="23">
        <v>95</v>
      </c>
      <c r="L25" s="22">
        <f>(L$2)*980</f>
        <v>980</v>
      </c>
      <c r="M25" s="23">
        <v>95</v>
      </c>
      <c r="N25" s="22">
        <f>(N$2)*2450</f>
        <v>2450</v>
      </c>
      <c r="O25" s="23">
        <v>95</v>
      </c>
      <c r="P25" s="22">
        <f>(P$2)*4900</f>
        <v>4900</v>
      </c>
      <c r="Q25" s="23">
        <v>95</v>
      </c>
      <c r="R25" s="22">
        <f>(R$2)*9800</f>
        <v>9800</v>
      </c>
      <c r="S25" s="23">
        <v>95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 x14ac:dyDescent="0.25">
      <c r="A26" s="17"/>
      <c r="B26" s="22">
        <f>($B$2)*4.85</f>
        <v>4.8499999999999996</v>
      </c>
      <c r="C26" s="23">
        <v>100</v>
      </c>
      <c r="D26" s="22">
        <f>(D$2)*24.25</f>
        <v>24.25</v>
      </c>
      <c r="E26" s="23">
        <v>100</v>
      </c>
      <c r="F26" s="22">
        <f>(F$2)*121.25</f>
        <v>121.25</v>
      </c>
      <c r="G26" s="23">
        <v>100</v>
      </c>
      <c r="H26" s="22">
        <f>(H$2)*412.25</f>
        <v>412.25</v>
      </c>
      <c r="I26" s="23">
        <v>100</v>
      </c>
      <c r="J26" s="22">
        <f>(J$2)*582</f>
        <v>582</v>
      </c>
      <c r="K26" s="23">
        <v>100</v>
      </c>
      <c r="L26" s="22">
        <f>(L$2)*970</f>
        <v>970</v>
      </c>
      <c r="M26" s="23">
        <v>100</v>
      </c>
      <c r="N26" s="22">
        <f>(N$2)*2425</f>
        <v>2425</v>
      </c>
      <c r="O26" s="23">
        <v>100</v>
      </c>
      <c r="P26" s="22">
        <f>(P$2)*4850</f>
        <v>4850</v>
      </c>
      <c r="Q26" s="23">
        <v>100</v>
      </c>
      <c r="R26" s="22">
        <f>(R$2)*9700</f>
        <v>9700</v>
      </c>
      <c r="S26" s="23">
        <v>100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 x14ac:dyDescent="0.25">
      <c r="A27" s="17"/>
      <c r="B27" s="22">
        <f>($B$2)*4.3</f>
        <v>4.3</v>
      </c>
      <c r="C27" s="23">
        <v>150</v>
      </c>
      <c r="D27" s="22">
        <f>(D$2)*21.5</f>
        <v>21.5</v>
      </c>
      <c r="E27" s="23">
        <v>150</v>
      </c>
      <c r="F27" s="22">
        <f>(F$2)*107.5</f>
        <v>107.5</v>
      </c>
      <c r="G27" s="23">
        <v>150</v>
      </c>
      <c r="H27" s="22">
        <f>(H$2)*365.5</f>
        <v>365.5</v>
      </c>
      <c r="I27" s="23">
        <v>150</v>
      </c>
      <c r="J27" s="22">
        <f>(J$2)*516</f>
        <v>516</v>
      </c>
      <c r="K27" s="23">
        <v>150</v>
      </c>
      <c r="L27" s="22">
        <f>(L$2)*860</f>
        <v>860</v>
      </c>
      <c r="M27" s="23">
        <v>150</v>
      </c>
      <c r="N27" s="22">
        <f>(N$2)*2150</f>
        <v>2150</v>
      </c>
      <c r="O27" s="23">
        <v>150</v>
      </c>
      <c r="P27" s="22">
        <f>(P$2)*4300</f>
        <v>4300</v>
      </c>
      <c r="Q27" s="23">
        <v>150</v>
      </c>
      <c r="R27" s="22">
        <f>(R$2)*8600</f>
        <v>8600</v>
      </c>
      <c r="S27" s="23">
        <v>150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 x14ac:dyDescent="0.25">
      <c r="A28" s="17"/>
      <c r="B28" s="22">
        <f>($B$2)*3.9</f>
        <v>3.9</v>
      </c>
      <c r="C28" s="23">
        <v>200</v>
      </c>
      <c r="D28" s="22">
        <f>(D$2)*19.5</f>
        <v>19.5</v>
      </c>
      <c r="E28" s="23">
        <v>200</v>
      </c>
      <c r="F28" s="22">
        <f>(F$2)*97.5</f>
        <v>97.5</v>
      </c>
      <c r="G28" s="23">
        <v>200</v>
      </c>
      <c r="H28" s="22">
        <f>(H$2)*331.5</f>
        <v>331.5</v>
      </c>
      <c r="I28" s="23">
        <v>200</v>
      </c>
      <c r="J28" s="22">
        <f>(J$2)*468</f>
        <v>468</v>
      </c>
      <c r="K28" s="23">
        <v>200</v>
      </c>
      <c r="L28" s="22">
        <f>(L$2)*780</f>
        <v>780</v>
      </c>
      <c r="M28" s="23">
        <v>200</v>
      </c>
      <c r="N28" s="22">
        <f>(N$2)*1950</f>
        <v>1950</v>
      </c>
      <c r="O28" s="23">
        <v>200</v>
      </c>
      <c r="P28" s="22">
        <f>(P$2)*3900</f>
        <v>3900</v>
      </c>
      <c r="Q28" s="23">
        <v>200</v>
      </c>
      <c r="R28" s="22">
        <f>(R$2)*7800</f>
        <v>7800</v>
      </c>
      <c r="S28" s="23">
        <v>200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 x14ac:dyDescent="0.25">
      <c r="A29" s="17"/>
      <c r="B29" s="22">
        <f>($B$2)*3.55</f>
        <v>3.55</v>
      </c>
      <c r="C29" s="23">
        <v>250</v>
      </c>
      <c r="D29" s="22">
        <f>(D$2)*17.75</f>
        <v>17.75</v>
      </c>
      <c r="E29" s="23">
        <v>250</v>
      </c>
      <c r="F29" s="22">
        <f>(F$2)*88.75</f>
        <v>88.75</v>
      </c>
      <c r="G29" s="23">
        <v>250</v>
      </c>
      <c r="H29" s="22">
        <f>(H$2)*301.75</f>
        <v>301.75</v>
      </c>
      <c r="I29" s="23">
        <v>250</v>
      </c>
      <c r="J29" s="22">
        <f>(J$2)*426</f>
        <v>426</v>
      </c>
      <c r="K29" s="23">
        <v>250</v>
      </c>
      <c r="L29" s="22">
        <f>(L$2)*710</f>
        <v>710</v>
      </c>
      <c r="M29" s="23">
        <v>250</v>
      </c>
      <c r="N29" s="22">
        <f>(N$2)*1775</f>
        <v>1775</v>
      </c>
      <c r="O29" s="23">
        <v>250</v>
      </c>
      <c r="P29" s="22">
        <f>(P$2)*3550</f>
        <v>3550</v>
      </c>
      <c r="Q29" s="23">
        <v>250</v>
      </c>
      <c r="R29" s="22">
        <f>(R$2)*7100</f>
        <v>7100</v>
      </c>
      <c r="S29" s="23">
        <v>250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 x14ac:dyDescent="0.25">
      <c r="A30" s="17"/>
      <c r="B30" s="22">
        <f>($B$2)*3.2</f>
        <v>3.2</v>
      </c>
      <c r="C30" s="23">
        <v>300</v>
      </c>
      <c r="D30" s="22">
        <f>(D$2)*16</f>
        <v>16</v>
      </c>
      <c r="E30" s="23">
        <v>300</v>
      </c>
      <c r="F30" s="22">
        <f>(F$2)*80</f>
        <v>80</v>
      </c>
      <c r="G30" s="23">
        <v>300</v>
      </c>
      <c r="H30" s="22">
        <f>(H$2)*272</f>
        <v>272</v>
      </c>
      <c r="I30" s="23">
        <v>300</v>
      </c>
      <c r="J30" s="22">
        <f>(J$2)*384</f>
        <v>384</v>
      </c>
      <c r="K30" s="23">
        <v>300</v>
      </c>
      <c r="L30" s="22">
        <f>(L$2)*640</f>
        <v>640</v>
      </c>
      <c r="M30" s="23">
        <v>300</v>
      </c>
      <c r="N30" s="22">
        <f>(N$2)*1600</f>
        <v>1600</v>
      </c>
      <c r="O30" s="23">
        <v>300</v>
      </c>
      <c r="P30" s="22">
        <f>(P$2)*3200</f>
        <v>3200</v>
      </c>
      <c r="Q30" s="23">
        <v>300</v>
      </c>
      <c r="R30" s="22">
        <f>(R$2)*6400</f>
        <v>6400</v>
      </c>
      <c r="S30" s="23">
        <v>300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 x14ac:dyDescent="0.25">
      <c r="A31" s="17"/>
      <c r="B31" s="22">
        <f>($B$2)*2.9</f>
        <v>2.9</v>
      </c>
      <c r="C31" s="23">
        <v>350</v>
      </c>
      <c r="D31" s="22">
        <f>(D$2)*14.5</f>
        <v>14.5</v>
      </c>
      <c r="E31" s="23">
        <v>350</v>
      </c>
      <c r="F31" s="22">
        <f>(F$2)*72.5</f>
        <v>72.5</v>
      </c>
      <c r="G31" s="23">
        <v>350</v>
      </c>
      <c r="H31" s="22">
        <f>(H$2)*246.5</f>
        <v>246.5</v>
      </c>
      <c r="I31" s="23">
        <v>350</v>
      </c>
      <c r="J31" s="22">
        <f>(J$2)*348</f>
        <v>348</v>
      </c>
      <c r="K31" s="23">
        <v>350</v>
      </c>
      <c r="L31" s="22">
        <f>(L$2)*580</f>
        <v>580</v>
      </c>
      <c r="M31" s="23">
        <v>350</v>
      </c>
      <c r="N31" s="22">
        <f>(N$2)*1450</f>
        <v>1450</v>
      </c>
      <c r="O31" s="23">
        <v>350</v>
      </c>
      <c r="P31" s="22">
        <f>(P$2)*2900</f>
        <v>2900</v>
      </c>
      <c r="Q31" s="23">
        <v>350</v>
      </c>
      <c r="R31" s="22">
        <f>(R$2)*5800</f>
        <v>5800</v>
      </c>
      <c r="S31" s="23">
        <v>350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 x14ac:dyDescent="0.25">
      <c r="A32" s="17"/>
      <c r="B32" s="22">
        <f>($B$2)*2.6</f>
        <v>2.6</v>
      </c>
      <c r="C32" s="23">
        <v>400</v>
      </c>
      <c r="D32" s="22">
        <f>(D$2)*13</f>
        <v>13</v>
      </c>
      <c r="E32" s="23">
        <v>400</v>
      </c>
      <c r="F32" s="22">
        <f>(F$2)*65</f>
        <v>65</v>
      </c>
      <c r="G32" s="23">
        <v>400</v>
      </c>
      <c r="H32" s="22">
        <f>(H$2)*221</f>
        <v>221</v>
      </c>
      <c r="I32" s="23">
        <v>400</v>
      </c>
      <c r="J32" s="22">
        <f>(J$2)*312</f>
        <v>312</v>
      </c>
      <c r="K32" s="23">
        <v>400</v>
      </c>
      <c r="L32" s="22">
        <f>(L$2)*520</f>
        <v>520</v>
      </c>
      <c r="M32" s="23">
        <v>400</v>
      </c>
      <c r="N32" s="22">
        <f>(N$2)*1300</f>
        <v>1300</v>
      </c>
      <c r="O32" s="23">
        <v>400</v>
      </c>
      <c r="P32" s="22">
        <f>(P$2)*2600</f>
        <v>2600</v>
      </c>
      <c r="Q32" s="23">
        <v>400</v>
      </c>
      <c r="R32" s="22">
        <f>(R$2)*5200</f>
        <v>5200</v>
      </c>
      <c r="S32" s="23">
        <v>400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 x14ac:dyDescent="0.25">
      <c r="A33" s="17"/>
      <c r="B33" s="22">
        <f>($B$2)*2.35</f>
        <v>2.35</v>
      </c>
      <c r="C33" s="23">
        <v>450</v>
      </c>
      <c r="D33" s="22">
        <f>(D$2)*11.75</f>
        <v>11.75</v>
      </c>
      <c r="E33" s="23">
        <v>450</v>
      </c>
      <c r="F33" s="22">
        <f>(F$2)*58.75</f>
        <v>58.75</v>
      </c>
      <c r="G33" s="23">
        <v>450</v>
      </c>
      <c r="H33" s="22">
        <f>(H$2)*199.75</f>
        <v>199.75</v>
      </c>
      <c r="I33" s="23">
        <v>450</v>
      </c>
      <c r="J33" s="22">
        <f>(J$2)*282</f>
        <v>282</v>
      </c>
      <c r="K33" s="23">
        <v>450</v>
      </c>
      <c r="L33" s="22">
        <f>(L$2)*470</f>
        <v>470</v>
      </c>
      <c r="M33" s="23">
        <v>450</v>
      </c>
      <c r="N33" s="22">
        <f>(N$2)*1175</f>
        <v>1175</v>
      </c>
      <c r="O33" s="23">
        <v>450</v>
      </c>
      <c r="P33" s="22">
        <f>(P$2)*2350</f>
        <v>2350</v>
      </c>
      <c r="Q33" s="23">
        <v>450</v>
      </c>
      <c r="R33" s="22">
        <f>(R$2)*4700</f>
        <v>4700</v>
      </c>
      <c r="S33" s="23">
        <v>450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 x14ac:dyDescent="0.25">
      <c r="A34" s="17"/>
      <c r="B34" s="22">
        <f>($B$2)*2.1</f>
        <v>2.1</v>
      </c>
      <c r="C34" s="23">
        <v>500</v>
      </c>
      <c r="D34" s="22">
        <f>(D$2)*10.5</f>
        <v>10.5</v>
      </c>
      <c r="E34" s="23">
        <v>500</v>
      </c>
      <c r="F34" s="22">
        <f>(F$2)*52.5</f>
        <v>52.5</v>
      </c>
      <c r="G34" s="23">
        <v>500</v>
      </c>
      <c r="H34" s="22">
        <f>(H$2)*178.5</f>
        <v>178.5</v>
      </c>
      <c r="I34" s="23">
        <v>500</v>
      </c>
      <c r="J34" s="22">
        <f>(J$2)*252</f>
        <v>252</v>
      </c>
      <c r="K34" s="23">
        <v>500</v>
      </c>
      <c r="L34" s="22">
        <f>(L$2)*420</f>
        <v>420</v>
      </c>
      <c r="M34" s="23">
        <v>500</v>
      </c>
      <c r="N34" s="22">
        <f>(N$2)*1050</f>
        <v>1050</v>
      </c>
      <c r="O34" s="23">
        <v>500</v>
      </c>
      <c r="P34" s="22">
        <f>(P$2)*2100</f>
        <v>2100</v>
      </c>
      <c r="Q34" s="23">
        <v>500</v>
      </c>
      <c r="R34" s="22">
        <f>(R$2)*4200</f>
        <v>4200</v>
      </c>
      <c r="S34" s="23">
        <v>500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 x14ac:dyDescent="0.25">
      <c r="A35" s="17"/>
      <c r="B35" s="22">
        <f>($B$2)*1.9</f>
        <v>1.9</v>
      </c>
      <c r="C35" s="23">
        <v>550</v>
      </c>
      <c r="D35" s="22">
        <f>(D$2)*9.5</f>
        <v>9.5</v>
      </c>
      <c r="E35" s="23">
        <v>550</v>
      </c>
      <c r="F35" s="22">
        <f>(F$2)*47.5</f>
        <v>47.5</v>
      </c>
      <c r="G35" s="23">
        <v>550</v>
      </c>
      <c r="H35" s="22">
        <f>(H$2)*161.5</f>
        <v>161.5</v>
      </c>
      <c r="I35" s="23">
        <v>550</v>
      </c>
      <c r="J35" s="22">
        <f>(J$2)*228</f>
        <v>228</v>
      </c>
      <c r="K35" s="23">
        <v>550</v>
      </c>
      <c r="L35" s="22">
        <f>(L$2)*380</f>
        <v>380</v>
      </c>
      <c r="M35" s="23">
        <v>550</v>
      </c>
      <c r="N35" s="22">
        <f>(N$2)*950</f>
        <v>950</v>
      </c>
      <c r="O35" s="23">
        <v>550</v>
      </c>
      <c r="P35" s="22">
        <f>(P$2)*1900</f>
        <v>1900</v>
      </c>
      <c r="Q35" s="23">
        <v>550</v>
      </c>
      <c r="R35" s="22">
        <f>(R$2)*3800</f>
        <v>3800</v>
      </c>
      <c r="S35" s="23">
        <v>550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 x14ac:dyDescent="0.25">
      <c r="A36" s="17"/>
      <c r="B36" s="22">
        <f>($B$2)*1.7</f>
        <v>1.7</v>
      </c>
      <c r="C36" s="23">
        <v>600</v>
      </c>
      <c r="D36" s="22">
        <f>(D$2)*8.5</f>
        <v>8.5</v>
      </c>
      <c r="E36" s="23">
        <v>600</v>
      </c>
      <c r="F36" s="22">
        <f>(F$2)*42.5</f>
        <v>42.5</v>
      </c>
      <c r="G36" s="23">
        <v>600</v>
      </c>
      <c r="H36" s="22">
        <f>(H$2)*144.5</f>
        <v>144.5</v>
      </c>
      <c r="I36" s="23">
        <v>600</v>
      </c>
      <c r="J36" s="22">
        <f>(J$2)*204</f>
        <v>204</v>
      </c>
      <c r="K36" s="23">
        <v>600</v>
      </c>
      <c r="L36" s="22">
        <f>(L$2)*340</f>
        <v>340</v>
      </c>
      <c r="M36" s="23">
        <v>600</v>
      </c>
      <c r="N36" s="22">
        <f>(N$2)*850</f>
        <v>850</v>
      </c>
      <c r="O36" s="23">
        <v>600</v>
      </c>
      <c r="P36" s="22">
        <f>(P$2)*1700</f>
        <v>1700</v>
      </c>
      <c r="Q36" s="23">
        <v>600</v>
      </c>
      <c r="R36" s="22">
        <f>(R$2)*3400</f>
        <v>3400</v>
      </c>
      <c r="S36" s="23">
        <v>600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 x14ac:dyDescent="0.25">
      <c r="A37" s="17"/>
      <c r="B37" s="22">
        <f>($B$2)*1.5</f>
        <v>1.5</v>
      </c>
      <c r="C37" s="23">
        <v>650</v>
      </c>
      <c r="D37" s="22">
        <f>(D$2)*7.5</f>
        <v>7.5</v>
      </c>
      <c r="E37" s="23">
        <v>650</v>
      </c>
      <c r="F37" s="22">
        <f>(F$2)*37.5</f>
        <v>37.5</v>
      </c>
      <c r="G37" s="23">
        <v>650</v>
      </c>
      <c r="H37" s="22">
        <f>(H$2)*127.5</f>
        <v>127.5</v>
      </c>
      <c r="I37" s="23">
        <v>650</v>
      </c>
      <c r="J37" s="22">
        <f>(J$2)*180</f>
        <v>180</v>
      </c>
      <c r="K37" s="23">
        <v>650</v>
      </c>
      <c r="L37" s="22">
        <f>(L$2)*300</f>
        <v>300</v>
      </c>
      <c r="M37" s="23">
        <v>650</v>
      </c>
      <c r="N37" s="22">
        <f>(N$2)*750</f>
        <v>750</v>
      </c>
      <c r="O37" s="23">
        <v>650</v>
      </c>
      <c r="P37" s="22">
        <f>(P$2)*1500</f>
        <v>1500</v>
      </c>
      <c r="Q37" s="23">
        <v>650</v>
      </c>
      <c r="R37" s="22">
        <f>(R$2)*3000</f>
        <v>3000</v>
      </c>
      <c r="S37" s="23">
        <v>650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 x14ac:dyDescent="0.25">
      <c r="A38" s="17"/>
      <c r="B38" s="22">
        <f>($B$2)*1.32</f>
        <v>1.32</v>
      </c>
      <c r="C38" s="23">
        <v>700</v>
      </c>
      <c r="D38" s="22">
        <f>(D$2)*6.6</f>
        <v>6.6</v>
      </c>
      <c r="E38" s="23">
        <v>700</v>
      </c>
      <c r="F38" s="22">
        <f>(F$2)*33</f>
        <v>33</v>
      </c>
      <c r="G38" s="23">
        <v>700</v>
      </c>
      <c r="H38" s="22">
        <f>(H$2)*112.2</f>
        <v>112.2</v>
      </c>
      <c r="I38" s="23">
        <v>700</v>
      </c>
      <c r="J38" s="22">
        <f>(J$2)*158.4</f>
        <v>158.4</v>
      </c>
      <c r="K38" s="23">
        <v>700</v>
      </c>
      <c r="L38" s="22">
        <f>(L$2)*264</f>
        <v>264</v>
      </c>
      <c r="M38" s="23">
        <v>700</v>
      </c>
      <c r="N38" s="22">
        <f>(N$2)*660</f>
        <v>660</v>
      </c>
      <c r="O38" s="23">
        <v>700</v>
      </c>
      <c r="P38" s="22">
        <f>(P$2)*1320</f>
        <v>1320</v>
      </c>
      <c r="Q38" s="23">
        <v>700</v>
      </c>
      <c r="R38" s="22">
        <f>(R$2)*2640</f>
        <v>2640</v>
      </c>
      <c r="S38" s="23">
        <v>700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 x14ac:dyDescent="0.25">
      <c r="A39" s="17"/>
      <c r="B39" s="22">
        <f>($B$2)*1.15</f>
        <v>1.1499999999999999</v>
      </c>
      <c r="C39" s="23">
        <v>750</v>
      </c>
      <c r="D39" s="22">
        <f>(D$2)*5.75</f>
        <v>5.75</v>
      </c>
      <c r="E39" s="23">
        <v>750</v>
      </c>
      <c r="F39" s="22">
        <f>(F$2)*28.75</f>
        <v>28.75</v>
      </c>
      <c r="G39" s="23">
        <v>750</v>
      </c>
      <c r="H39" s="22">
        <f>(H$2)*97.75</f>
        <v>97.75</v>
      </c>
      <c r="I39" s="23">
        <v>750</v>
      </c>
      <c r="J39" s="22">
        <f>(J$2)*138</f>
        <v>138</v>
      </c>
      <c r="K39" s="23">
        <v>750</v>
      </c>
      <c r="L39" s="22">
        <f>(L$2)*230</f>
        <v>230</v>
      </c>
      <c r="M39" s="23">
        <v>750</v>
      </c>
      <c r="N39" s="22">
        <f>(N$2)*575</f>
        <v>575</v>
      </c>
      <c r="O39" s="23">
        <v>750</v>
      </c>
      <c r="P39" s="22">
        <f>(P$2)*1150</f>
        <v>1150</v>
      </c>
      <c r="Q39" s="23">
        <v>750</v>
      </c>
      <c r="R39" s="22">
        <f>(R$2)*2300</f>
        <v>2300</v>
      </c>
      <c r="S39" s="23">
        <v>750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ht="15.75" thickBot="1" x14ac:dyDescent="0.3">
      <c r="A40" s="17"/>
      <c r="B40" s="24">
        <f>($B$2)*1</f>
        <v>1</v>
      </c>
      <c r="C40" s="25">
        <v>800</v>
      </c>
      <c r="D40" s="24">
        <f>(D$2)*5</f>
        <v>5</v>
      </c>
      <c r="E40" s="25">
        <v>800</v>
      </c>
      <c r="F40" s="24">
        <f>(F$2)*25</f>
        <v>25</v>
      </c>
      <c r="G40" s="25">
        <v>800</v>
      </c>
      <c r="H40" s="24">
        <f>(H$2)*85</f>
        <v>85</v>
      </c>
      <c r="I40" s="25">
        <v>800</v>
      </c>
      <c r="J40" s="24">
        <f>(J$2)*120</f>
        <v>120</v>
      </c>
      <c r="K40" s="25">
        <v>800</v>
      </c>
      <c r="L40" s="24">
        <f>(L$2)*200</f>
        <v>200</v>
      </c>
      <c r="M40" s="25">
        <v>800</v>
      </c>
      <c r="N40" s="24">
        <f>(N$2)*500</f>
        <v>500</v>
      </c>
      <c r="O40" s="25">
        <v>800</v>
      </c>
      <c r="P40" s="24">
        <f>(P$2)*1000</f>
        <v>1000</v>
      </c>
      <c r="Q40" s="25">
        <v>800</v>
      </c>
      <c r="R40" s="24">
        <f>(R$2)*2000</f>
        <v>2000</v>
      </c>
      <c r="S40" s="25">
        <v>800</v>
      </c>
      <c r="T40" s="51"/>
      <c r="U40" s="94"/>
      <c r="V40" s="51"/>
      <c r="W40" s="94"/>
      <c r="X40" s="17"/>
      <c r="Y40" s="17"/>
      <c r="Z40" s="17"/>
      <c r="AA40" s="17"/>
      <c r="AB40" s="17"/>
    </row>
    <row r="41" spans="1:31" x14ac:dyDescent="0.25">
      <c r="A41" s="17" t="s">
        <v>250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50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250</v>
      </c>
      <c r="G41" s="46"/>
      <c r="H41" s="45" cm="1">
        <f t="array" ref="H41">IF(VLOOKUP(Input!$D$15,I$6:I$40,1,TRUE)=Input!$D$15,INDEX(H$6:H$40,MATCH(VLOOKUP(Input!$D$15,I$6:I$40,1,TRUE),I$6:I$40)),INDEX(H$6:H$40,MATCH(VLOOKUP(Input!$D$15,I$6:I$40,1,TRUE),I$6:I$40)+1))</f>
        <v>850</v>
      </c>
      <c r="I41" s="46"/>
      <c r="J41" s="45" cm="1">
        <f t="array" ref="J41">IF(VLOOKUP(Input!$D$15,K$6:K$40,1,TRUE)=Input!$D$15,INDEX(J$6:J$40,MATCH(VLOOKUP(Input!$D$15,K$6:K$40,1,TRUE),K$6:K$40)),INDEX(J$6:J$40,MATCH(VLOOKUP(Input!$D$15,K$6:K$40,1,TRUE),K$6:K$40)+1))</f>
        <v>1200</v>
      </c>
      <c r="K41" s="46"/>
      <c r="L41" s="45" cm="1">
        <f t="array" ref="L41">IF(VLOOKUP(Input!$D$15,M$6:M$40,1,TRUE)=Input!$D$15,INDEX(L$6:L$40,MATCH(VLOOKUP(Input!$D$15,M$6:M$40,1,TRUE),M$6:M$40)),INDEX(L$6:L$40,MATCH(VLOOKUP(Input!$D$15,M$6:M$40,1,TRUE),M$6:M$40)+1))</f>
        <v>2000</v>
      </c>
      <c r="M41" s="46"/>
      <c r="N41" s="45" cm="1">
        <f t="array" ref="N41">IF(VLOOKUP(Input!$D$15,O$6:O$40,1,TRUE)=Input!$D$15,INDEX(N$6:N$40,MATCH(VLOOKUP(Input!$D$15,O$6:O$40,1,TRUE),O$6:O$40)),INDEX(N$6:N$40,MATCH(VLOOKUP(Input!$D$15,O$6:O$40,1,TRUE),O$6:O$40)+1))</f>
        <v>5000</v>
      </c>
      <c r="O41" s="46"/>
      <c r="P41" s="45" cm="1">
        <f t="array" ref="P41">IF(VLOOKUP(Input!$D$15,Q$6:Q$40,1,TRUE)=Input!$D$15,INDEX(P$6:P$40,MATCH(VLOOKUP(Input!$D$15,Q$6:Q$40,1,TRUE),Q$6:Q$40)),INDEX(P$6:P$40,MATCH(VLOOKUP(Input!$D$15,Q$6:Q$40,1,TRUE),Q$6:Q$40)+1))</f>
        <v>10000</v>
      </c>
      <c r="Q41" s="46"/>
      <c r="R41" s="45" cm="1">
        <f t="array" ref="R41">IF(VLOOKUP(Input!$D$15,S$6:S$40,1,TRUE)=Input!$D$15,INDEX(R$6:R$40,MATCH(VLOOKUP(Input!$D$15,S$6:S$40,1,TRUE),S$6:S$40)),INDEX(R$6:R$40,MATCH(VLOOKUP(Input!$D$15,S$6:S$40,1,TRUE),S$6:S$40)+1))</f>
        <v>20000</v>
      </c>
      <c r="S41" s="17"/>
      <c r="T41" s="45" cm="1">
        <f t="array" ref="T41">IF(VLOOKUP(Input!$D$15,U$6:U$40,1,TRUE)=Input!$D$15,INDEX(T$6:T$40,MATCH(VLOOKUP(Input!$D$15,U$6:U$40,1,TRUE),U$6:U$40)),INDEX(T$6:T$40,MATCH(VLOOKUP(Input!$D$15,U$6:U$40,1,TRUE),U$6:U$40)+1))</f>
        <v>30000</v>
      </c>
      <c r="U41" s="17"/>
      <c r="V41" s="45" cm="1">
        <f t="array" ref="V41">IF(VLOOKUP(Input!$D$15,W$6:W$40,1,TRUE)=Input!$D$15,INDEX(V$6:V$40,MATCH(VLOOKUP(Input!$D$15,W$6:W$40,1,TRUE),W$6:W$40)),INDEX(V$6:V$40,MATCH(VLOOKUP(Input!$D$15,W$6:W$40,1,TRUE),W$6:W$40)+1))</f>
        <v>50000</v>
      </c>
      <c r="W41" s="17"/>
      <c r="X41" s="17"/>
      <c r="Y41" s="17"/>
      <c r="Z41" s="17"/>
      <c r="AA41" s="17"/>
      <c r="AB41" s="17"/>
    </row>
    <row r="42" spans="1:31" x14ac:dyDescent="0.25">
      <c r="A42" s="17"/>
      <c r="B42" s="45"/>
      <c r="C42" s="46"/>
      <c r="D42" s="45"/>
      <c r="E42" s="46"/>
      <c r="F42" s="45"/>
      <c r="G42" s="46"/>
      <c r="H42" s="45"/>
      <c r="I42" s="46"/>
      <c r="J42" s="45"/>
      <c r="K42" s="46"/>
      <c r="L42" s="45"/>
      <c r="M42" s="46"/>
      <c r="N42" s="45"/>
      <c r="O42" s="46"/>
      <c r="P42" s="45"/>
      <c r="Q42" s="46"/>
      <c r="R42" s="45"/>
      <c r="S42" s="17"/>
      <c r="T42" s="45"/>
      <c r="U42" s="17"/>
      <c r="V42" s="45"/>
      <c r="W42" s="17"/>
      <c r="X42" s="17"/>
      <c r="Y42" s="17"/>
      <c r="Z42" s="17"/>
      <c r="AA42" s="17"/>
      <c r="AB42" s="17"/>
    </row>
    <row r="43" spans="1:31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5.75" thickBot="1" x14ac:dyDescent="0.3">
      <c r="A44" s="18" t="s">
        <v>35</v>
      </c>
      <c r="B44" s="19" t="str">
        <f>IF($R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)</f>
        <v>ZG5</v>
      </c>
      <c r="C44" s="17"/>
      <c r="D44" t="s">
        <v>145</v>
      </c>
      <c r="E44" s="17" t="str">
        <f>IF($V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$41,$R$5,IF(Input!D12&lt;=$T$41,$T$5,IF(Input!D12&lt;=$V$41,$V$5,))))))))))))</f>
        <v>ZG5</v>
      </c>
      <c r="F44" s="47" t="str">
        <f>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</f>
        <v>ZG5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 x14ac:dyDescent="0.25">
      <c r="A45" s="17" t="s">
        <v>132</v>
      </c>
      <c r="B45" s="17">
        <f>Input!$D$27</f>
        <v>0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30.75" thickBot="1" x14ac:dyDescent="0.3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144</v>
      </c>
      <c r="N47" s="124" t="s">
        <v>229</v>
      </c>
      <c r="O47" s="176" t="s">
        <v>397</v>
      </c>
      <c r="P47" s="17"/>
      <c r="Q47" s="17"/>
      <c r="R47" s="17"/>
      <c r="S47" s="17"/>
      <c r="T47" s="17"/>
      <c r="U47" s="17"/>
      <c r="V47" s="52"/>
      <c r="W47" s="17"/>
      <c r="X47" s="17"/>
      <c r="Y47" s="135"/>
      <c r="Z47" s="135"/>
      <c r="AA47" s="135"/>
      <c r="AB47" s="17"/>
    </row>
    <row r="48" spans="1:31" ht="15.75" customHeight="1" thickBot="1" x14ac:dyDescent="0.3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10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0.61196431837754628</v>
      </c>
      <c r="L48" s="104">
        <f>3.14*$D48/1000*$C$48/60</f>
        <v>1.7950333333333335</v>
      </c>
      <c r="M48" s="123">
        <v>55</v>
      </c>
      <c r="N48" s="35">
        <v>1.1599999999999999</v>
      </c>
      <c r="O48" s="35">
        <v>18</v>
      </c>
      <c r="P48" s="17"/>
      <c r="Q48" s="17"/>
      <c r="R48" s="17"/>
      <c r="S48" s="17"/>
      <c r="T48" s="17"/>
      <c r="U48" s="17"/>
      <c r="V48" s="282" t="s">
        <v>251</v>
      </c>
      <c r="W48" s="134"/>
      <c r="X48" s="130" t="s">
        <v>237</v>
      </c>
      <c r="Y48" s="138" t="s">
        <v>245</v>
      </c>
      <c r="Z48" s="130" t="s">
        <v>241</v>
      </c>
      <c r="AA48" s="138" t="s">
        <v>245</v>
      </c>
      <c r="AB48" s="17"/>
      <c r="AC48" s="17"/>
      <c r="AD48" s="17"/>
      <c r="AE48" s="17"/>
    </row>
    <row r="49" spans="1:30" ht="24.95" customHeight="1" x14ac:dyDescent="0.25">
      <c r="A49" s="140" t="s">
        <v>46</v>
      </c>
      <c r="B49" s="141" t="s">
        <v>18</v>
      </c>
      <c r="C49" s="141">
        <v>490</v>
      </c>
      <c r="D49" s="142">
        <v>70</v>
      </c>
      <c r="E49" s="141">
        <v>6.6849999999999996</v>
      </c>
      <c r="F49" s="141">
        <v>1000</v>
      </c>
      <c r="G49" s="141">
        <f>IF($B$44=$B49,Input!$D$12,IF($B$45=B49,Input!$D$12,10))</f>
        <v>10</v>
      </c>
      <c r="H49" s="143">
        <f t="shared" ref="H49:H64" si="2">$E49*$F49*($C49/60)^3*($D49/1000)^5</f>
        <v>6.1196431837754623</v>
      </c>
      <c r="I49" s="144">
        <v>1</v>
      </c>
      <c r="J49" s="145">
        <f t="shared" si="0"/>
        <v>0.11925810767728957</v>
      </c>
      <c r="K49" s="145">
        <f t="shared" si="1"/>
        <v>0.61196431837754628</v>
      </c>
      <c r="L49" s="145">
        <f t="shared" ref="L49:L65" si="3">3.14*$D49/1000*C49/60</f>
        <v>1.7950333333333335</v>
      </c>
      <c r="M49" s="146">
        <v>55</v>
      </c>
      <c r="N49" s="141">
        <v>1.1599999999999999</v>
      </c>
      <c r="O49" s="141">
        <v>18</v>
      </c>
      <c r="P49" s="17"/>
      <c r="Q49" s="17"/>
      <c r="R49" s="17"/>
      <c r="S49" s="17"/>
      <c r="T49" s="17"/>
      <c r="U49" s="17"/>
      <c r="V49" s="282"/>
      <c r="W49" s="131" t="s">
        <v>47</v>
      </c>
      <c r="X49" s="149" cm="1">
        <f t="array" ref="X49">IF($B$45=0,
IF($B$44="N/A","N/A",IF(Input!$D$14&lt;=1000,VLOOKUP($B$44,ZG!$B$48:$N$69,2,FALSE),ROUNDDOWN((SQRT((213500000000000000*(INDEX($B$48:$N$69,(MATCH($B$44,$B$48:$B$69,0)+1),9)))/(9.549*(INDEX($B$48:$N$69,(MATCH($B$44,$B$48:$B$69,0)),4))*((INDEX($B$48:$N$69,(MATCH($B$44,$B$48:$B$69,0)),5))/1000)*((INDEX($B$48:$N$69,(MATCH($B$44,$B$48:$B$69,0)),3))^5)))),0))),
IF(Input!$D$14&lt;=1000,VLOOKUP($B$45,ZG!$B$48:$N$69,2,FALSE),ROUNDDOWN((SQRT((213500000000000000*(INDEX($B$48:$N$69,(MATCH($B$45,$B$48:$B$69,0)+1),9)))/(9.549*(INDEX($B$48:$N$69,(MATCH($B$45,$B$48:$B$69,0)),4))*((INDEX($B$48:$N$69,(MATCH($B$45,$B$48:$B$69,0)),5))/1000)*((INDEX($B$48:$N$69,(MATCH($B$45,$B$48:$B$69,0)),3))^5)))),0)))</f>
        <v>490</v>
      </c>
      <c r="Y49" s="228" t="s">
        <v>242</v>
      </c>
      <c r="Z49" s="230">
        <f>$X$49</f>
        <v>490</v>
      </c>
      <c r="AA49" s="152" t="s">
        <v>242</v>
      </c>
      <c r="AB49" s="17"/>
      <c r="AC49" s="17"/>
      <c r="AD49" s="83"/>
    </row>
    <row r="50" spans="1:30" ht="24.95" customHeight="1" x14ac:dyDescent="0.25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3">
        <v>55</v>
      </c>
      <c r="N50" s="35">
        <v>1.1599999999999999</v>
      </c>
      <c r="O50" s="35">
        <v>18</v>
      </c>
      <c r="P50" s="17"/>
      <c r="Q50" s="17"/>
      <c r="R50" s="17"/>
      <c r="S50" s="17"/>
      <c r="T50" s="17"/>
      <c r="U50" s="17"/>
      <c r="V50" s="282"/>
      <c r="W50" s="132" t="s">
        <v>8</v>
      </c>
      <c r="X50" s="162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0.51709992308211361</v>
      </c>
      <c r="Y50" s="17" t="s">
        <v>9</v>
      </c>
      <c r="Z50" s="231">
        <f>IF($X$50="N/A",
           "N/A",
             $X$50/0.264172)</f>
        <v>1.9574365302988719</v>
      </c>
      <c r="AA50" s="136" t="s">
        <v>243</v>
      </c>
      <c r="AB50" s="17"/>
      <c r="AD50" s="83" t="s">
        <v>270</v>
      </c>
    </row>
    <row r="51" spans="1:30" ht="24.95" customHeight="1" x14ac:dyDescent="0.25">
      <c r="A51" s="140" t="s">
        <v>46</v>
      </c>
      <c r="B51" s="141" t="s">
        <v>19</v>
      </c>
      <c r="C51" s="141">
        <v>490</v>
      </c>
      <c r="D51" s="142">
        <v>96</v>
      </c>
      <c r="E51" s="141">
        <v>6.6849999999999996</v>
      </c>
      <c r="F51" s="141">
        <v>1000</v>
      </c>
      <c r="G51" s="141">
        <f>IF($B$44=$B51,Input!$D$12,IF($B$45=B51,Input!$D$12,50))</f>
        <v>50</v>
      </c>
      <c r="H51" s="143">
        <f t="shared" si="2"/>
        <v>29.688760463523831</v>
      </c>
      <c r="I51" s="144">
        <v>1</v>
      </c>
      <c r="J51" s="145">
        <f t="shared" si="0"/>
        <v>0.57856729319630429</v>
      </c>
      <c r="K51" s="143">
        <f t="shared" si="1"/>
        <v>0.59377520927047667</v>
      </c>
      <c r="L51" s="145">
        <f t="shared" si="3"/>
        <v>2.4617599999999999</v>
      </c>
      <c r="M51" s="146">
        <v>55</v>
      </c>
      <c r="N51" s="141">
        <v>1.1599999999999999</v>
      </c>
      <c r="O51" s="141">
        <v>18</v>
      </c>
      <c r="P51" s="17"/>
      <c r="Q51" s="17"/>
      <c r="R51" s="17"/>
      <c r="S51" s="17"/>
      <c r="T51" s="17"/>
      <c r="U51" s="17"/>
      <c r="V51" s="282"/>
      <c r="W51" s="132" t="s">
        <v>10</v>
      </c>
      <c r="X51" s="248">
        <f>IF($B$45=0,
IF($X$49=$B$44,"N/A",3.14*VLOOKUP($B$44,$B$48:$N$69,3,FALSE)/1000*$X$49/60),
3.14*VLOOKUP($B$45,$B$48:$N$69,3,FALSE)/1000*$X$49/60)</f>
        <v>3.7952133333333338</v>
      </c>
      <c r="Y51" s="229" t="s">
        <v>11</v>
      </c>
      <c r="Z51" s="232">
        <f>IF($X$51="N/A",
           "N/A",
            $X$51*196.85)</f>
        <v>747.08774466666671</v>
      </c>
      <c r="AA51" s="136" t="s">
        <v>244</v>
      </c>
      <c r="AB51" s="17"/>
      <c r="AD51" s="83"/>
    </row>
    <row r="52" spans="1:30" ht="30" x14ac:dyDescent="0.25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3">
        <v>94</v>
      </c>
      <c r="N52" s="35">
        <v>1.1499999999999999</v>
      </c>
      <c r="O52" s="35">
        <v>32</v>
      </c>
      <c r="P52" s="17"/>
      <c r="Q52" s="17"/>
      <c r="R52" s="17"/>
      <c r="S52" s="17"/>
      <c r="T52" s="17"/>
      <c r="U52" s="17"/>
      <c r="V52" s="282"/>
      <c r="W52" s="191" t="s">
        <v>388</v>
      </c>
      <c r="X52" s="243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0,
IF(AND(OR((ROUND(MOD($X$62,1)*60,-1))=60,(ROUND(MOD($X$62,1)*60,-1))=0),ROUND($X$62,0)&gt;=1),
                                            ROUND($X$62,0),
                                            IF(AND(ROUND($X$62,1)&lt;1,ROUND(MOD($X$62,1)*60,-1)&lt;&gt;0),
                                            ROUND(MOD($X$62,1)*60,-1)/60,
                                            (($X$62-MOD($X$62,1))+(ROUND(MOD($X$62,1)*60,-1)/60))))))</f>
        <v>0.83333333333333337</v>
      </c>
      <c r="Y52" s="17" t="s">
        <v>268</v>
      </c>
      <c r="Z52" s="244">
        <f>$X$52</f>
        <v>0.83333333333333337</v>
      </c>
      <c r="AA52" s="27"/>
      <c r="AB52" s="17"/>
      <c r="AD52" s="83"/>
    </row>
    <row r="53" spans="1:30" ht="30" x14ac:dyDescent="0.25">
      <c r="A53" s="140" t="s">
        <v>46</v>
      </c>
      <c r="B53" s="141" t="s">
        <v>20</v>
      </c>
      <c r="C53" s="141">
        <v>490</v>
      </c>
      <c r="D53" s="142">
        <v>117</v>
      </c>
      <c r="E53" s="141">
        <v>6.6849999999999996</v>
      </c>
      <c r="F53" s="141">
        <v>1000</v>
      </c>
      <c r="G53" s="141">
        <f>IF($B$44=$B53,Input!$D$12,IF($B$45=B53,Input!$D$12,250))</f>
        <v>250</v>
      </c>
      <c r="H53" s="143">
        <f t="shared" si="2"/>
        <v>79.829830888638114</v>
      </c>
      <c r="I53" s="144">
        <v>2</v>
      </c>
      <c r="J53" s="145">
        <f t="shared" si="0"/>
        <v>1.5557041941951129</v>
      </c>
      <c r="K53" s="143">
        <f t="shared" si="1"/>
        <v>0.31931932355455245</v>
      </c>
      <c r="L53" s="145">
        <f t="shared" si="3"/>
        <v>3.00027</v>
      </c>
      <c r="M53" s="146">
        <v>94</v>
      </c>
      <c r="N53" s="141">
        <v>1.1499999999999999</v>
      </c>
      <c r="O53" s="141">
        <v>32</v>
      </c>
      <c r="P53" s="17"/>
      <c r="Q53" s="17"/>
      <c r="R53" s="52"/>
      <c r="S53" s="17"/>
      <c r="T53" s="17"/>
      <c r="U53" s="17"/>
      <c r="V53" s="282"/>
      <c r="W53" s="191" t="s">
        <v>389</v>
      </c>
      <c r="X53" s="243">
        <f>IF(OR($X$60=0,$X$60="N/A"),
         "N/A",
          (IF(AND(OR((ROUND(MOD($X$63,1)*60,-1))=60,(ROUND(MOD($X$63,1)*60,-1))=0),ROUND($X$63,0)&gt;=1),
                                            ROUND($X$63,0),
                                            IF(AND(ROUND($X$63,1)&lt;1,(ROUND(MOD($X$63,1)*60,-1))&lt;&gt;0),
                                            ROUND(MOD($X$63,1)*60,-1)/60,
                                            (($X$63-MOD($X$63,1))+ROUND(MOD($X$63,1)*60,-1)/60)))))</f>
        <v>1.5</v>
      </c>
      <c r="Y53" s="17" t="s">
        <v>268</v>
      </c>
      <c r="Z53" s="244">
        <f>$X$53</f>
        <v>1.5</v>
      </c>
      <c r="AA53" s="27"/>
      <c r="AB53" s="17"/>
      <c r="AD53" s="83"/>
    </row>
    <row r="54" spans="1:30" ht="30.75" thickBot="1" x14ac:dyDescent="0.3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IF($B$44=$B54,Input!$D$12,IF($B$45=B54,Input!$D$12,850))</f>
        <v>500</v>
      </c>
      <c r="H54" s="37">
        <f t="shared" si="2"/>
        <v>258.5499615410568</v>
      </c>
      <c r="I54" s="41">
        <v>6</v>
      </c>
      <c r="J54" s="42">
        <f t="shared" si="0"/>
        <v>5.038558332154186</v>
      </c>
      <c r="K54" s="102">
        <f t="shared" si="1"/>
        <v>0.51709992308211361</v>
      </c>
      <c r="L54" s="104">
        <f t="shared" si="3"/>
        <v>3.7952133333333338</v>
      </c>
      <c r="M54" s="123">
        <v>94</v>
      </c>
      <c r="N54" s="35">
        <v>1.1000000000000001</v>
      </c>
      <c r="O54" s="35">
        <v>32</v>
      </c>
      <c r="P54" s="17"/>
      <c r="Q54" s="17"/>
      <c r="R54" s="17"/>
      <c r="S54" s="17"/>
      <c r="T54" s="52"/>
      <c r="U54" s="17"/>
      <c r="V54" s="282"/>
      <c r="W54" s="153" t="s">
        <v>257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",ROUND(MOD($X$62,1)*60,-1),"s"))))=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",ROUND(MOD($X$63,1)*60,-1),"s")))="0min 0s",0,
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CONCATENATE(
               IF(IF(AND(OR((ROUND(MOD($X$62,1)*60,-1))=60,(ROUND(MOD($X$62,1)*60,-1))=0),ROUND($X$62,0)&gt;=1),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")))="0min 0s - ","",
         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50s - 1min 30s</v>
      </c>
      <c r="Y54" s="59"/>
      <c r="Z54" s="245" t="str">
        <f>X54</f>
        <v>50s - 1min 30s</v>
      </c>
      <c r="AA54" s="29"/>
      <c r="AB54" s="17"/>
      <c r="AD54" s="83"/>
    </row>
    <row r="55" spans="1:30" ht="33.75" customHeight="1" x14ac:dyDescent="0.25">
      <c r="A55" s="140" t="s">
        <v>46</v>
      </c>
      <c r="B55" s="141" t="s">
        <v>21</v>
      </c>
      <c r="C55" s="141">
        <v>490</v>
      </c>
      <c r="D55" s="142">
        <v>148</v>
      </c>
      <c r="E55" s="141">
        <v>6.6849999999999996</v>
      </c>
      <c r="F55" s="141">
        <v>1000</v>
      </c>
      <c r="G55" s="141">
        <f>IF($B$44=$B55,Input!$D$12,IF($B$45=B55,Input!$D$12,850))</f>
        <v>500</v>
      </c>
      <c r="H55" s="143">
        <f t="shared" si="2"/>
        <v>258.5499615410568</v>
      </c>
      <c r="I55" s="144">
        <v>6</v>
      </c>
      <c r="J55" s="147">
        <f t="shared" si="0"/>
        <v>5.038558332154186</v>
      </c>
      <c r="K55" s="143">
        <f t="shared" si="1"/>
        <v>0.51709992308211361</v>
      </c>
      <c r="L55" s="145">
        <f t="shared" si="3"/>
        <v>3.7952133333333338</v>
      </c>
      <c r="M55" s="146">
        <v>94</v>
      </c>
      <c r="N55" s="141">
        <v>1.1000000000000001</v>
      </c>
      <c r="O55" s="141">
        <v>32</v>
      </c>
      <c r="P55" s="17"/>
      <c r="Q55" s="52"/>
      <c r="R55" s="17"/>
      <c r="S55" s="17"/>
      <c r="T55" s="17"/>
      <c r="U55" s="17"/>
      <c r="V55" s="282" t="s">
        <v>249</v>
      </c>
      <c r="W55" s="131" t="s">
        <v>252</v>
      </c>
      <c r="X55" s="185">
        <f>IF(Input!$E$27=0,$X$49,Input!$E$27)</f>
        <v>490</v>
      </c>
      <c r="Y55" s="85" t="s">
        <v>242</v>
      </c>
      <c r="Z55" s="186">
        <f>$X$55</f>
        <v>490</v>
      </c>
      <c r="AA55" s="136" t="s">
        <v>242</v>
      </c>
      <c r="AB55" s="17"/>
      <c r="AD55" s="83"/>
    </row>
    <row r="56" spans="1:30" x14ac:dyDescent="0.25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37">
        <f t="shared" si="2"/>
        <v>381.79990308029613</v>
      </c>
      <c r="I56" s="41">
        <v>8</v>
      </c>
      <c r="J56" s="103">
        <f t="shared" si="0"/>
        <v>7.4404230092117292</v>
      </c>
      <c r="K56" s="102">
        <f t="shared" si="1"/>
        <v>0.38179990308029615</v>
      </c>
      <c r="L56" s="104">
        <f t="shared" si="3"/>
        <v>4.1029333333333344</v>
      </c>
      <c r="M56" s="123">
        <v>104</v>
      </c>
      <c r="N56" s="35">
        <v>1</v>
      </c>
      <c r="O56" s="35">
        <v>32</v>
      </c>
      <c r="P56" s="17"/>
      <c r="Q56" s="17"/>
      <c r="R56" s="17"/>
      <c r="S56" s="17"/>
      <c r="T56" s="161"/>
      <c r="U56" s="17"/>
      <c r="V56" s="282"/>
      <c r="W56" s="132" t="s">
        <v>8</v>
      </c>
      <c r="X56" s="179">
        <f>IF($B$45=0,
IF($B$44=$X$49,"N/A",(VLOOKUP($B$44,ZG!$B$48:$N$69,4,FALSE)*Input!$D$14*($X$55/60)^3*(((VLOOKUP($B$44,ZG!$B$48:$N$69,3,FALSE))/1000)^5)/Input!$D$12)),
(VLOOKUP($B$45,ZG!$B$48:$N$69,4,FALSE)*Input!$D$14*($X$55/60)^3*(((VLOOKUP($B$45,ZG!$B$48:$N$69,3,FALSE))/1000)^5)/Input!$D$12))</f>
        <v>0.51709992308211361</v>
      </c>
      <c r="Y56" s="85" t="s">
        <v>9</v>
      </c>
      <c r="Z56" s="182">
        <f>IF($X$56="N/A",
           "N/A",
            $X$56/0.264172)</f>
        <v>1.9574365302988719</v>
      </c>
      <c r="AA56" s="136" t="s">
        <v>243</v>
      </c>
      <c r="AB56" s="17"/>
      <c r="AD56" s="83"/>
    </row>
    <row r="57" spans="1:30" x14ac:dyDescent="0.25">
      <c r="A57" s="140" t="s">
        <v>46</v>
      </c>
      <c r="B57" s="141" t="s">
        <v>22</v>
      </c>
      <c r="C57" s="141">
        <v>490</v>
      </c>
      <c r="D57" s="142">
        <v>160</v>
      </c>
      <c r="E57" s="141">
        <v>6.6849999999999996</v>
      </c>
      <c r="F57" s="141">
        <v>1000</v>
      </c>
      <c r="G57" s="141">
        <f>IF($B$44=$B57,Input!$D$12,IF($B$45=B57,Input!$D$12,1000))</f>
        <v>1000</v>
      </c>
      <c r="H57" s="143">
        <f t="shared" si="2"/>
        <v>381.79990308029613</v>
      </c>
      <c r="I57" s="144">
        <v>8</v>
      </c>
      <c r="J57" s="147">
        <f t="shared" si="0"/>
        <v>7.4404230092117292</v>
      </c>
      <c r="K57" s="143">
        <f t="shared" si="1"/>
        <v>0.38179990308029615</v>
      </c>
      <c r="L57" s="145">
        <f t="shared" si="3"/>
        <v>4.1029333333333344</v>
      </c>
      <c r="M57" s="146">
        <v>104</v>
      </c>
      <c r="N57" s="141">
        <v>1</v>
      </c>
      <c r="O57" s="141">
        <v>32</v>
      </c>
      <c r="P57" s="17"/>
      <c r="Q57" s="17"/>
      <c r="R57" s="17"/>
      <c r="S57" s="17"/>
      <c r="T57" s="17"/>
      <c r="U57" s="17"/>
      <c r="V57" s="282"/>
      <c r="W57" s="132" t="s">
        <v>253</v>
      </c>
      <c r="X57" s="180">
        <f>IF($B$45=0,
IF($X$49=$B$44,"N/A",3.14*VLOOKUP($B$44,$B$48:$N$69,3,FALSE)/1000*$X$55/60),
3.14*VLOOKUP($B$45,$B$48:$N$69,3,FALSE)/1000*$X$55/60)</f>
        <v>3.7952133333333338</v>
      </c>
      <c r="Y57" s="136" t="s">
        <v>11</v>
      </c>
      <c r="Z57" s="183">
        <f>IF($X$57="N/A",
           "N/A",
            $X$57*196.85)</f>
        <v>747.08774466666671</v>
      </c>
      <c r="AA57" s="136" t="s">
        <v>244</v>
      </c>
      <c r="AB57" s="17"/>
      <c r="AD57" s="83"/>
    </row>
    <row r="58" spans="1:30" ht="45.75" thickBot="1" x14ac:dyDescent="0.3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IF(ZG!$B$44=$B58,Input!$D$14,IF($B$45=$B58,Input!$D$14,1000))</f>
        <v>1000</v>
      </c>
      <c r="G58" s="3">
        <f>IF($B$44=$B58,Input!$D$12,IF($B$45=B58,Input!$D$12,2000))</f>
        <v>2000</v>
      </c>
      <c r="H58" s="37">
        <f t="shared" si="2"/>
        <v>632.56073780547626</v>
      </c>
      <c r="I58" s="41">
        <v>13</v>
      </c>
      <c r="J58" s="42">
        <f t="shared" si="0"/>
        <v>12.327188745519372</v>
      </c>
      <c r="K58" s="102">
        <f t="shared" si="1"/>
        <v>0.31628036890273814</v>
      </c>
      <c r="L58" s="104">
        <f t="shared" si="3"/>
        <v>4.5388699999999993</v>
      </c>
      <c r="M58" s="123">
        <v>129.5</v>
      </c>
      <c r="N58" s="35">
        <v>1</v>
      </c>
      <c r="O58" s="35">
        <v>32</v>
      </c>
      <c r="P58" s="17"/>
      <c r="Q58" s="17"/>
      <c r="R58" s="17"/>
      <c r="S58" s="17"/>
      <c r="T58" s="17"/>
      <c r="U58" s="17"/>
      <c r="V58" s="282"/>
      <c r="W58" s="153" t="s">
        <v>258</v>
      </c>
      <c r="X58" s="181" t="str">
        <f>IF(OR($X$60=0,$X$60="N/A"),
         "N/A",
           IF(Input!$D$12/$X$61*5&lt;0.5,
                    0.5,
                    CONCATENATE(MROUND(Input!$D$12/$X$61*3,0.5)," - ",MROUND(Input!$D$12/$X$61*5,0.5))))</f>
        <v>1 - 1,5</v>
      </c>
      <c r="Y58" s="137" t="s">
        <v>268</v>
      </c>
      <c r="Z58" s="184" t="str">
        <f>$X$58</f>
        <v>1 - 1,5</v>
      </c>
      <c r="AA58" s="94" t="s">
        <v>268</v>
      </c>
      <c r="AB58" s="17"/>
      <c r="AD58" s="83"/>
    </row>
    <row r="59" spans="1:30" x14ac:dyDescent="0.25">
      <c r="A59" s="140" t="s">
        <v>46</v>
      </c>
      <c r="B59" s="141" t="s">
        <v>23</v>
      </c>
      <c r="C59" s="141">
        <v>490</v>
      </c>
      <c r="D59" s="142">
        <v>177</v>
      </c>
      <c r="E59" s="141">
        <v>6.6849999999999996</v>
      </c>
      <c r="F59" s="141">
        <v>1000</v>
      </c>
      <c r="G59" s="141">
        <f>IF($B$44=$B59,Input!$D$12,IF($B$45=B59,Input!$D$12,2000))</f>
        <v>2000</v>
      </c>
      <c r="H59" s="143">
        <f t="shared" si="2"/>
        <v>632.56073780547626</v>
      </c>
      <c r="I59" s="144">
        <v>13</v>
      </c>
      <c r="J59" s="147">
        <f t="shared" si="0"/>
        <v>12.327188745519372</v>
      </c>
      <c r="K59" s="143">
        <f t="shared" si="1"/>
        <v>0.31628036890273814</v>
      </c>
      <c r="L59" s="145">
        <f t="shared" si="3"/>
        <v>4.5388699999999993</v>
      </c>
      <c r="M59" s="146">
        <v>129.5</v>
      </c>
      <c r="N59" s="141">
        <v>1</v>
      </c>
      <c r="O59" s="141">
        <v>32</v>
      </c>
      <c r="P59" s="17"/>
      <c r="Q59" s="17"/>
      <c r="R59" s="17"/>
      <c r="S59" s="260"/>
      <c r="T59" s="52"/>
      <c r="U59" s="17"/>
      <c r="V59" s="17"/>
      <c r="W59" s="157" t="s">
        <v>228</v>
      </c>
      <c r="X59" s="242">
        <v>0.5</v>
      </c>
      <c r="Y59" s="157"/>
      <c r="Z59" s="157"/>
      <c r="AA59" s="157"/>
      <c r="AB59" s="17"/>
      <c r="AD59" s="83"/>
    </row>
    <row r="60" spans="1:30" x14ac:dyDescent="0.25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5000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0.18286055395958287</v>
      </c>
      <c r="L60" s="104">
        <f t="shared" si="3"/>
        <v>4.2362786666666672</v>
      </c>
      <c r="M60" s="123">
        <v>159.5</v>
      </c>
      <c r="N60" s="35">
        <v>1</v>
      </c>
      <c r="O60" s="35">
        <v>40</v>
      </c>
      <c r="P60" s="17"/>
      <c r="Q60" s="17"/>
      <c r="R60" s="17"/>
      <c r="S60" s="17"/>
      <c r="T60" s="17"/>
      <c r="U60" s="17"/>
      <c r="V60" s="17"/>
      <c r="W60" s="157" t="s">
        <v>255</v>
      </c>
      <c r="X60" s="242">
        <f>IF(AND($B$45=0,$B$44="N/A"),
          "N/A",
             IF($B$45=0,
IF($X$59*(10.74*(VLOOKUP($B$44,$B$48:$M$69,3,FALSE)/25.4)^2*$X$49*(Input!$D$14/1000)/Input!$D$15)&gt;=20000,1,IF($X$59*(10.74*(VLOOKUP($B$44,$B$48:$M$69,3,FALSE)/25.4)^2*$X$49*(Input!$D$14/1000)/Input!$D$15)&gt;=300,EXP(-5.328+1.683*LN($X$59*(10.74*(VLOOKUP($B$44,$B$48:$M$69,3,FALSE)/25.4)^2*$X$49*(Input!$D$14/1000)/Input!$D$15))-0.179*LN($X$59*(10.74*(VLOOKUP($B$44,$B$48:$M$69,3,FALSE)/25.4)^2*$X$49*(Input!$D$14/1000)/Input!$D$15))^2+0.0064*LN($X$59*(10.74*(VLOOKUP($B$44,$B$48:$M$69,3,FALSE)/25.4)^2*$X$49*(Input!$D$14/1000)/Input!$D$15))^3),IF($X$59*(10.74*(VLOOKUP($B$44,$B$48:$M$69,3,FALSE)/25.4)^2*$X$49*(Input!$D$14/1000)/Input!$D$15)&gt;25,EXP(-0.563-0.231*LN($X$59*(10.74*(VLOOKUP($B$44,$B$48:$M$69,3,FALSE)/25.4)^2*$X$49*(Input!$D$14/1000)/Input!$D$15))+0.0466*LN($X$59*(10.74*(VLOOKUP($B$44,$B$48:$M$69,3,FALSE)/25.4)^2*$X$49*(Input!$D$14/1000)/Input!$D$15))^2),0.439)))*VLOOKUP($B$44,$B$48:$N$69,13,FALSE)*$X$49*(VLOOKUP($B$44,$B$48:$M$69,3,FALSE)^3/1000000),
IF($X$59*(10.74*(VLOOKUP($B$45,$B$48:$M$69,3,FALSE)/25.4)^2*$X$49*(Input!$D$14/1000)/Input!$D$15)&gt;=20000,1,IF($X$59*(10.74*(VLOOKUP($B$45,$B$48:$M$69,3,FALSE)/25.4)^2*$X$49*(Input!$D$14/1000)/Input!$D$15)&gt;=300,EXP(-5.328+1.683*LN($X$59*(10.74*(VLOOKUP($B$45,$B$48:$M$69,3,FALSE)/25.4)^2*$X$49*(Input!$D$14/1000)/Input!$D$15))-0.179*LN($X$59*(10.74*(VLOOKUP($B$45,$B$48:$M$69,3,FALSE)/25.4)^2*$X$49*(Input!$D$14/1000)/Input!$D$15))^2+0.0064*LN($X$59*(10.74*(VLOOKUP($B$45,$B$48:$M$69,3,FALSE)/25.4)^2*$X$49*(Input!$D$14/1000)/Input!$D$15))^3),IF($X$59*(10.74*(VLOOKUP($B$45,$B$48:$M$69,3,FALSE)/25.4)^2*$X$49*(Input!$D$14/1000)/Input!$D$15)&gt;25,EXP(-0.563-0.231*LN($X$59*(10.74*(VLOOKUP($B$45,$B$48:$M$69,3,FALSE)/25.4)^2*$X$49*(Input!$D$14/1000)/Input!$D$15))+0.0466*LN($X$59*(10.74*(VLOOKUP($B$45,$B$48:$M$69,3,FALSE)/25.4)^2*$X$49*(Input!$D$14/1000)/Input!$D$15))^2),0.439)))*VLOOKUP($B$45,$B$48:$N$69,13,FALSE)*$X$49*(VLOOKUP($B$45,$B$48:$M$69,3,FALSE)^3/1000000)))</f>
        <v>1747.3258879999998</v>
      </c>
      <c r="Y60" s="157"/>
      <c r="Z60" s="157"/>
      <c r="AA60" s="157"/>
      <c r="AB60" s="17"/>
      <c r="AD60" s="83"/>
    </row>
    <row r="61" spans="1:30" x14ac:dyDescent="0.25">
      <c r="A61" s="140" t="s">
        <v>46</v>
      </c>
      <c r="B61" s="141" t="s">
        <v>24</v>
      </c>
      <c r="C61" s="141">
        <v>343</v>
      </c>
      <c r="D61" s="142">
        <v>236</v>
      </c>
      <c r="E61" s="141">
        <v>6.6849999999999996</v>
      </c>
      <c r="F61" s="141">
        <v>1000</v>
      </c>
      <c r="G61" s="141">
        <f>IF($B$44=$B61,Input!$D$12,IF($B$45=B61,Input!$D$12,5000))</f>
        <v>5000</v>
      </c>
      <c r="H61" s="143">
        <f t="shared" si="2"/>
        <v>914.30276979791427</v>
      </c>
      <c r="I61" s="144">
        <v>26</v>
      </c>
      <c r="J61" s="148">
        <v>25.5</v>
      </c>
      <c r="K61" s="143">
        <f t="shared" si="1"/>
        <v>0.18286055395958287</v>
      </c>
      <c r="L61" s="145">
        <f t="shared" si="3"/>
        <v>4.2362786666666672</v>
      </c>
      <c r="M61" s="146">
        <v>159.5</v>
      </c>
      <c r="N61" s="141">
        <v>1</v>
      </c>
      <c r="O61" s="141">
        <v>40</v>
      </c>
      <c r="P61" s="17"/>
      <c r="R61" s="52"/>
      <c r="S61" s="17"/>
      <c r="T61" s="17"/>
      <c r="U61" s="17"/>
      <c r="V61" s="17"/>
      <c r="W61" s="157" t="s">
        <v>256</v>
      </c>
      <c r="X61" s="242">
        <f>IF(AND($B$45=0,$B$44="N/A"),
          "N/A",
             IF($B$45=0,
IF($X$59*(10.74*(VLOOKUP($B$44,$B$48:$M$69,3,FALSE)/25.4)^2*$X$55*(Input!$D$14/1000)/Input!$D$15)&gt;=20000,1,IF($X$59*(10.74*(VLOOKUP($B$44,$B$48:$M$69,3,FALSE)/25.4)^2*$X$55*(Input!$D$14/1000)/Input!$D$15)&gt;=300,EXP(-5.328+1.683*LN($X$59*(10.74*(VLOOKUP($B$44,$B$48:$M$69,3,FALSE)/25.4)^2*$X$55*(Input!$D$14/1000)/Input!$D$15))-0.179*LN($X$59*(10.74*(VLOOKUP($B$44,$B$48:$M$69,3,FALSE)/25.4)^2*$X$55*(Input!$D$14/1000)/Input!$D$15))^2+0.0064*LN($X$59*(10.74*(VLOOKUP($B$44,$B$48:$M$69,3,FALSE)/25.4)^2*$X$55*(Input!$D$14/1000)/Input!$D$15))^3),IF($X$59*(10.74*(VLOOKUP($B$44,$B$48:$M$69,3,FALSE)/25.4)^2*$X$55*(Input!$D$14/1000)/Input!$D$15)&gt;25,EXP(-0.563-0.231*LN($X$59*(10.74*(VLOOKUP($B$44,$B$48:$M$69,3,FALSE)/25.4)^2*$X$55*(Input!$D$14/1000)/Input!$D$15))+0.0466*LN($X$59*(10.74*(VLOOKUP($B$44,$B$48:$M$69,3,FALSE)/25.4)^2*$X$55*(Input!$D$14/1000)/Input!$D$15))^2),0.439)))*VLOOKUP($B$44,$B$48:$N$69,13,FALSE)*$X$55*(VLOOKUP($B$44,$B$48:$M$69,3,FALSE)^3/1000000),
IF($X$59*(10.74*(VLOOKUP($B$45,$B$48:$M$69,3,FALSE)/25.4)^2*$X$55*(Input!$D$14/1000)/Input!$D$15)&gt;=20000,1,IF($X$59*(10.74*(VLOOKUP($B$45,$B$48:$M$69,3,FALSE)/25.4)^2*$X$55*(Input!$D$14/1000)/Input!$D$15)&gt;=300,EXP(-5.328+1.683*LN($X$59*(10.74*(VLOOKUP($B$45,$B$48:$M$69,3,FALSE)/25.4)^2*$X$55*(Input!$D$14/1000)/Input!$D$15))-0.179*LN($X$59*(10.74*(VLOOKUP($B$45,$B$48:$M$69,3,FALSE)/25.4)^2*$X$55*(Input!$D$14/1000)/Input!$D$15))^2+0.0064*LN($X$59*(10.74*(VLOOKUP($B$45,$B$48:$M$69,3,FALSE)/25.4)^2*$X$55*(Input!$D$14/1000)/Input!$D$15))^3),IF($X$59*(10.74*(VLOOKUP($B$45,$B$48:$M$69,3,FALSE)/25.4)^2*$X$55*(Input!$D$14/1000)/Input!$D$15)&gt;25,EXP(-0.563-0.231*LN($X$59*(10.74*(VLOOKUP($B$45,$B$48:$M$69,3,FALSE)/25.4)^2*$X$55*(Input!$D$14/1000)/Input!$D$15))+0.0466*LN($X$59*(10.74*(VLOOKUP($B$45,$B$48:$M$69,3,FALSE)/25.4)^2*$X$55*(Input!$D$14/1000)/Input!$D$15))^2),0.439)))*VLOOKUP($B$45,$B$48:$N$69,13,FALSE)*$X$55*(VLOOKUP($B$45,$B$48:$M$69,3,FALSE)^3/1000000)))</f>
        <v>1747.3258879999998</v>
      </c>
      <c r="Y61" s="157"/>
      <c r="Z61" s="157"/>
      <c r="AA61" s="157"/>
      <c r="AB61" s="17"/>
      <c r="AD61" s="83"/>
    </row>
    <row r="62" spans="1:30" x14ac:dyDescent="0.25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IF(ZG!$B$44=$B62,Input!$D$14,IF($B$45=$B62,Input!$D$14,1000))</f>
        <v>1000</v>
      </c>
      <c r="G62" s="3">
        <f>IF($B$44=$B62,Input!$D$12,IF($B$45=B62,Input!$D$12,10000))</f>
        <v>10000</v>
      </c>
      <c r="H62" s="37">
        <f t="shared" si="2"/>
        <v>1105.9925132812496</v>
      </c>
      <c r="I62" s="41">
        <v>50</v>
      </c>
      <c r="J62" s="42">
        <f t="shared" si="0"/>
        <v>43.106622487031238</v>
      </c>
      <c r="K62" s="102">
        <f t="shared" si="1"/>
        <v>0.11059925132812495</v>
      </c>
      <c r="L62" s="104">
        <f t="shared" si="3"/>
        <v>3.8464999999999998</v>
      </c>
      <c r="M62" s="123">
        <v>199.5</v>
      </c>
      <c r="N62" s="35">
        <v>1.1499999999999999</v>
      </c>
      <c r="O62" s="35">
        <v>40</v>
      </c>
      <c r="P62" s="17"/>
      <c r="Q62" s="17"/>
      <c r="R62" s="17"/>
      <c r="S62" s="17"/>
      <c r="T62" s="17"/>
      <c r="U62" s="17"/>
      <c r="V62" s="17"/>
      <c r="W62" s="157" t="s">
        <v>383</v>
      </c>
      <c r="X62" s="242">
        <f>IF(OR($X$60=0,AND($B$45=0,$B$44="N/A")),
          "N/A",
           Input!$D$12/$X$60*3)</f>
        <v>0.85845463075975448</v>
      </c>
      <c r="Y62" s="157"/>
      <c r="Z62" s="157"/>
      <c r="AA62" s="157"/>
      <c r="AB62" s="17"/>
    </row>
    <row r="63" spans="1:30" x14ac:dyDescent="0.25">
      <c r="A63" s="140" t="s">
        <v>46</v>
      </c>
      <c r="B63" s="141" t="s">
        <v>25</v>
      </c>
      <c r="C63" s="141">
        <v>245</v>
      </c>
      <c r="D63" s="142">
        <v>300</v>
      </c>
      <c r="E63" s="141">
        <v>6.6849999999999996</v>
      </c>
      <c r="F63" s="141">
        <v>1000</v>
      </c>
      <c r="G63" s="141">
        <f>IF($B$44=$B63,Input!$D$12,IF($B$45=B63,Input!$D$12,10000))</f>
        <v>10000</v>
      </c>
      <c r="H63" s="143">
        <f t="shared" si="2"/>
        <v>1105.9925132812496</v>
      </c>
      <c r="I63" s="144">
        <v>50</v>
      </c>
      <c r="J63" s="147">
        <f t="shared" si="0"/>
        <v>43.106622487031238</v>
      </c>
      <c r="K63" s="143">
        <f t="shared" si="1"/>
        <v>0.11059925132812495</v>
      </c>
      <c r="L63" s="145">
        <f t="shared" si="3"/>
        <v>3.8464999999999998</v>
      </c>
      <c r="M63" s="146">
        <v>199.5</v>
      </c>
      <c r="N63" s="141">
        <v>1.1499999999999999</v>
      </c>
      <c r="O63" s="141">
        <v>40</v>
      </c>
      <c r="P63" s="17"/>
      <c r="Q63" s="17"/>
      <c r="R63" s="52"/>
      <c r="S63" s="17"/>
      <c r="T63" s="17"/>
      <c r="U63" s="17"/>
      <c r="V63" s="17"/>
      <c r="W63" s="157" t="s">
        <v>384</v>
      </c>
      <c r="X63" s="242">
        <f>IF(OR($X$60=0,AND($B$45=0,$B$44="N/A")),
          "N/A",
            Input!$D$12/$X$60*5)</f>
        <v>1.4307577179329243</v>
      </c>
      <c r="Y63" s="157"/>
      <c r="Z63" s="157"/>
      <c r="AA63" s="157"/>
      <c r="AB63" s="17"/>
    </row>
    <row r="64" spans="1:30" x14ac:dyDescent="0.25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20000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0.11952428093311442</v>
      </c>
      <c r="L64" s="104">
        <f t="shared" si="3"/>
        <v>4.4875833333333333</v>
      </c>
      <c r="M64" s="123">
        <v>229.5</v>
      </c>
      <c r="N64" s="35">
        <v>1.1499999999999999</v>
      </c>
      <c r="O64" s="35">
        <v>40</v>
      </c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x14ac:dyDescent="0.25">
      <c r="A65" s="140" t="s">
        <v>46</v>
      </c>
      <c r="B65" s="141" t="s">
        <v>26</v>
      </c>
      <c r="C65" s="141">
        <v>245</v>
      </c>
      <c r="D65" s="142">
        <v>350</v>
      </c>
      <c r="E65" s="141">
        <v>6.6849999999999996</v>
      </c>
      <c r="F65" s="141">
        <v>1000</v>
      </c>
      <c r="G65" s="141">
        <f>IF($B$44=$B65,Input!$D$12,IF($B$45=B65,Input!$D$12,20000))</f>
        <v>20000</v>
      </c>
      <c r="H65" s="143">
        <f>$E65*$F65*($C65/60)^3*($D65/1000)^5</f>
        <v>2390.4856186622883</v>
      </c>
      <c r="I65" s="144">
        <v>100</v>
      </c>
      <c r="J65" s="147">
        <f>9549*H65/C65/1000</f>
        <v>93.170396622882407</v>
      </c>
      <c r="K65" s="143">
        <f>H65/G65</f>
        <v>0.11952428093311442</v>
      </c>
      <c r="L65" s="145">
        <f t="shared" si="3"/>
        <v>4.4875833333333333</v>
      </c>
      <c r="M65" s="146">
        <v>229.5</v>
      </c>
      <c r="N65" s="141">
        <v>1.1499999999999999</v>
      </c>
      <c r="O65" s="141">
        <v>40</v>
      </c>
      <c r="P65" s="17"/>
      <c r="Q65" s="17"/>
      <c r="R65" s="17"/>
      <c r="S65" s="17"/>
      <c r="T65" s="17"/>
      <c r="U65" s="17"/>
      <c r="V65" s="17"/>
      <c r="W65" s="85"/>
      <c r="X65" s="283" t="s">
        <v>247</v>
      </c>
      <c r="Y65" s="284"/>
      <c r="Z65" s="17"/>
      <c r="AA65" s="17"/>
      <c r="AB65" s="17"/>
    </row>
    <row r="66" spans="1:28" ht="30.75" thickBot="1" x14ac:dyDescent="0.3">
      <c r="A66" s="17"/>
      <c r="B66" s="35" t="s">
        <v>134</v>
      </c>
      <c r="C66" s="35">
        <v>245</v>
      </c>
      <c r="D66" s="36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3">
        <v>249.5</v>
      </c>
      <c r="N66" s="35"/>
      <c r="O66" s="35"/>
      <c r="P66" s="17"/>
      <c r="Q66" s="17"/>
      <c r="R66" s="52"/>
      <c r="S66" s="17"/>
      <c r="T66" s="17"/>
      <c r="U66" s="17"/>
      <c r="V66" s="17"/>
      <c r="W66" s="158" t="str">
        <f>CONCATENATE("Tank Turnovers at ",Input!D15,"cP")</f>
        <v>Tank Turnovers at 1cP</v>
      </c>
      <c r="X66" s="133" t="s">
        <v>254</v>
      </c>
      <c r="Y66" s="135" t="s">
        <v>249</v>
      </c>
      <c r="Z66" s="135"/>
      <c r="AA66" s="17"/>
      <c r="AB66" s="17"/>
    </row>
    <row r="67" spans="1:28" x14ac:dyDescent="0.25">
      <c r="A67" s="140" t="s">
        <v>46</v>
      </c>
      <c r="B67" s="141" t="s">
        <v>134</v>
      </c>
      <c r="C67" s="141">
        <v>245</v>
      </c>
      <c r="D67" s="142">
        <v>400</v>
      </c>
      <c r="E67" s="141">
        <v>6.6849999999999996</v>
      </c>
      <c r="F67" s="141">
        <v>1000</v>
      </c>
      <c r="G67" s="141">
        <f>IF($B$44=$B67,Input!$D$12,IF($B$45=B67,Input!$D$12,35000))</f>
        <v>35000</v>
      </c>
      <c r="H67" s="143">
        <f t="shared" si="4"/>
        <v>4660.643348148149</v>
      </c>
      <c r="I67" s="144"/>
      <c r="J67" s="147">
        <f t="shared" si="5"/>
        <v>181.65095237333335</v>
      </c>
      <c r="K67" s="143">
        <f t="shared" si="6"/>
        <v>0.13316123851851855</v>
      </c>
      <c r="L67" s="145">
        <f t="shared" si="7"/>
        <v>5.1286666666666667</v>
      </c>
      <c r="M67" s="146">
        <v>249.5</v>
      </c>
      <c r="N67" s="141"/>
      <c r="O67" s="141"/>
      <c r="P67" s="17"/>
      <c r="Q67" s="17"/>
      <c r="R67" s="17"/>
      <c r="S67" s="17"/>
      <c r="T67" s="17"/>
      <c r="U67" s="17"/>
      <c r="V67" s="17"/>
      <c r="W67" s="159">
        <v>0</v>
      </c>
      <c r="X67" s="160">
        <f>IF(OR($X$60=0,$X$60="N/A"),
           "N/A",
              Input!$D$12/$X$60*$W67)</f>
        <v>0</v>
      </c>
      <c r="Y67" s="178">
        <f>IF(OR($X$61=0,$X$61="N/A"),
         "N/A",
           Input!$D$12/$X$61*$W67)</f>
        <v>0</v>
      </c>
      <c r="Z67" s="88"/>
      <c r="AA67" s="17"/>
      <c r="AB67" s="17"/>
    </row>
    <row r="68" spans="1:28" x14ac:dyDescent="0.25">
      <c r="A68" s="17"/>
      <c r="B68" s="35" t="s">
        <v>135</v>
      </c>
      <c r="C68" s="35">
        <v>245</v>
      </c>
      <c r="D68" s="36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3">
        <v>249.5</v>
      </c>
      <c r="N68" s="35"/>
      <c r="O68" s="35"/>
      <c r="P68" s="17"/>
      <c r="Q68" s="191"/>
      <c r="R68" s="17"/>
      <c r="S68" s="17"/>
      <c r="T68" s="17"/>
      <c r="U68" s="17"/>
      <c r="V68" s="17"/>
      <c r="W68" s="159">
        <v>1</v>
      </c>
      <c r="X68" s="160">
        <f>IF(OR($X$60=0,$X$60="N/A"),
           "N/A",
              Input!$D$12/$X$60*$W68)</f>
        <v>0.28615154358658484</v>
      </c>
      <c r="Y68" s="178">
        <f>IF(OR($X$61=0,$X$61="N/A"),
         "N/A",
           Input!$D$12/$X$61*$W68)</f>
        <v>0.28615154358658484</v>
      </c>
      <c r="Z68" s="46"/>
      <c r="AA68" s="17"/>
      <c r="AB68" s="17"/>
    </row>
    <row r="69" spans="1:28" x14ac:dyDescent="0.25">
      <c r="A69" s="140" t="s">
        <v>46</v>
      </c>
      <c r="B69" s="141" t="s">
        <v>135</v>
      </c>
      <c r="C69" s="141">
        <v>245</v>
      </c>
      <c r="D69" s="142">
        <v>450</v>
      </c>
      <c r="E69" s="141">
        <v>6.6849999999999996</v>
      </c>
      <c r="F69" s="141">
        <v>1000</v>
      </c>
      <c r="G69" s="141">
        <f>IF($B$44=$B69,Input!$D$12,IF($B$45=B69,Input!$D$12,60000))</f>
        <v>60000</v>
      </c>
      <c r="H69" s="143">
        <f t="shared" si="4"/>
        <v>8398.6306477294911</v>
      </c>
      <c r="I69" s="144"/>
      <c r="J69" s="147">
        <f t="shared" si="5"/>
        <v>327.34091451089353</v>
      </c>
      <c r="K69" s="143">
        <f t="shared" si="6"/>
        <v>0.13997717746215818</v>
      </c>
      <c r="L69" s="145">
        <f t="shared" si="7"/>
        <v>5.7697500000000002</v>
      </c>
      <c r="M69" s="146">
        <v>249.5</v>
      </c>
      <c r="N69" s="141"/>
      <c r="O69" s="141"/>
      <c r="P69" s="17"/>
      <c r="Q69" s="17"/>
      <c r="R69" s="17"/>
      <c r="S69" s="17"/>
      <c r="T69" s="17"/>
      <c r="U69" s="17"/>
      <c r="V69" s="17"/>
      <c r="W69" s="159">
        <v>2</v>
      </c>
      <c r="X69" s="160">
        <f>IF(OR($X$60=0,$X$60="N/A"),
           "N/A",
              Input!$D$12/$X$60*$W69)</f>
        <v>0.57230308717316969</v>
      </c>
      <c r="Y69" s="178">
        <f>IF(OR($X$61=0,$X$61="N/A"),
         "N/A",
           Input!$D$12/$X$61*$W69)</f>
        <v>0.57230308717316969</v>
      </c>
      <c r="Z69" s="17"/>
      <c r="AA69" s="17"/>
      <c r="AB69" s="17"/>
    </row>
    <row r="70" spans="1:28" x14ac:dyDescent="0.25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59">
        <v>3</v>
      </c>
      <c r="X70" s="160">
        <f>IF(OR($X$60=0,$X$60="N/A"),
           "N/A",
              Input!$D$12/$X$60*$W70)</f>
        <v>0.85845463075975448</v>
      </c>
      <c r="Y70" s="178">
        <f>IF(OR($X$61=0,$X$61="N/A"),
         "N/A",
           Input!$D$12/$X$61*$W70)</f>
        <v>0.85845463075975448</v>
      </c>
      <c r="Z70" s="88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59">
        <v>4</v>
      </c>
      <c r="X71" s="160">
        <f>IF(OR($X$60=0,$X$60="N/A"),
           "N/A",
              Input!$D$12/$X$60*$W71)</f>
        <v>1.1446061743463394</v>
      </c>
      <c r="Y71" s="178">
        <f>IF(OR($X$61=0,$X$61="N/A"),
         "N/A",
           Input!$D$12/$X$61*$W71)</f>
        <v>1.1446061743463394</v>
      </c>
      <c r="Z71" s="46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59">
        <v>5</v>
      </c>
      <c r="X72" s="160">
        <f>IF(OR($X$60=0,$X$60="N/A"),
           "N/A",
              Input!$D$12/$X$60*$W72)</f>
        <v>1.4307577179329243</v>
      </c>
      <c r="Y72" s="178">
        <f>IF(OR($X$61=0,$X$61="N/A"),
         "N/A",
           Input!$D$12/$X$61*$W72)</f>
        <v>1.4307577179329243</v>
      </c>
      <c r="Z72" s="17"/>
      <c r="AA72" s="17"/>
      <c r="AB72" s="17"/>
    </row>
    <row r="73" spans="1:28" x14ac:dyDescent="0.25">
      <c r="A73" s="17"/>
      <c r="B73" s="17"/>
      <c r="C73" s="17"/>
      <c r="D73" s="8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59">
        <v>6</v>
      </c>
      <c r="X73" s="160">
        <f>IF(OR($X$60=0,$X$60="N/A"),
           "N/A",
              Input!$D$12/$X$60*$W73)</f>
        <v>1.716909261519509</v>
      </c>
      <c r="Y73" s="178">
        <f>IF(OR($X$61=0,$X$61="N/A"),
         "N/A",
           Input!$D$12/$X$61*$W73)</f>
        <v>1.716909261519509</v>
      </c>
      <c r="Z73" s="17"/>
      <c r="AA73" s="17"/>
      <c r="AB73" s="17"/>
    </row>
    <row r="74" spans="1:28" x14ac:dyDescent="0.25">
      <c r="A74" s="17"/>
      <c r="B74" s="17"/>
      <c r="D74" s="17"/>
      <c r="E74" s="161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9">
        <v>7</v>
      </c>
      <c r="X74" s="160">
        <f>IF(OR($X$60=0,$X$60="N/A"),
           "N/A",
              Input!$D$12/$X$60*$W74)</f>
        <v>2.0030608051060939</v>
      </c>
      <c r="Y74" s="178">
        <f>IF(OR($X$61=0,$X$61="N/A"),
         "N/A",
           Input!$D$12/$X$61*$W74)</f>
        <v>2.0030608051060939</v>
      </c>
      <c r="Z74" s="17"/>
      <c r="AA74" s="17"/>
      <c r="AB74" s="17"/>
    </row>
    <row r="75" spans="1:2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S75" s="17"/>
      <c r="T75" s="17"/>
      <c r="U75" s="17"/>
      <c r="V75" s="17"/>
      <c r="W75" s="159">
        <v>8</v>
      </c>
      <c r="X75" s="160">
        <f>IF(OR($X$60=0,$X$60="N/A"),
           "N/A",
              Input!$D$12/$X$60*$W75)</f>
        <v>2.2892123486926788</v>
      </c>
      <c r="Y75" s="178">
        <f>IF(OR($X$61=0,$X$61="N/A"),
         "N/A",
           Input!$D$12/$X$61*$W75)</f>
        <v>2.2892123486926788</v>
      </c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9">
        <v>9</v>
      </c>
      <c r="X76" s="160">
        <f>IF(OR($X$60=0,$X$60="N/A"),
           "N/A",
              Input!$D$12/$X$60*$W76)</f>
        <v>2.5753638922792637</v>
      </c>
      <c r="Y76" s="178">
        <f>IF(OR($X$61=0,$X$61="N/A"),
         "N/A",
           Input!$D$12/$X$61*$W76)</f>
        <v>2.5753638922792637</v>
      </c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9">
        <v>10</v>
      </c>
      <c r="X77" s="160">
        <f>IF(OR($X$60=0,$X$60="N/A"),
           "N/A",
              Input!$D$12/$X$60*$W77)</f>
        <v>2.8615154358658486</v>
      </c>
      <c r="Y77" s="178">
        <f>IF(OR($X$61=0,$X$61="N/A"),
         "N/A",
           Input!$D$12/$X$61*$W77)</f>
        <v>2.8615154358658486</v>
      </c>
      <c r="Z77" s="17"/>
      <c r="AA77" s="17"/>
      <c r="AB77" s="17"/>
    </row>
    <row r="78" spans="1:2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0" spans="1:28" x14ac:dyDescent="0.25">
      <c r="X80" s="44"/>
      <c r="Z80" s="82"/>
    </row>
    <row r="81" spans="4:26" x14ac:dyDescent="0.25">
      <c r="X81" s="79"/>
      <c r="Z81" s="83"/>
    </row>
    <row r="83" spans="4:26" x14ac:dyDescent="0.25">
      <c r="G83" s="83"/>
      <c r="H83" s="44"/>
      <c r="X83" s="83"/>
      <c r="Z83" s="83"/>
    </row>
    <row r="86" spans="4:26" x14ac:dyDescent="0.25">
      <c r="X86" s="44"/>
      <c r="Z86" s="82"/>
    </row>
    <row r="87" spans="4:26" x14ac:dyDescent="0.25">
      <c r="V87" s="53"/>
      <c r="X87" s="79"/>
      <c r="Z87" s="83"/>
    </row>
    <row r="88" spans="4:26" x14ac:dyDescent="0.25">
      <c r="E88" s="44"/>
    </row>
    <row r="89" spans="4:26" x14ac:dyDescent="0.25">
      <c r="D89" s="44"/>
      <c r="X89" s="83"/>
      <c r="Z89" s="83"/>
    </row>
    <row r="92" spans="4:26" x14ac:dyDescent="0.25">
      <c r="E92" s="44"/>
    </row>
    <row r="97" spans="3:13" x14ac:dyDescent="0.25">
      <c r="D97" s="122"/>
      <c r="E97" s="122"/>
      <c r="F97" s="122"/>
      <c r="G97" s="122"/>
      <c r="H97" s="122"/>
      <c r="I97" s="122"/>
      <c r="J97" s="122"/>
      <c r="K97" s="122"/>
      <c r="L97" s="122"/>
      <c r="M97" s="122"/>
    </row>
    <row r="98" spans="3:13" x14ac:dyDescent="0.25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48:V54"/>
    <mergeCell ref="X65:Y65"/>
    <mergeCell ref="J2:K2"/>
    <mergeCell ref="A1:B1"/>
    <mergeCell ref="B2:C2"/>
    <mergeCell ref="D2:E2"/>
    <mergeCell ref="F2:G2"/>
    <mergeCell ref="H2:I2"/>
    <mergeCell ref="T2:U2"/>
    <mergeCell ref="V2:W2"/>
    <mergeCell ref="L2:M2"/>
    <mergeCell ref="N2:O2"/>
    <mergeCell ref="P2:Q2"/>
    <mergeCell ref="R2:S2"/>
    <mergeCell ref="V55:V58"/>
  </mergeCells>
  <dataValidations disablePrompts="1" count="1">
    <dataValidation type="list" allowBlank="1" showInputMessage="1" showErrorMessage="1" sqref="B2:W2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5"/>
  <sheetViews>
    <sheetView topLeftCell="A47" workbookViewId="0">
      <selection activeCell="X54" sqref="X54"/>
    </sheetView>
  </sheetViews>
  <sheetFormatPr defaultRowHeight="15" x14ac:dyDescent="0.25"/>
  <cols>
    <col min="1" max="1" width="20.28515625" bestFit="1" customWidth="1"/>
    <col min="2" max="2" width="12.7109375" bestFit="1" customWidth="1"/>
    <col min="4" max="4" width="9.85546875" bestFit="1" customWidth="1"/>
    <col min="11" max="11" width="15" bestFit="1" customWidth="1"/>
    <col min="15" max="15" width="12.7109375" bestFit="1" customWidth="1"/>
    <col min="18" max="19" width="0" hidden="1" customWidth="1"/>
    <col min="20" max="20" width="18.85546875" hidden="1" customWidth="1"/>
    <col min="21" max="21" width="0" hidden="1" customWidth="1"/>
    <col min="23" max="23" width="21.7109375" customWidth="1"/>
    <col min="24" max="26" width="12.7109375" bestFit="1" customWidth="1"/>
  </cols>
  <sheetData>
    <row r="1" spans="1:28" ht="15.75" thickBot="1" x14ac:dyDescent="0.3">
      <c r="A1" s="18"/>
      <c r="B1" s="285"/>
      <c r="C1" s="286"/>
      <c r="D1" s="285"/>
      <c r="E1" s="286"/>
      <c r="F1" s="285"/>
      <c r="G1" s="28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85">
        <f>IF(Input!$D$13="Gentle",1.2,IF(Input!$D$13="Vigorous", 0.8,1))</f>
        <v>1</v>
      </c>
      <c r="C2" s="286"/>
      <c r="D2" s="285">
        <f>IF(Input!$D$13="Gentle",1.2,IF(Input!$D$13="Vigorous", 0.8,1))</f>
        <v>1</v>
      </c>
      <c r="E2" s="286"/>
      <c r="F2" s="285">
        <f>IF(Input!$D$13="Gentle",1.2,IF(Input!$D$13="Vigorous", 0.8,1))</f>
        <v>1</v>
      </c>
      <c r="G2" s="28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50</v>
      </c>
      <c r="C3" s="19"/>
      <c r="D3" s="18">
        <v>850</v>
      </c>
      <c r="E3" s="19"/>
      <c r="F3" s="18">
        <v>5000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25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0" t="s">
        <v>81</v>
      </c>
      <c r="G5" s="85" t="s">
        <v>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($B$2)*50</f>
        <v>50</v>
      </c>
      <c r="C6" s="21">
        <v>1</v>
      </c>
      <c r="D6" s="20">
        <f>($D$2)*850</f>
        <v>850</v>
      </c>
      <c r="E6" s="21">
        <v>1</v>
      </c>
      <c r="F6" s="20">
        <v>5000</v>
      </c>
      <c r="G6" s="21">
        <v>1</v>
      </c>
      <c r="H6" s="17"/>
      <c r="I6" s="17"/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($B$2)*45.5</f>
        <v>45.5</v>
      </c>
      <c r="C7" s="23">
        <v>5</v>
      </c>
      <c r="D7" s="22">
        <f>($D$2)*773.5</f>
        <v>773.5</v>
      </c>
      <c r="E7" s="23">
        <v>5</v>
      </c>
      <c r="F7" s="22">
        <v>4550</v>
      </c>
      <c r="G7" s="23">
        <v>5</v>
      </c>
      <c r="H7" s="17"/>
      <c r="I7" s="17"/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($B$2)*41.5</f>
        <v>41.5</v>
      </c>
      <c r="C8" s="23">
        <v>10</v>
      </c>
      <c r="D8" s="22">
        <f>($D$2)*705.5</f>
        <v>705.5</v>
      </c>
      <c r="E8" s="23">
        <v>10</v>
      </c>
      <c r="F8" s="22">
        <v>4150</v>
      </c>
      <c r="G8" s="23">
        <v>10</v>
      </c>
      <c r="H8" s="17"/>
      <c r="I8" s="17"/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($B$2)*38.5</f>
        <v>38.5</v>
      </c>
      <c r="C9" s="23">
        <v>15</v>
      </c>
      <c r="D9" s="22">
        <f>($D$2)*654.5</f>
        <v>654.5</v>
      </c>
      <c r="E9" s="23">
        <v>15</v>
      </c>
      <c r="F9" s="22">
        <v>3850</v>
      </c>
      <c r="G9" s="23">
        <v>15</v>
      </c>
      <c r="H9" s="17"/>
      <c r="I9" s="17"/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($B$2)*36</f>
        <v>36</v>
      </c>
      <c r="C10" s="23">
        <v>20</v>
      </c>
      <c r="D10" s="22">
        <f>($D$2)*612</f>
        <v>612</v>
      </c>
      <c r="E10" s="23">
        <v>20</v>
      </c>
      <c r="F10" s="22">
        <v>3600</v>
      </c>
      <c r="G10" s="23">
        <v>20</v>
      </c>
      <c r="H10" s="17"/>
      <c r="I10" s="17"/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($B$2)*34</f>
        <v>34</v>
      </c>
      <c r="C11" s="23">
        <v>25</v>
      </c>
      <c r="D11" s="22">
        <f>($D$2)*578</f>
        <v>578</v>
      </c>
      <c r="E11" s="23">
        <v>25</v>
      </c>
      <c r="F11" s="22">
        <v>3400</v>
      </c>
      <c r="G11" s="23">
        <v>25</v>
      </c>
      <c r="H11" s="17"/>
      <c r="I11" s="17"/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($B$2)*32.75</f>
        <v>32.75</v>
      </c>
      <c r="C12" s="23">
        <v>30</v>
      </c>
      <c r="D12" s="22">
        <f>($D$2)*556.75</f>
        <v>556.75</v>
      </c>
      <c r="E12" s="23">
        <v>30</v>
      </c>
      <c r="F12" s="22">
        <v>3275</v>
      </c>
      <c r="G12" s="23">
        <v>30</v>
      </c>
      <c r="H12" s="17"/>
      <c r="I12" s="17"/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($B$2)*31.5</f>
        <v>31.5</v>
      </c>
      <c r="C13" s="23">
        <v>35</v>
      </c>
      <c r="D13" s="22">
        <f>($D$2)*535.5</f>
        <v>535.5</v>
      </c>
      <c r="E13" s="23">
        <v>35</v>
      </c>
      <c r="F13" s="22">
        <v>3150</v>
      </c>
      <c r="G13" s="23">
        <v>35</v>
      </c>
      <c r="H13" s="17"/>
      <c r="I13" s="17"/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($B$2)*30.75</f>
        <v>30.75</v>
      </c>
      <c r="C14" s="23">
        <v>40</v>
      </c>
      <c r="D14" s="22">
        <f>($D$2)*522.75</f>
        <v>522.75</v>
      </c>
      <c r="E14" s="23">
        <v>40</v>
      </c>
      <c r="F14" s="22">
        <v>3075</v>
      </c>
      <c r="G14" s="23">
        <v>40</v>
      </c>
      <c r="H14" s="17"/>
      <c r="I14" s="17"/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($B$2)*30</f>
        <v>30</v>
      </c>
      <c r="C15" s="23">
        <v>45</v>
      </c>
      <c r="D15" s="22">
        <f>($D$2)*510</f>
        <v>510</v>
      </c>
      <c r="E15" s="23">
        <v>45</v>
      </c>
      <c r="F15" s="22">
        <v>3000</v>
      </c>
      <c r="G15" s="23">
        <v>45</v>
      </c>
      <c r="H15" s="17"/>
      <c r="I15" s="17"/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($B$2)*29.3</f>
        <v>29.3</v>
      </c>
      <c r="C16" s="23">
        <v>50</v>
      </c>
      <c r="D16" s="22">
        <f>($D$2)*498.1</f>
        <v>498.1</v>
      </c>
      <c r="E16" s="23">
        <v>50</v>
      </c>
      <c r="F16" s="22">
        <v>2930</v>
      </c>
      <c r="G16" s="23">
        <v>50</v>
      </c>
      <c r="H16" s="17"/>
      <c r="I16" s="17"/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($B$2)*28.5</f>
        <v>28.5</v>
      </c>
      <c r="C17" s="23">
        <v>55</v>
      </c>
      <c r="D17" s="22">
        <f>($D$2)*484.5</f>
        <v>484.5</v>
      </c>
      <c r="E17" s="23">
        <v>55</v>
      </c>
      <c r="F17" s="22">
        <v>2850</v>
      </c>
      <c r="G17" s="23">
        <v>55</v>
      </c>
      <c r="H17" s="17"/>
      <c r="I17" s="17"/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($B$2)*28</f>
        <v>28</v>
      </c>
      <c r="C18" s="23">
        <v>60</v>
      </c>
      <c r="D18" s="22">
        <f>($D$2)*476</f>
        <v>476</v>
      </c>
      <c r="E18" s="23">
        <v>60</v>
      </c>
      <c r="F18" s="22">
        <v>2800</v>
      </c>
      <c r="G18" s="23">
        <v>60</v>
      </c>
      <c r="H18" s="17"/>
      <c r="I18" s="17"/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($B$2)*27.5</f>
        <v>27.5</v>
      </c>
      <c r="C19" s="23">
        <v>65</v>
      </c>
      <c r="D19" s="22">
        <f>($D$2)*467.5</f>
        <v>467.5</v>
      </c>
      <c r="E19" s="23">
        <v>65</v>
      </c>
      <c r="F19" s="22">
        <v>2750</v>
      </c>
      <c r="G19" s="23">
        <v>65</v>
      </c>
      <c r="H19" s="17"/>
      <c r="I19" s="17"/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($B$2)*27</f>
        <v>27</v>
      </c>
      <c r="C20" s="23">
        <v>70</v>
      </c>
      <c r="D20" s="22">
        <f>($D$2)*459</f>
        <v>459</v>
      </c>
      <c r="E20" s="23">
        <v>70</v>
      </c>
      <c r="F20" s="22">
        <v>2700</v>
      </c>
      <c r="G20" s="23">
        <v>70</v>
      </c>
      <c r="H20" s="17"/>
      <c r="I20" s="17"/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($B$2)*26.5</f>
        <v>26.5</v>
      </c>
      <c r="C21" s="23">
        <v>75</v>
      </c>
      <c r="D21" s="22">
        <f>($D$2)*450.5</f>
        <v>450.5</v>
      </c>
      <c r="E21" s="23">
        <v>75</v>
      </c>
      <c r="F21" s="22">
        <v>2650</v>
      </c>
      <c r="G21" s="23">
        <v>75</v>
      </c>
      <c r="H21" s="17"/>
      <c r="I21" s="17"/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($B$2)*26</f>
        <v>26</v>
      </c>
      <c r="C22" s="23">
        <v>80</v>
      </c>
      <c r="D22" s="22">
        <f>($D$2)*442</f>
        <v>442</v>
      </c>
      <c r="E22" s="23">
        <v>80</v>
      </c>
      <c r="F22" s="22">
        <v>2600</v>
      </c>
      <c r="G22" s="23">
        <v>80</v>
      </c>
      <c r="H22" s="17"/>
      <c r="I22" s="17"/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($B$2)*25.5</f>
        <v>25.5</v>
      </c>
      <c r="C23" s="23">
        <v>85</v>
      </c>
      <c r="D23" s="22">
        <f>($D$2)*433.5</f>
        <v>433.5</v>
      </c>
      <c r="E23" s="23">
        <v>85</v>
      </c>
      <c r="F23" s="22">
        <v>2550</v>
      </c>
      <c r="G23" s="23">
        <v>85</v>
      </c>
      <c r="H23" s="17"/>
      <c r="I23" s="17"/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($B$2)*25</f>
        <v>25</v>
      </c>
      <c r="C24" s="23">
        <v>90</v>
      </c>
      <c r="D24" s="22">
        <f>($D$2)*425</f>
        <v>425</v>
      </c>
      <c r="E24" s="23">
        <v>90</v>
      </c>
      <c r="F24" s="22">
        <v>2500</v>
      </c>
      <c r="G24" s="23">
        <v>90</v>
      </c>
      <c r="H24" s="17"/>
      <c r="I24" s="17"/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($B$2)*24.5</f>
        <v>24.5</v>
      </c>
      <c r="C25" s="23">
        <v>95</v>
      </c>
      <c r="D25" s="22">
        <f>($D$2)*416.5</f>
        <v>416.5</v>
      </c>
      <c r="E25" s="23">
        <v>95</v>
      </c>
      <c r="F25" s="22">
        <v>2450</v>
      </c>
      <c r="G25" s="23">
        <v>95</v>
      </c>
      <c r="H25" s="17"/>
      <c r="I25" s="17"/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($B$2)*24.25</f>
        <v>24.25</v>
      </c>
      <c r="C26" s="23">
        <v>100</v>
      </c>
      <c r="D26" s="22">
        <f>($D$2)*412.25</f>
        <v>412.25</v>
      </c>
      <c r="E26" s="23">
        <v>100</v>
      </c>
      <c r="F26" s="22">
        <v>2425</v>
      </c>
      <c r="G26" s="23">
        <v>100</v>
      </c>
      <c r="H26" s="17"/>
      <c r="I26" s="17"/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($B$2)*21.5</f>
        <v>21.5</v>
      </c>
      <c r="C27" s="23">
        <v>150</v>
      </c>
      <c r="D27" s="22">
        <f>($D$2)*365.5</f>
        <v>365.5</v>
      </c>
      <c r="E27" s="23">
        <v>150</v>
      </c>
      <c r="F27" s="22">
        <v>2150</v>
      </c>
      <c r="G27" s="23">
        <v>150</v>
      </c>
      <c r="H27" s="17"/>
      <c r="I27" s="17"/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($B$2)*19.5</f>
        <v>19.5</v>
      </c>
      <c r="C28" s="23">
        <v>200</v>
      </c>
      <c r="D28" s="22">
        <f>($D$2)*331.5</f>
        <v>331.5</v>
      </c>
      <c r="E28" s="23">
        <v>200</v>
      </c>
      <c r="F28" s="22">
        <v>1950</v>
      </c>
      <c r="G28" s="23">
        <v>200</v>
      </c>
      <c r="H28" s="17"/>
      <c r="I28" s="17"/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($B$2)*17.75</f>
        <v>17.75</v>
      </c>
      <c r="C29" s="23">
        <v>250</v>
      </c>
      <c r="D29" s="22">
        <f>($D$2)*301.75</f>
        <v>301.75</v>
      </c>
      <c r="E29" s="23">
        <v>250</v>
      </c>
      <c r="F29" s="22">
        <v>1775</v>
      </c>
      <c r="G29" s="23">
        <v>250</v>
      </c>
      <c r="H29" s="17"/>
      <c r="I29" s="17"/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($B$2)*16</f>
        <v>16</v>
      </c>
      <c r="C30" s="23">
        <v>300</v>
      </c>
      <c r="D30" s="22">
        <f>($D$2)*272</f>
        <v>272</v>
      </c>
      <c r="E30" s="23">
        <v>300</v>
      </c>
      <c r="F30" s="22">
        <v>1600</v>
      </c>
      <c r="G30" s="23">
        <v>300</v>
      </c>
      <c r="H30" s="17"/>
      <c r="I30" s="17"/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($B$2)*14.5</f>
        <v>14.5</v>
      </c>
      <c r="C31" s="23">
        <v>350</v>
      </c>
      <c r="D31" s="22">
        <f>($D$2)*246.5</f>
        <v>246.5</v>
      </c>
      <c r="E31" s="23">
        <v>350</v>
      </c>
      <c r="F31" s="22">
        <v>1450</v>
      </c>
      <c r="G31" s="23">
        <v>350</v>
      </c>
      <c r="H31" s="17"/>
      <c r="I31" s="17"/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($B$2)*13</f>
        <v>13</v>
      </c>
      <c r="C32" s="23">
        <v>400</v>
      </c>
      <c r="D32" s="22">
        <f>($D$2)*221</f>
        <v>221</v>
      </c>
      <c r="E32" s="23">
        <v>400</v>
      </c>
      <c r="F32" s="22">
        <v>1300</v>
      </c>
      <c r="G32" s="23">
        <v>400</v>
      </c>
      <c r="H32" s="17"/>
      <c r="I32" s="17"/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($B$2)*11.75</f>
        <v>11.75</v>
      </c>
      <c r="C33" s="23">
        <v>450</v>
      </c>
      <c r="D33" s="22">
        <f>($D$2)*199.75</f>
        <v>199.75</v>
      </c>
      <c r="E33" s="23">
        <v>450</v>
      </c>
      <c r="F33" s="22">
        <v>1175</v>
      </c>
      <c r="G33" s="23">
        <v>450</v>
      </c>
      <c r="H33" s="17"/>
      <c r="I33" s="17"/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($B$2)*10.5</f>
        <v>10.5</v>
      </c>
      <c r="C34" s="23">
        <v>500</v>
      </c>
      <c r="D34" s="22">
        <f>($D$2)*178.5</f>
        <v>178.5</v>
      </c>
      <c r="E34" s="23">
        <v>500</v>
      </c>
      <c r="F34" s="22">
        <v>1050</v>
      </c>
      <c r="G34" s="23">
        <v>500</v>
      </c>
      <c r="H34" s="17"/>
      <c r="I34" s="17"/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($B$2)*9.5</f>
        <v>9.5</v>
      </c>
      <c r="C35" s="23">
        <v>550</v>
      </c>
      <c r="D35" s="22">
        <f>($D$2)*161.5</f>
        <v>161.5</v>
      </c>
      <c r="E35" s="23">
        <v>550</v>
      </c>
      <c r="F35" s="22">
        <v>950</v>
      </c>
      <c r="G35" s="23">
        <v>550</v>
      </c>
      <c r="H35" s="17"/>
      <c r="I35" s="17"/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($B$2)*8.5</f>
        <v>8.5</v>
      </c>
      <c r="C36" s="23">
        <v>600</v>
      </c>
      <c r="D36" s="22">
        <f>($D$2)*144.5</f>
        <v>144.5</v>
      </c>
      <c r="E36" s="23">
        <v>600</v>
      </c>
      <c r="F36" s="22">
        <v>850</v>
      </c>
      <c r="G36" s="23">
        <v>600</v>
      </c>
      <c r="H36" s="17"/>
      <c r="I36" s="17"/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($B$2)*7.5</f>
        <v>7.5</v>
      </c>
      <c r="C37" s="23">
        <v>650</v>
      </c>
      <c r="D37" s="22">
        <f>($D$2)*127.5</f>
        <v>127.5</v>
      </c>
      <c r="E37" s="23">
        <v>650</v>
      </c>
      <c r="F37" s="22">
        <v>750</v>
      </c>
      <c r="G37" s="23">
        <v>650</v>
      </c>
      <c r="H37" s="17"/>
      <c r="I37" s="17"/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($B$2)*6.6</f>
        <v>6.6</v>
      </c>
      <c r="C38" s="23">
        <v>700</v>
      </c>
      <c r="D38" s="22">
        <f>($D$2)*112.2</f>
        <v>112.2</v>
      </c>
      <c r="E38" s="23">
        <v>700</v>
      </c>
      <c r="F38" s="22">
        <v>660</v>
      </c>
      <c r="G38" s="23">
        <v>700</v>
      </c>
      <c r="H38" s="17"/>
      <c r="I38" s="17"/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($B$2)*5.75</f>
        <v>5.75</v>
      </c>
      <c r="C39" s="23">
        <v>750</v>
      </c>
      <c r="D39" s="22">
        <f>($D$2)*97.75</f>
        <v>97.75</v>
      </c>
      <c r="E39" s="23">
        <v>750</v>
      </c>
      <c r="F39" s="22">
        <v>575</v>
      </c>
      <c r="G39" s="23">
        <v>750</v>
      </c>
      <c r="H39" s="17"/>
      <c r="I39" s="17"/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($B$2)*5</f>
        <v>5</v>
      </c>
      <c r="C40" s="25">
        <v>800</v>
      </c>
      <c r="D40" s="24">
        <f>($D$2)*85</f>
        <v>85</v>
      </c>
      <c r="E40" s="25">
        <v>800</v>
      </c>
      <c r="F40" s="24">
        <v>500</v>
      </c>
      <c r="G40" s="25">
        <v>800</v>
      </c>
      <c r="H40" s="17"/>
      <c r="I40" s="17"/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250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50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850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5000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ZGP5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>
        <f>Input!$D$28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144</v>
      </c>
      <c r="N47" s="124" t="s">
        <v>229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 x14ac:dyDescent="0.3">
      <c r="A48" s="17"/>
      <c r="B48" s="3" t="s">
        <v>79</v>
      </c>
      <c r="C48" s="35">
        <v>490</v>
      </c>
      <c r="D48" s="36">
        <v>96</v>
      </c>
      <c r="E48" s="3">
        <v>6.6849999999999996</v>
      </c>
      <c r="F48" s="3">
        <f>IF($B$44=$B48,Input!$D$14,IF($B$45=$B48,Input!$D$14,1000))</f>
        <v>1000</v>
      </c>
      <c r="G48" s="3">
        <f>IF($B$44=$B48,Input!$D$12,IF($B$45=$B48,Input!$D$12,50))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194"/>
      <c r="O48" s="35"/>
      <c r="P48" s="102"/>
      <c r="Q48" s="17"/>
      <c r="R48" s="17"/>
      <c r="S48" s="17"/>
      <c r="T48" s="17"/>
      <c r="U48" s="17"/>
      <c r="V48" s="282" t="s">
        <v>251</v>
      </c>
      <c r="W48" s="134"/>
      <c r="X48" s="130" t="s">
        <v>237</v>
      </c>
      <c r="Y48" s="138" t="s">
        <v>245</v>
      </c>
      <c r="Z48" s="130" t="s">
        <v>241</v>
      </c>
      <c r="AA48" s="138" t="s">
        <v>245</v>
      </c>
      <c r="AB48" s="17"/>
    </row>
    <row r="49" spans="1:28" x14ac:dyDescent="0.25">
      <c r="A49" s="140" t="s">
        <v>46</v>
      </c>
      <c r="B49" s="141" t="s">
        <v>79</v>
      </c>
      <c r="C49" s="141">
        <v>490</v>
      </c>
      <c r="D49" s="142">
        <v>96</v>
      </c>
      <c r="E49" s="141">
        <v>6.6849999999999996</v>
      </c>
      <c r="F49" s="141">
        <v>1000</v>
      </c>
      <c r="G49" s="141">
        <v>50</v>
      </c>
      <c r="H49" s="147">
        <f t="shared" ref="H49:H55" si="2">$E49*$F49*($C49/60)^3*($D49/1000)^5</f>
        <v>29.688760463523831</v>
      </c>
      <c r="I49" s="170">
        <v>1</v>
      </c>
      <c r="J49" s="145">
        <f t="shared" si="0"/>
        <v>0.57856729319630429</v>
      </c>
      <c r="K49" s="143">
        <f t="shared" si="1"/>
        <v>0.59377520927047667</v>
      </c>
      <c r="L49" s="145">
        <f t="shared" ref="L49:L55" si="3">3.14*$D49/1000*$C49/60</f>
        <v>2.4617599999999999</v>
      </c>
      <c r="M49" s="141">
        <v>55</v>
      </c>
      <c r="N49" s="194"/>
      <c r="O49" s="17"/>
      <c r="P49" s="17"/>
      <c r="Q49" s="17"/>
      <c r="R49" s="17"/>
      <c r="S49" s="17"/>
      <c r="T49" s="17"/>
      <c r="U49" s="17"/>
      <c r="V49" s="282"/>
      <c r="W49" s="131" t="s">
        <v>47</v>
      </c>
      <c r="X49" s="149" cm="1">
        <f t="array" ref="X49">IF($B$45=0,
IF($B$44="N/A","N/A",IF(Input!$D$14&lt;=1000,VLOOKUP($B$44,$B$48:$N$55,2,FALSE),ROUNDDOWN((SQRT((213500000000000000*(INDEX($B$48:$N$55,(MATCH($B$44,$B$48:$B$55,0)+1),9)))/(9.549*(INDEX($B$48:$N$55,(MATCH($B$44,$B$48:$B$55,0)),4))*((INDEX($B$48:$N$55,(MATCH($B$44,$B$48:$B$55,0)),5))/1000)*((INDEX($B$48:$N55,(MATCH($B$44,$B$48:$B$55,0)),3))^5)))),0))),
IF(Input!$D$14&lt;=1000,VLOOKUP($B$45,$B$48:$N$55,2,FALSE),ROUNDDOWN((SQRT((213500000000000000*(INDEX($B$48:$N$55,(MATCH($B$45,$B$48:$B$55,0)+1),9)))/(9.549*(INDEX($B$48:$N$55,(MATCH($B$45,$B$48:$B$55,0)),4))*((INDEX($B$48:$N$55,(MATCH($B$45,$B$48:$B$55,0)),5))/1000)*((INDEX($B$48:$N$55,(MATCH($B$45,$B$48:$B$55,0)),3))^5)))),0)))</f>
        <v>490</v>
      </c>
      <c r="Y49" s="49" t="s">
        <v>242</v>
      </c>
      <c r="Z49" s="149">
        <f>$X$49</f>
        <v>490</v>
      </c>
      <c r="AA49" s="152" t="s">
        <v>242</v>
      </c>
      <c r="AB49" s="17"/>
    </row>
    <row r="50" spans="1:28" x14ac:dyDescent="0.25">
      <c r="B50" s="3" t="s">
        <v>80</v>
      </c>
      <c r="C50" s="35">
        <v>490</v>
      </c>
      <c r="D50" s="36">
        <v>150</v>
      </c>
      <c r="E50" s="3">
        <v>6.6849999999999996</v>
      </c>
      <c r="F50" s="3">
        <f>IF($B$44=$B50,Input!$D$14,IF($B$45=$B50,Input!$D$14,1000))</f>
        <v>1000</v>
      </c>
      <c r="G50" s="3">
        <f>IF($B$44=$B50,Input!$D$12,IF($B$45=$B50,Input!$D$12,850))</f>
        <v>500</v>
      </c>
      <c r="H50" s="42">
        <f t="shared" si="2"/>
        <v>276.49812832031239</v>
      </c>
      <c r="I50" s="41">
        <v>6</v>
      </c>
      <c r="J50" s="42">
        <f t="shared" si="0"/>
        <v>5.3883278108789048</v>
      </c>
      <c r="K50" s="102">
        <f t="shared" si="1"/>
        <v>0.55299625664062479</v>
      </c>
      <c r="L50" s="104">
        <f t="shared" si="3"/>
        <v>3.8464999999999998</v>
      </c>
      <c r="M50" s="35">
        <v>94</v>
      </c>
      <c r="N50" s="194"/>
      <c r="O50" s="17"/>
      <c r="P50" s="17"/>
      <c r="Q50" s="17"/>
      <c r="R50" s="17"/>
      <c r="S50" s="17"/>
      <c r="T50" s="17"/>
      <c r="U50" s="17"/>
      <c r="V50" s="282"/>
      <c r="W50" s="132" t="s">
        <v>8</v>
      </c>
      <c r="X50" s="155">
        <f>IF($B$45=0,
IF($X$49=$B$44,"N/A",(VLOOKUP($B$44,$B$48:$N$55,4,FALSE)*Input!$D$14*($X$49/60)^3*((VLOOKUP($B$44,$B$48:$N$55,3,FALSE))/1000)^5)/Input!$D$12),
(VLOOKUP($B$45,$B$48:$N$55,4,FALSE)*Input!$D$14*($X$49/60)^3*((VLOOKUP($B$45,$B$48:$N$55,3,FALSE))/1000)^5)/Input!$D$12)</f>
        <v>0.55299625664062479</v>
      </c>
      <c r="Y50" s="85" t="s">
        <v>9</v>
      </c>
      <c r="Z50" s="150">
        <f>IF($X$50="N/A",
           "N/A",
             $X$50/0.264172)</f>
        <v>2.0933189612851657</v>
      </c>
      <c r="AA50" s="136" t="s">
        <v>243</v>
      </c>
      <c r="AB50" s="17"/>
    </row>
    <row r="51" spans="1:28" x14ac:dyDescent="0.25">
      <c r="A51" s="140" t="s">
        <v>46</v>
      </c>
      <c r="B51" s="141" t="s">
        <v>80</v>
      </c>
      <c r="C51" s="141">
        <v>490</v>
      </c>
      <c r="D51" s="142">
        <v>150</v>
      </c>
      <c r="E51" s="141">
        <v>6.6849999999999996</v>
      </c>
      <c r="F51" s="141">
        <v>1000</v>
      </c>
      <c r="G51" s="141">
        <v>850</v>
      </c>
      <c r="H51" s="147">
        <f t="shared" si="2"/>
        <v>276.49812832031239</v>
      </c>
      <c r="I51" s="144">
        <v>6</v>
      </c>
      <c r="J51" s="147">
        <f t="shared" si="0"/>
        <v>5.3883278108789048</v>
      </c>
      <c r="K51" s="143">
        <f t="shared" si="1"/>
        <v>0.32529191567095578</v>
      </c>
      <c r="L51" s="145">
        <f t="shared" si="3"/>
        <v>3.8464999999999998</v>
      </c>
      <c r="M51" s="141">
        <v>94</v>
      </c>
      <c r="N51" s="194"/>
      <c r="O51" s="17"/>
      <c r="P51" s="17"/>
      <c r="Q51" s="17"/>
      <c r="R51" s="17"/>
      <c r="S51" s="17"/>
      <c r="T51" s="17"/>
      <c r="U51" s="17"/>
      <c r="V51" s="282"/>
      <c r="W51" s="132" t="s">
        <v>10</v>
      </c>
      <c r="X51" s="154">
        <f>IF($B$45=0,
IF($X$49=$B$44,"N/A",3.14*VLOOKUP($B$44,$B$48:$N$55,3,FALSE)/1000*$X$49/60),
3.14*VLOOKUP($B$45,$B$48:$N$55,3,FALSE)/1000*$X$49/60)</f>
        <v>3.8464999999999998</v>
      </c>
      <c r="Y51" s="136" t="s">
        <v>11</v>
      </c>
      <c r="Z51" s="151">
        <f>IF($X$51="N/A",
           "N/A",
             $X$51*196.85)</f>
        <v>757.18352499999992</v>
      </c>
      <c r="AA51" s="136" t="s">
        <v>244</v>
      </c>
      <c r="AB51" s="17"/>
    </row>
    <row r="52" spans="1:28" ht="30" x14ac:dyDescent="0.25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IF($B$44=$B52,Input!$D$14,IF($B$45=$B52,Input!$D$14,1000))</f>
        <v>1000</v>
      </c>
      <c r="G52" s="3">
        <f>IF($B$44=$B52,Input!$D$12,IF($B$45=$B52,Input!$D$12,2000))</f>
        <v>2000</v>
      </c>
      <c r="H52" s="42">
        <f t="shared" si="2"/>
        <v>632.56073780547626</v>
      </c>
      <c r="I52" s="41">
        <v>13</v>
      </c>
      <c r="J52" s="42">
        <f t="shared" si="0"/>
        <v>12.327188745519372</v>
      </c>
      <c r="K52" s="102">
        <f t="shared" si="1"/>
        <v>0.31628036890273814</v>
      </c>
      <c r="L52" s="104">
        <f t="shared" si="3"/>
        <v>4.5388699999999993</v>
      </c>
      <c r="M52" s="35">
        <v>129.5</v>
      </c>
      <c r="N52" s="194"/>
      <c r="O52" s="17"/>
      <c r="P52" s="17"/>
      <c r="Q52" s="17"/>
      <c r="R52" s="17"/>
      <c r="S52" s="17"/>
      <c r="T52" s="17"/>
      <c r="U52" s="17"/>
      <c r="V52" s="282"/>
      <c r="W52" s="191" t="s">
        <v>388</v>
      </c>
      <c r="X52" s="243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0,
IF(AND(OR((ROUND(MOD($X$62,1)*60,-1))=60,(ROUND(MOD($X$62,1)*60,-1))=0),ROUND($X$62,0)&gt;=1),
                                            ROUND($X$62,0),
                                            IF(AND(ROUND($X$62,1)&lt;1,ROUND(MOD($X$62,1)*60,-1)&lt;&gt;0),
                                            ROUND(MOD($X$62,1)*60,-1)/60,
                                            (($X$62-MOD($X$62,1))+(ROUND(MOD($X$62,1)*60,-1)/60))))))</f>
        <v>N/A</v>
      </c>
      <c r="Y52" s="17" t="s">
        <v>268</v>
      </c>
      <c r="Z52" s="244" t="str">
        <f>$X$52</f>
        <v>N/A</v>
      </c>
      <c r="AA52" s="27"/>
      <c r="AB52" s="17"/>
    </row>
    <row r="53" spans="1:28" ht="30" x14ac:dyDescent="0.25">
      <c r="A53" s="140" t="s">
        <v>46</v>
      </c>
      <c r="B53" s="141" t="s">
        <v>119</v>
      </c>
      <c r="C53" s="141">
        <v>490</v>
      </c>
      <c r="D53" s="142">
        <v>177</v>
      </c>
      <c r="E53" s="141">
        <v>6.6849999999999996</v>
      </c>
      <c r="F53" s="141">
        <v>1000</v>
      </c>
      <c r="G53" s="141">
        <v>2000</v>
      </c>
      <c r="H53" s="147">
        <f t="shared" si="2"/>
        <v>632.56073780547626</v>
      </c>
      <c r="I53" s="144">
        <v>13</v>
      </c>
      <c r="J53" s="147">
        <f t="shared" si="0"/>
        <v>12.327188745519372</v>
      </c>
      <c r="K53" s="143">
        <f t="shared" si="1"/>
        <v>0.31628036890273814</v>
      </c>
      <c r="L53" s="145">
        <f t="shared" si="3"/>
        <v>4.5388699999999993</v>
      </c>
      <c r="M53" s="141">
        <v>129.5</v>
      </c>
      <c r="N53" s="194"/>
      <c r="O53" s="17"/>
      <c r="P53" s="17"/>
      <c r="Q53" s="17"/>
      <c r="R53" s="17"/>
      <c r="S53" s="17"/>
      <c r="T53" s="17"/>
      <c r="U53" s="17"/>
      <c r="V53" s="282"/>
      <c r="W53" s="191" t="s">
        <v>389</v>
      </c>
      <c r="X53" s="243" t="str">
        <f>IF(OR($X$60=0,$X$60="N/A"),
         "N/A",
          (IF(AND(OR((ROUND(MOD($X$63,1)*60,-1))=60,(ROUND(MOD($X$63,1)*60,-1))=0),ROUND($X$63,0)&gt;=1),
                                            ROUND($X$63,0),
                                            IF(AND(ROUND($X$63,1)&lt;1,(ROUND(MOD($X$63,1)*60,-1))&lt;&gt;0),
                                            ROUND(MOD($X$63,1)*60,-1)/60,
                                            (($X$63-MOD($X$63,1))+ROUND(MOD($X$63,1)*60,-1)/60)))))</f>
        <v>N/A</v>
      </c>
      <c r="Y53" s="17" t="s">
        <v>268</v>
      </c>
      <c r="Z53" s="244" t="str">
        <f>$X$53</f>
        <v>N/A</v>
      </c>
      <c r="AA53" s="27"/>
      <c r="AB53" s="17"/>
    </row>
    <row r="54" spans="1:28" ht="30.75" thickBot="1" x14ac:dyDescent="0.3">
      <c r="B54" s="3" t="s">
        <v>81</v>
      </c>
      <c r="C54" s="3">
        <v>343</v>
      </c>
      <c r="D54" s="36">
        <v>236</v>
      </c>
      <c r="E54" s="3">
        <v>6.6849999999999996</v>
      </c>
      <c r="F54" s="3">
        <f>IF($B$44=$B54,Input!$D$14,IF($B$45=$B54,Input!$D$14,1000))</f>
        <v>1000</v>
      </c>
      <c r="G54" s="3">
        <f>IF($B$44=$B54,Input!$D$12,IF($B$45=$B54,Input!$D$12,5000))</f>
        <v>5000</v>
      </c>
      <c r="H54" s="42">
        <f t="shared" si="2"/>
        <v>914.30276979791427</v>
      </c>
      <c r="I54" s="41">
        <v>26</v>
      </c>
      <c r="J54" s="43">
        <f t="shared" si="0"/>
        <v>25.453869238484792</v>
      </c>
      <c r="K54" s="102">
        <f>H54/G54</f>
        <v>0.18286055395958287</v>
      </c>
      <c r="L54" s="104">
        <f t="shared" si="3"/>
        <v>4.2362786666666672</v>
      </c>
      <c r="M54" s="35">
        <v>159.5</v>
      </c>
      <c r="N54" s="194"/>
      <c r="O54" s="17"/>
      <c r="P54" s="17"/>
      <c r="Q54" s="17"/>
      <c r="R54" s="17"/>
      <c r="S54" s="17"/>
      <c r="T54" s="17"/>
      <c r="U54" s="17"/>
      <c r="V54" s="282"/>
      <c r="W54" s="153" t="s">
        <v>257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",ROUND(MOD($X$62,1)*60,-1),"s"))))=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",ROUND(MOD($X$63,1)*60,-1),"s")))="0min 0s",0,
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CONCATENATE(
               IF(IF(AND(OR((ROUND(MOD($X$62,1)*60,-1))=60,(ROUND(MOD($X$62,1)*60,-1))=0),ROUND($X$62,0)&gt;=1),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")))="0min 0s - ","",
         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5" t="str">
        <f>$X$54</f>
        <v>N/A</v>
      </c>
      <c r="AA54" s="29"/>
      <c r="AB54" s="17"/>
    </row>
    <row r="55" spans="1:28" ht="62.25" customHeight="1" x14ac:dyDescent="0.25">
      <c r="A55" s="140" t="s">
        <v>46</v>
      </c>
      <c r="B55" s="141" t="s">
        <v>81</v>
      </c>
      <c r="C55" s="141">
        <v>343</v>
      </c>
      <c r="D55" s="142">
        <v>236</v>
      </c>
      <c r="E55" s="141">
        <v>6.6849999999999996</v>
      </c>
      <c r="F55" s="141">
        <v>1000</v>
      </c>
      <c r="G55" s="141">
        <v>5000</v>
      </c>
      <c r="H55" s="147">
        <f t="shared" si="2"/>
        <v>914.30276979791427</v>
      </c>
      <c r="I55" s="144">
        <v>26</v>
      </c>
      <c r="J55" s="148">
        <f t="shared" si="0"/>
        <v>25.453869238484792</v>
      </c>
      <c r="K55" s="143">
        <f t="shared" si="1"/>
        <v>0.18286055395958287</v>
      </c>
      <c r="L55" s="145">
        <f t="shared" si="3"/>
        <v>4.2362786666666672</v>
      </c>
      <c r="M55" s="141">
        <v>159.5</v>
      </c>
      <c r="N55" s="194"/>
      <c r="O55" s="17"/>
      <c r="P55" s="17"/>
      <c r="Q55" s="17"/>
      <c r="R55" s="17"/>
      <c r="S55" s="17"/>
      <c r="T55" s="17"/>
      <c r="U55" s="17"/>
      <c r="V55" s="282" t="s">
        <v>249</v>
      </c>
      <c r="W55" s="131" t="s">
        <v>252</v>
      </c>
      <c r="X55" s="185">
        <f>IF(Input!$E$28=0,$X$49,Input!$E$28)</f>
        <v>490</v>
      </c>
      <c r="Y55" s="85" t="s">
        <v>242</v>
      </c>
      <c r="Z55" s="186">
        <f>$X$55</f>
        <v>490</v>
      </c>
      <c r="AA55" s="136" t="s">
        <v>242</v>
      </c>
      <c r="AB55" s="17"/>
    </row>
    <row r="56" spans="1:28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82"/>
      <c r="W56" s="132" t="s">
        <v>8</v>
      </c>
      <c r="X56" s="179">
        <f>IF($B$45=0,
IF($B$44=$X$49,"N/A",(VLOOKUP($B$44,$B$48:$N$55,4,FALSE)*Input!$D$14*($X$55/60)^3*(((VLOOKUP($B$44,$B$48:$N$55,3,FALSE))/1000)^5)/Input!$D$12)),
(VLOOKUP($B$45,$B$48:$N$55,4,FALSE)*Input!$D$14*($X$55/60)^3*(((VLOOKUP($B$45,$B$48:$N$55,3,FALSE))/1000)^5)/Input!$D$12))</f>
        <v>0.55299625664062479</v>
      </c>
      <c r="Y56" s="85" t="s">
        <v>9</v>
      </c>
      <c r="Z56" s="182">
        <f>IF($X$56="N/A",
           "N/A",
             $X$56/0.264172)</f>
        <v>2.0933189612851657</v>
      </c>
      <c r="AA56" s="136" t="s">
        <v>243</v>
      </c>
      <c r="AB56" s="17"/>
    </row>
    <row r="57" spans="1:28" x14ac:dyDescent="0.25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282"/>
      <c r="W57" s="132" t="s">
        <v>253</v>
      </c>
      <c r="X57" s="180">
        <f>IF($B$45=0,
IF($X$49=$B$44,"N/A",3.14*VLOOKUP($B$44,$B$48:$N$55,3,FALSE)/1000*$X$55/60),
3.14*VLOOKUP($B$45,$B$48:$N$55,3,FALSE)/1000*$X$55/60)</f>
        <v>3.8464999999999998</v>
      </c>
      <c r="Y57" s="136" t="s">
        <v>11</v>
      </c>
      <c r="Z57" s="183">
        <f>IF($X$57="N/A",
           "N/A",
              $X$57*196.85)</f>
        <v>757.18352499999992</v>
      </c>
      <c r="AA57" s="136" t="s">
        <v>244</v>
      </c>
      <c r="AB57" s="17"/>
    </row>
    <row r="58" spans="1:28" ht="45.75" thickBo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86"/>
      <c r="P58" s="17"/>
      <c r="Q58" s="17"/>
      <c r="R58" s="17"/>
      <c r="S58" s="17"/>
      <c r="T58" s="17"/>
      <c r="U58" s="17"/>
      <c r="V58" s="282"/>
      <c r="W58" s="153" t="s">
        <v>258</v>
      </c>
      <c r="X58" s="181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/>
      <c r="Z58" s="184" t="str">
        <f>$X$58</f>
        <v>N/A</v>
      </c>
      <c r="AA58" s="94" t="s">
        <v>268</v>
      </c>
      <c r="AB58" s="17"/>
    </row>
    <row r="59" spans="1:28" x14ac:dyDescent="0.25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86"/>
      <c r="P59" s="17"/>
      <c r="Q59" s="17"/>
      <c r="R59" s="17"/>
      <c r="S59" s="17"/>
      <c r="T59" s="17"/>
      <c r="U59" s="17"/>
      <c r="V59" s="17"/>
      <c r="W59" s="157" t="s">
        <v>228</v>
      </c>
      <c r="X59" s="157">
        <v>0.5</v>
      </c>
      <c r="Y59" s="157"/>
      <c r="Z59" s="157"/>
      <c r="AA59" s="157"/>
      <c r="AB59" s="17"/>
    </row>
    <row r="60" spans="1:28" x14ac:dyDescent="0.25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86"/>
      <c r="P60" s="17"/>
      <c r="Q60" s="17"/>
      <c r="R60" s="17"/>
      <c r="S60" s="17"/>
      <c r="T60" s="17"/>
      <c r="U60" s="17"/>
      <c r="V60" s="17"/>
      <c r="W60" s="157" t="s">
        <v>255</v>
      </c>
      <c r="X60" s="157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0</v>
      </c>
      <c r="Y60" s="157"/>
      <c r="Z60" s="157"/>
      <c r="AA60" s="15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57" t="s">
        <v>256</v>
      </c>
      <c r="X61" s="157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7"/>
      <c r="Z61" s="157"/>
      <c r="AA61" s="157"/>
      <c r="AB61" s="17"/>
    </row>
    <row r="62" spans="1:28" x14ac:dyDescent="0.25">
      <c r="A62" s="17"/>
      <c r="B62" s="17"/>
      <c r="C62" s="17"/>
      <c r="D62" s="17"/>
      <c r="E62" s="8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57" t="s">
        <v>383</v>
      </c>
      <c r="X62" s="242" t="str">
        <f>IF(OR($X$60=0,AND($B$45=0,$B$44="N/A")),
          "N/A",
           Input!$D$12/$X$60*3)</f>
        <v>N/A</v>
      </c>
      <c r="Y62" s="157"/>
      <c r="Z62" s="157"/>
      <c r="AA62" s="157"/>
      <c r="AB62" s="17"/>
    </row>
    <row r="63" spans="1:28" ht="15.75" thickBot="1" x14ac:dyDescent="0.3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57" t="s">
        <v>384</v>
      </c>
      <c r="X63" s="242" t="str">
        <f>IF(OR($X$60=0,AND($B$45=0,$B$44="N/A")),
          "N/A",
            Input!$D$12/$X$60*5)</f>
        <v>N/A</v>
      </c>
      <c r="Y63" s="157"/>
      <c r="Z63" s="157"/>
      <c r="AA63" s="157"/>
      <c r="AB63" s="17"/>
    </row>
    <row r="64" spans="1:28" ht="15.75" thickBo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 t="s">
        <v>245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85" t="s">
        <v>242</v>
      </c>
      <c r="S65" s="17"/>
      <c r="T65" s="17"/>
      <c r="U65" s="17"/>
      <c r="V65" s="17"/>
      <c r="W65" s="85"/>
      <c r="X65" s="283" t="s">
        <v>247</v>
      </c>
      <c r="Y65" s="284"/>
      <c r="Z65" s="17"/>
      <c r="AA65" s="17"/>
      <c r="AB65" s="17"/>
    </row>
    <row r="66" spans="1:28" ht="30.75" thickBo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7"/>
      <c r="P66" s="17"/>
      <c r="Q66" s="88"/>
      <c r="R66" s="85" t="s">
        <v>243</v>
      </c>
      <c r="S66" s="17"/>
      <c r="T66" s="17"/>
      <c r="U66" s="17"/>
      <c r="V66" s="17"/>
      <c r="W66" s="158" t="str">
        <f>CONCATENATE("Tank Turnovers at ",Input!D15,"cP")</f>
        <v>Tank Turnovers at 1cP</v>
      </c>
      <c r="X66" s="133" t="s">
        <v>254</v>
      </c>
      <c r="Y66" s="135" t="s">
        <v>249</v>
      </c>
      <c r="Z66" s="135"/>
      <c r="AA66" s="17"/>
      <c r="AB66" s="17"/>
    </row>
    <row r="67" spans="1:28" ht="15.75" thickBo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6"/>
      <c r="P67" s="17"/>
      <c r="Q67" s="46"/>
      <c r="R67" s="94" t="s">
        <v>244</v>
      </c>
      <c r="S67" s="17"/>
      <c r="T67" s="17"/>
      <c r="U67" s="17"/>
      <c r="V67" s="17"/>
      <c r="W67" s="159">
        <v>0</v>
      </c>
      <c r="X67" s="160" t="str">
        <f>IF(OR($X$60=0,$X$60="N/A"),
           "N/A",
              Input!$D$12/$X$60*$W67)</f>
        <v>N/A</v>
      </c>
      <c r="Y67" s="187" t="str">
        <f>IF(OR($X$61=0,$X$61="N/A"),
           "N/A",
             Input!$D$12/$X$61*$W67)</f>
        <v>N/A</v>
      </c>
      <c r="Z67" s="88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85" t="s">
        <v>242</v>
      </c>
      <c r="S68" s="17"/>
      <c r="T68" s="17"/>
      <c r="U68" s="17"/>
      <c r="V68" s="17"/>
      <c r="W68" s="159">
        <v>1</v>
      </c>
      <c r="X68" s="160" t="str">
        <f>IF(OR($X$60=0,$X$60="N/A"),
           "N/A",
              Input!$D$12/$X$60*$W68)</f>
        <v>N/A</v>
      </c>
      <c r="Y68" s="187" t="str">
        <f>IF(OR($X$61=0,$X$61="N/A"),
           "N/A",
             Input!$D$12/$X$61*$W68)</f>
        <v>N/A</v>
      </c>
      <c r="Z68" s="46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7"/>
      <c r="P69" s="17"/>
      <c r="Q69" s="163"/>
      <c r="R69" s="85" t="s">
        <v>243</v>
      </c>
      <c r="S69" s="17"/>
      <c r="T69" s="17"/>
      <c r="U69" s="17"/>
      <c r="V69" s="17"/>
      <c r="W69" s="159">
        <v>2</v>
      </c>
      <c r="X69" s="160" t="str">
        <f>IF(OR($X$60=0,$X$60="N/A"),
           "N/A",
              Input!$D$12/$X$60*$W69)</f>
        <v>N/A</v>
      </c>
      <c r="Y69" s="187" t="str">
        <f>IF(OR($X$61=0,$X$61="N/A"),
           "N/A",
             Input!$D$12/$X$61*$W69)</f>
        <v>N/A</v>
      </c>
      <c r="Z69" s="17"/>
      <c r="AA69" s="17"/>
      <c r="AB69" s="17"/>
    </row>
    <row r="70" spans="1:28" ht="15.75" thickBo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86"/>
      <c r="P70" s="17"/>
      <c r="Q70" s="46"/>
      <c r="R70" s="94" t="s">
        <v>244</v>
      </c>
      <c r="S70" s="17"/>
      <c r="T70" s="17"/>
      <c r="U70" s="17"/>
      <c r="V70" s="17"/>
      <c r="W70" s="159">
        <v>3</v>
      </c>
      <c r="X70" s="160" t="str">
        <f>IF(OR($X$60=0,$X$60="N/A"),
           "N/A",
              Input!$D$12/$X$60*$W70)</f>
        <v>N/A</v>
      </c>
      <c r="Y70" s="187" t="str">
        <f>IF(OR($X$61=0,$X$61="N/A"),
           "N/A",
             Input!$D$12/$X$61*$W70)</f>
        <v>N/A</v>
      </c>
      <c r="Z70" s="88"/>
      <c r="AA70" s="17"/>
      <c r="AB70" s="17"/>
    </row>
    <row r="71" spans="1:28" ht="15.75" thickBo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35"/>
      <c r="S71" s="17"/>
      <c r="T71" s="17"/>
      <c r="U71" s="17"/>
      <c r="V71" s="17"/>
      <c r="W71" s="159">
        <v>4</v>
      </c>
      <c r="X71" s="160" t="str">
        <f>IF(OR($X$60=0,$X$60="N/A"),
           "N/A",
              Input!$D$12/$X$60*$W71)</f>
        <v>N/A</v>
      </c>
      <c r="Y71" s="187" t="str">
        <f>IF(OR($X$61=0,$X$61="N/A"),
           "N/A",
             Input!$D$12/$X$61*$W71)</f>
        <v>N/A</v>
      </c>
      <c r="Z71" s="46"/>
      <c r="AA71" s="17"/>
      <c r="AB71" s="17"/>
    </row>
    <row r="72" spans="1:28" ht="15.75" thickBo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9"/>
      <c r="S72" s="17"/>
      <c r="T72" s="17"/>
      <c r="U72" s="17"/>
      <c r="V72" s="17"/>
      <c r="W72" s="159">
        <v>5</v>
      </c>
      <c r="X72" s="160" t="str">
        <f>IF(OR($X$60=0,$X$60="N/A"),
           "N/A",
              Input!$D$12/$X$60*$W72)</f>
        <v>N/A</v>
      </c>
      <c r="Y72" s="187" t="str">
        <f>IF(OR($X$61=0,$X$61="N/A"),
           "N/A",
             Input!$D$12/$X$61*$W72)</f>
        <v>N/A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85" t="s">
        <v>242</v>
      </c>
      <c r="T73" s="17"/>
      <c r="U73" s="17"/>
      <c r="V73" s="17"/>
      <c r="W73" s="159">
        <v>6</v>
      </c>
      <c r="X73" s="160" t="str">
        <f>IF(OR($X$60=0,$X$60="N/A"),
           "N/A",
              Input!$D$12/$X$60*$W73)</f>
        <v>N/A</v>
      </c>
      <c r="Y73" s="187" t="str">
        <f>IF(OR($X$61=0,$X$61="N/A"),
           "N/A",
             Input!$D$12/$X$61*$W73)</f>
        <v>N/A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7"/>
      <c r="P74" s="17"/>
      <c r="Q74" s="88"/>
      <c r="R74" s="85" t="s">
        <v>243</v>
      </c>
      <c r="S74" s="17"/>
      <c r="T74" s="17"/>
      <c r="U74" s="17"/>
      <c r="V74" s="17"/>
      <c r="W74" s="159">
        <v>7</v>
      </c>
      <c r="X74" s="160" t="str">
        <f>IF(OR($X$60=0,$X$60="N/A"),
           "N/A",
              Input!$D$12/$X$60*$W74)</f>
        <v>N/A</v>
      </c>
      <c r="Y74" s="187" t="str">
        <f>IF(OR($X$61=0,$X$61="N/A"),
           "N/A",
             Input!$D$12/$X$61*$W74)</f>
        <v>N/A</v>
      </c>
      <c r="Z74" s="17"/>
      <c r="AA74" s="17"/>
      <c r="AB74" s="17"/>
    </row>
    <row r="75" spans="1:28" ht="15.75" thickBo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86"/>
      <c r="P75" s="17"/>
      <c r="Q75" s="46"/>
      <c r="R75" s="94" t="s">
        <v>244</v>
      </c>
      <c r="S75" s="17"/>
      <c r="T75" s="17"/>
      <c r="U75" s="17"/>
      <c r="V75" s="17"/>
      <c r="W75" s="159">
        <v>8</v>
      </c>
      <c r="X75" s="160" t="str">
        <f>IF(OR($X$60=0,$X$60="N/A"),
           "N/A",
              Input!$D$12/$X$60*$W75)</f>
        <v>N/A</v>
      </c>
      <c r="Y75" s="187" t="str">
        <f>IF(OR($X$61=0,$X$61="N/A"),
           "N/A",
             Input!$D$12/$X$61*$W75)</f>
        <v>N/A</v>
      </c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85" t="s">
        <v>242</v>
      </c>
      <c r="S76" s="17"/>
      <c r="T76" s="17"/>
      <c r="U76" s="17"/>
      <c r="V76" s="17"/>
      <c r="W76" s="159">
        <v>9</v>
      </c>
      <c r="X76" s="160" t="str">
        <f>IF(OR($X$60=0,$X$60="N/A"),
           "N/A",
              Input!$D$12/$X$60*$W76)</f>
        <v>N/A</v>
      </c>
      <c r="Y76" s="187" t="str">
        <f>IF(OR($X$61=0,$X$61="N/A"),
           "N/A",
             Input!$D$12/$X$61*$W76)</f>
        <v>N/A</v>
      </c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88"/>
      <c r="P77" s="17"/>
      <c r="Q77" s="88"/>
      <c r="R77" s="85" t="s">
        <v>243</v>
      </c>
      <c r="S77" s="17"/>
      <c r="T77" s="17"/>
      <c r="U77" s="17"/>
      <c r="V77" s="17"/>
      <c r="W77" s="159">
        <v>10</v>
      </c>
      <c r="X77" s="160" t="str">
        <f>IF(OR($X$60=0,$X$60="N/A"),
           "N/A",
              Input!$D$12/$X$60*$W77)</f>
        <v>N/A</v>
      </c>
      <c r="Y77" s="187" t="str">
        <f>IF(OR($X$61=0,$X$61="N/A"),
           "N/A",
             Input!$D$12/$X$61*$W77)</f>
        <v>N/A</v>
      </c>
      <c r="Z77" s="17"/>
      <c r="AA77" s="17"/>
      <c r="AB77" s="17"/>
    </row>
    <row r="78" spans="1:28" ht="15.75" thickBo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86"/>
      <c r="P78" s="17"/>
      <c r="Q78" s="46"/>
      <c r="R78" s="94" t="s">
        <v>244</v>
      </c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0" spans="1:28" ht="15.75" thickBot="1" x14ac:dyDescent="0.3">
      <c r="R80" s="59"/>
    </row>
    <row r="81" spans="15:18" ht="15.75" thickBot="1" x14ac:dyDescent="0.3">
      <c r="R81" s="171"/>
    </row>
    <row r="82" spans="15:18" x14ac:dyDescent="0.25">
      <c r="O82" s="164"/>
      <c r="Q82" s="82"/>
      <c r="R82" s="27" t="s">
        <v>246</v>
      </c>
    </row>
    <row r="83" spans="15:18" x14ac:dyDescent="0.25">
      <c r="O83" s="79"/>
      <c r="Q83" s="83"/>
      <c r="R83" s="27"/>
    </row>
    <row r="84" spans="15:18" x14ac:dyDescent="0.25">
      <c r="R84" s="27"/>
    </row>
    <row r="85" spans="15:18" ht="15.75" thickBot="1" x14ac:dyDescent="0.3">
      <c r="O85" s="83"/>
      <c r="Q85" s="83"/>
      <c r="R85" s="29"/>
    </row>
  </sheetData>
  <sortState xmlns:xlrd2="http://schemas.microsoft.com/office/spreadsheetml/2017/richdata2" ref="I6:I40">
    <sortCondition descending="1" ref="I6:I40"/>
  </sortState>
  <mergeCells count="9">
    <mergeCell ref="X65:Y65"/>
    <mergeCell ref="B1:C1"/>
    <mergeCell ref="D1:E1"/>
    <mergeCell ref="F1:G1"/>
    <mergeCell ref="B2:C2"/>
    <mergeCell ref="D2:E2"/>
    <mergeCell ref="F2:G2"/>
    <mergeCell ref="V55:V58"/>
    <mergeCell ref="V48:V54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4"/>
  <sheetViews>
    <sheetView topLeftCell="A36" workbookViewId="0">
      <selection activeCell="X54" sqref="X54"/>
    </sheetView>
  </sheetViews>
  <sheetFormatPr defaultRowHeight="15" x14ac:dyDescent="0.25"/>
  <cols>
    <col min="1" max="1" width="20.28515625" bestFit="1" customWidth="1"/>
    <col min="2" max="2" width="12.5703125" bestFit="1" customWidth="1"/>
    <col min="12" max="12" width="15" bestFit="1" customWidth="1"/>
    <col min="13" max="13" width="17.42578125" bestFit="1" customWidth="1"/>
    <col min="17" max="17" width="0" hidden="1" customWidth="1"/>
    <col min="18" max="18" width="18.85546875" hidden="1" customWidth="1"/>
    <col min="19" max="20" width="0" hidden="1" customWidth="1"/>
    <col min="23" max="23" width="20.5703125" customWidth="1"/>
    <col min="24" max="24" width="18.7109375" bestFit="1" customWidth="1"/>
    <col min="26" max="26" width="11.5703125" bestFit="1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85">
        <f>IF(Input!$D$13="Gentle",1.2,IF(Input!$D$13="Vigorous", 0.8,1))</f>
        <v>1</v>
      </c>
      <c r="C2" s="286"/>
      <c r="D2" s="285">
        <f>IF(Input!$D$13="Gentle",1.2,IF(Input!$D$13="Vigorous", 0.8,1))</f>
        <v>1</v>
      </c>
      <c r="E2" s="286"/>
      <c r="F2" s="285">
        <f>IF(Input!$D$13="Gentle",1.2,IF(Input!$D$13="Vigorous", 0.8,1))</f>
        <v>1</v>
      </c>
      <c r="G2" s="28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thickBot="1" x14ac:dyDescent="0.3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(B$2)*300</f>
        <v>300</v>
      </c>
      <c r="C6" s="21">
        <v>1</v>
      </c>
      <c r="D6" s="20">
        <f>(D$2)*3000</f>
        <v>3000</v>
      </c>
      <c r="E6" s="21">
        <v>1</v>
      </c>
      <c r="F6" s="20">
        <f>(F$2)*10000</f>
        <v>10000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(B$2)*273</f>
        <v>273</v>
      </c>
      <c r="C7" s="23">
        <v>5</v>
      </c>
      <c r="D7" s="22">
        <f>(D$2)*2730</f>
        <v>2730</v>
      </c>
      <c r="E7" s="23">
        <v>5</v>
      </c>
      <c r="F7" s="22">
        <f>(F$2)*9100</f>
        <v>9100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(B$2)*249</f>
        <v>249</v>
      </c>
      <c r="C8" s="23">
        <v>10</v>
      </c>
      <c r="D8" s="22">
        <f>(D$2)*2490</f>
        <v>2490</v>
      </c>
      <c r="E8" s="23">
        <v>10</v>
      </c>
      <c r="F8" s="22">
        <f>(F$2)*8300</f>
        <v>8300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(B$2)*231</f>
        <v>231</v>
      </c>
      <c r="C9" s="23">
        <v>15</v>
      </c>
      <c r="D9" s="22">
        <f>(D$2)*2310</f>
        <v>2310</v>
      </c>
      <c r="E9" s="23">
        <v>15</v>
      </c>
      <c r="F9" s="22">
        <f>(F$2)*7700</f>
        <v>7700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(B$2)*216</f>
        <v>216</v>
      </c>
      <c r="C10" s="23">
        <v>20</v>
      </c>
      <c r="D10" s="22">
        <f>(D$2)*2160</f>
        <v>2160</v>
      </c>
      <c r="E10" s="23">
        <v>20</v>
      </c>
      <c r="F10" s="22">
        <f>(F$2)*7200</f>
        <v>7200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(B$2)*204</f>
        <v>204</v>
      </c>
      <c r="C11" s="23">
        <v>25</v>
      </c>
      <c r="D11" s="22">
        <f>(D$2)*2040</f>
        <v>2040</v>
      </c>
      <c r="E11" s="23">
        <v>25</v>
      </c>
      <c r="F11" s="22">
        <f>(F$2)*6800</f>
        <v>6800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(B$2)*196.5</f>
        <v>196.5</v>
      </c>
      <c r="C12" s="23">
        <v>30</v>
      </c>
      <c r="D12" s="22">
        <f>(D$2)*1965</f>
        <v>1965</v>
      </c>
      <c r="E12" s="23">
        <v>30</v>
      </c>
      <c r="F12" s="22">
        <f>(F$2)*6550</f>
        <v>6550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(B$2)*189</f>
        <v>189</v>
      </c>
      <c r="C13" s="23">
        <v>35</v>
      </c>
      <c r="D13" s="22">
        <f>(D$2)*1890</f>
        <v>1890</v>
      </c>
      <c r="E13" s="23">
        <v>35</v>
      </c>
      <c r="F13" s="22">
        <f>(F$2)*6300</f>
        <v>6300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(B$2)*184.5</f>
        <v>184.5</v>
      </c>
      <c r="C14" s="23">
        <v>40</v>
      </c>
      <c r="D14" s="22">
        <f>(D$2)*1845</f>
        <v>1845</v>
      </c>
      <c r="E14" s="23">
        <v>40</v>
      </c>
      <c r="F14" s="22">
        <f>(F$2)*6150</f>
        <v>6150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(B$2)*180</f>
        <v>180</v>
      </c>
      <c r="C15" s="23">
        <v>45</v>
      </c>
      <c r="D15" s="22">
        <f>(D$2)*1800</f>
        <v>1800</v>
      </c>
      <c r="E15" s="23">
        <v>45</v>
      </c>
      <c r="F15" s="22">
        <f>(F$2)*6000</f>
        <v>6000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(B$2)*175.8</f>
        <v>175.8</v>
      </c>
      <c r="C16" s="23">
        <v>50</v>
      </c>
      <c r="D16" s="22">
        <f>(D$2)*1758</f>
        <v>1758</v>
      </c>
      <c r="E16" s="23">
        <v>50</v>
      </c>
      <c r="F16" s="22">
        <f>(F$2)*5860</f>
        <v>5860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(B$2)*171</f>
        <v>171</v>
      </c>
      <c r="C17" s="23">
        <v>55</v>
      </c>
      <c r="D17" s="22">
        <f>(D$2)*1710</f>
        <v>1710</v>
      </c>
      <c r="E17" s="23">
        <v>55</v>
      </c>
      <c r="F17" s="22">
        <f>(F$2)*5700</f>
        <v>5700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(B$2)*168</f>
        <v>168</v>
      </c>
      <c r="C18" s="23">
        <v>60</v>
      </c>
      <c r="D18" s="22">
        <f>(D$2)*1680</f>
        <v>1680</v>
      </c>
      <c r="E18" s="23">
        <v>60</v>
      </c>
      <c r="F18" s="22">
        <f>(F$2)*5600</f>
        <v>5600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(B$2)*165</f>
        <v>165</v>
      </c>
      <c r="C19" s="23">
        <v>65</v>
      </c>
      <c r="D19" s="22">
        <f>(D$2)*1650</f>
        <v>1650</v>
      </c>
      <c r="E19" s="23">
        <v>65</v>
      </c>
      <c r="F19" s="22">
        <f>(F$2)*5500</f>
        <v>5500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(B$2)*162</f>
        <v>162</v>
      </c>
      <c r="C20" s="23">
        <v>70</v>
      </c>
      <c r="D20" s="22">
        <f>(D$2)*1620</f>
        <v>1620</v>
      </c>
      <c r="E20" s="23">
        <v>70</v>
      </c>
      <c r="F20" s="22">
        <f>(F$2)*5400</f>
        <v>5400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(B$2)*159</f>
        <v>159</v>
      </c>
      <c r="C21" s="23">
        <v>75</v>
      </c>
      <c r="D21" s="22">
        <f>(D$2)*1590</f>
        <v>1590</v>
      </c>
      <c r="E21" s="23">
        <v>75</v>
      </c>
      <c r="F21" s="22">
        <f>(F$2)*5300</f>
        <v>5300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(B$2)*156</f>
        <v>156</v>
      </c>
      <c r="C22" s="23">
        <v>80</v>
      </c>
      <c r="D22" s="22">
        <f>(D$2)*1560</f>
        <v>1560</v>
      </c>
      <c r="E22" s="23">
        <v>80</v>
      </c>
      <c r="F22" s="22">
        <f>(F$2)*5200</f>
        <v>5200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(B$2)*153</f>
        <v>153</v>
      </c>
      <c r="C23" s="23">
        <v>85</v>
      </c>
      <c r="D23" s="22">
        <f>(D$2)*1530</f>
        <v>1530</v>
      </c>
      <c r="E23" s="23">
        <v>85</v>
      </c>
      <c r="F23" s="22">
        <f>(F$2)*5100</f>
        <v>5100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(B$2)*150</f>
        <v>150</v>
      </c>
      <c r="C24" s="23">
        <v>90</v>
      </c>
      <c r="D24" s="22">
        <f>(D$2)*1500</f>
        <v>1500</v>
      </c>
      <c r="E24" s="23">
        <v>90</v>
      </c>
      <c r="F24" s="22">
        <f>(F$2)*5000</f>
        <v>5000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(B$2)*147</f>
        <v>147</v>
      </c>
      <c r="C25" s="23">
        <v>95</v>
      </c>
      <c r="D25" s="22">
        <f>(D$2)*1470</f>
        <v>1470</v>
      </c>
      <c r="E25" s="23">
        <v>95</v>
      </c>
      <c r="F25" s="22">
        <f>(F$2)*4900</f>
        <v>4900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(B$2)*145.5</f>
        <v>145.5</v>
      </c>
      <c r="C26" s="23">
        <v>100</v>
      </c>
      <c r="D26" s="22">
        <f>(D$2)*1455</f>
        <v>1455</v>
      </c>
      <c r="E26" s="23">
        <v>100</v>
      </c>
      <c r="F26" s="22">
        <f>(F$2)*4850</f>
        <v>4850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(B$2)*129</f>
        <v>129</v>
      </c>
      <c r="C27" s="23">
        <v>150</v>
      </c>
      <c r="D27" s="22">
        <f>(D$2)*1290</f>
        <v>1290</v>
      </c>
      <c r="E27" s="23">
        <v>150</v>
      </c>
      <c r="F27" s="22">
        <f>(F$2)*4300</f>
        <v>4300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(B$2)*117</f>
        <v>117</v>
      </c>
      <c r="C28" s="23">
        <v>200</v>
      </c>
      <c r="D28" s="22">
        <f>(D$2)*1170</f>
        <v>1170</v>
      </c>
      <c r="E28" s="23">
        <v>200</v>
      </c>
      <c r="F28" s="22">
        <f>(F$2)*3900</f>
        <v>3900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(B$2)*106.5</f>
        <v>106.5</v>
      </c>
      <c r="C29" s="23">
        <v>250</v>
      </c>
      <c r="D29" s="22">
        <f>(D$2)*1065</f>
        <v>1065</v>
      </c>
      <c r="E29" s="23">
        <v>250</v>
      </c>
      <c r="F29" s="22">
        <f>(F$2)*3550</f>
        <v>3550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(B$2)*96</f>
        <v>96</v>
      </c>
      <c r="C30" s="23">
        <v>300</v>
      </c>
      <c r="D30" s="22">
        <f>(D$2)*960</f>
        <v>960</v>
      </c>
      <c r="E30" s="23">
        <v>300</v>
      </c>
      <c r="F30" s="22">
        <f>(F$2)*3200</f>
        <v>3200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(B$2)*87</f>
        <v>87</v>
      </c>
      <c r="C31" s="23">
        <v>350</v>
      </c>
      <c r="D31" s="22">
        <f>(D$2)*870</f>
        <v>870</v>
      </c>
      <c r="E31" s="23">
        <v>350</v>
      </c>
      <c r="F31" s="22">
        <f>(F$2)*2900</f>
        <v>2900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(B$2)*78</f>
        <v>78</v>
      </c>
      <c r="C32" s="23">
        <v>400</v>
      </c>
      <c r="D32" s="22">
        <f>(D$2)*780</f>
        <v>780</v>
      </c>
      <c r="E32" s="23">
        <v>400</v>
      </c>
      <c r="F32" s="22">
        <f>(F$2)*2600</f>
        <v>2600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(B$2)*70.5</f>
        <v>70.5</v>
      </c>
      <c r="C33" s="23">
        <v>450</v>
      </c>
      <c r="D33" s="22">
        <f>(D$2)*705</f>
        <v>705</v>
      </c>
      <c r="E33" s="23">
        <v>450</v>
      </c>
      <c r="F33" s="22">
        <f>(F$2)*2350</f>
        <v>2350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(B$2)*63</f>
        <v>63</v>
      </c>
      <c r="C34" s="23">
        <v>500</v>
      </c>
      <c r="D34" s="22">
        <f>(D$2)*630</f>
        <v>630</v>
      </c>
      <c r="E34" s="23">
        <v>500</v>
      </c>
      <c r="F34" s="22">
        <f>(F$2)*2100</f>
        <v>2100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(B$2)*57</f>
        <v>57</v>
      </c>
      <c r="C35" s="23">
        <v>550</v>
      </c>
      <c r="D35" s="22">
        <f>(D$2)*570</f>
        <v>570</v>
      </c>
      <c r="E35" s="23">
        <v>550</v>
      </c>
      <c r="F35" s="22">
        <f>(F$2)*1900</f>
        <v>1900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(B$2)*51</f>
        <v>51</v>
      </c>
      <c r="C36" s="23">
        <v>600</v>
      </c>
      <c r="D36" s="22">
        <f>(D$2)*510</f>
        <v>510</v>
      </c>
      <c r="E36" s="23">
        <v>600</v>
      </c>
      <c r="F36" s="22">
        <f>(F$2)*1700</f>
        <v>1700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(B$2)*45</f>
        <v>45</v>
      </c>
      <c r="C37" s="23">
        <v>650</v>
      </c>
      <c r="D37" s="22">
        <f>(D$2)*450</f>
        <v>450</v>
      </c>
      <c r="E37" s="23">
        <v>650</v>
      </c>
      <c r="F37" s="22">
        <f>(F$2)*1500</f>
        <v>1500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(B$2)*39.6</f>
        <v>39.6</v>
      </c>
      <c r="C38" s="23">
        <v>700</v>
      </c>
      <c r="D38" s="22">
        <f>(D$2)*396</f>
        <v>396</v>
      </c>
      <c r="E38" s="23">
        <v>700</v>
      </c>
      <c r="F38" s="22">
        <f>(F$2)*1320</f>
        <v>1320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(B$2)*34.5</f>
        <v>34.5</v>
      </c>
      <c r="C39" s="23">
        <v>750</v>
      </c>
      <c r="D39" s="22">
        <f>(D$2)*345</f>
        <v>345</v>
      </c>
      <c r="E39" s="23">
        <v>750</v>
      </c>
      <c r="F39" s="22">
        <f>(F$2)*1150</f>
        <v>1150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(B$2)*30</f>
        <v>30</v>
      </c>
      <c r="C40" s="25">
        <v>800</v>
      </c>
      <c r="D40" s="24">
        <f>(D$2)*300</f>
        <v>300</v>
      </c>
      <c r="E40" s="25">
        <v>800</v>
      </c>
      <c r="F40" s="24">
        <f>(F$2)*1000</f>
        <v>1000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250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300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10000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HP5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>
        <f>Input!$D$29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144</v>
      </c>
      <c r="N47" s="124" t="s">
        <v>229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B48" s="3" t="s">
        <v>27</v>
      </c>
      <c r="C48" s="35">
        <v>1700</v>
      </c>
      <c r="D48" s="36">
        <v>66</v>
      </c>
      <c r="E48" s="3">
        <v>5.9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3.3612026556240009</v>
      </c>
      <c r="L48" s="104">
        <f>3.14*$D48/1000*$C$48/60</f>
        <v>5.8717999999999995</v>
      </c>
      <c r="M48" s="17">
        <v>55</v>
      </c>
      <c r="N48" s="194"/>
      <c r="O48" s="17"/>
      <c r="P48" s="17"/>
      <c r="Q48" s="17"/>
      <c r="U48" s="17"/>
      <c r="V48" s="288" t="s">
        <v>251</v>
      </c>
      <c r="W48" s="134"/>
      <c r="X48" s="130" t="s">
        <v>237</v>
      </c>
      <c r="Y48" s="138" t="s">
        <v>245</v>
      </c>
      <c r="Z48" s="130" t="s">
        <v>241</v>
      </c>
      <c r="AA48" s="138" t="s">
        <v>245</v>
      </c>
      <c r="AB48" s="17"/>
    </row>
    <row r="49" spans="1:28" x14ac:dyDescent="0.25">
      <c r="A49" s="140" t="s">
        <v>46</v>
      </c>
      <c r="B49" s="141" t="s">
        <v>27</v>
      </c>
      <c r="C49" s="141">
        <v>1700</v>
      </c>
      <c r="D49" s="142">
        <v>66</v>
      </c>
      <c r="E49" s="141">
        <v>5.9</v>
      </c>
      <c r="F49" s="141">
        <f>1000</f>
        <v>1000</v>
      </c>
      <c r="G49" s="141">
        <v>50</v>
      </c>
      <c r="H49" s="147">
        <f t="shared" ref="H49:H53" si="2">$E49*$F49*($C49/60)^3*($D49/1000)^5</f>
        <v>168.06013278120005</v>
      </c>
      <c r="I49" s="170">
        <v>1.1000000000000001</v>
      </c>
      <c r="J49" s="145">
        <f t="shared" si="0"/>
        <v>0.94400365172216438</v>
      </c>
      <c r="K49" s="143">
        <f t="shared" si="1"/>
        <v>3.3612026556240009</v>
      </c>
      <c r="L49" s="145">
        <f t="shared" ref="L49:L53" si="3">3.14*$D49/1000*$C$48/60</f>
        <v>5.8717999999999995</v>
      </c>
      <c r="M49" s="140">
        <v>55</v>
      </c>
      <c r="N49" s="194"/>
      <c r="O49" s="17"/>
      <c r="P49" s="17"/>
      <c r="Q49" s="17"/>
      <c r="U49" s="17"/>
      <c r="V49" s="288"/>
      <c r="W49" s="131" t="s">
        <v>47</v>
      </c>
      <c r="X49" s="149" cm="1">
        <f t="array" ref="X49">IF($B$45=0,
IF($B$44="N/A","N/A",IF(Input!$D$14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$D$14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1700</v>
      </c>
      <c r="Y49" s="49" t="s">
        <v>242</v>
      </c>
      <c r="Z49" s="149">
        <f>$X$49</f>
        <v>1700</v>
      </c>
      <c r="AA49" s="152" t="s">
        <v>242</v>
      </c>
      <c r="AB49" s="17"/>
    </row>
    <row r="50" spans="1:28" x14ac:dyDescent="0.25">
      <c r="B50" s="3" t="s">
        <v>28</v>
      </c>
      <c r="C50" s="35">
        <v>1700</v>
      </c>
      <c r="D50" s="36">
        <v>103</v>
      </c>
      <c r="E50" s="3">
        <v>3.3</v>
      </c>
      <c r="F50" s="3">
        <f>IF($B$44=$B50,Input!$D$14,IF($B$45=$B50,Input!$D$14,1000))</f>
        <v>1000</v>
      </c>
      <c r="G50" s="3">
        <f>IF($B$44=$B50,Input!$D$12,850)</f>
        <v>500</v>
      </c>
      <c r="H50" s="42">
        <f t="shared" si="2"/>
        <v>870.14789996381785</v>
      </c>
      <c r="I50" s="41">
        <v>7.8</v>
      </c>
      <c r="J50" s="42">
        <f t="shared" si="0"/>
        <v>4.8876719392673511</v>
      </c>
      <c r="K50" s="102">
        <f t="shared" si="1"/>
        <v>1.7402957999276356</v>
      </c>
      <c r="L50" s="104">
        <f t="shared" si="3"/>
        <v>9.163566666666668</v>
      </c>
      <c r="M50" s="17">
        <v>94</v>
      </c>
      <c r="N50" s="194"/>
      <c r="O50" s="17"/>
      <c r="P50" s="17"/>
      <c r="Q50" s="17"/>
      <c r="U50" s="17"/>
      <c r="V50" s="288"/>
      <c r="W50" s="132" t="s">
        <v>8</v>
      </c>
      <c r="X50" s="155">
        <f>IF($B$45=0,
          IF($X$49=$B$44,
          "N/A",
           (VLOOKUP($B$44,$B$48:$N$53,4,FALSE)*Input!$D$14*($X$49/60)^3*((VLOOKUP($B$44,$B$48:$N$53,3,FALSE))/1000)^5)/Input!$D$12),
(VLOOKUP($B$45,$B$48:$N$53,4,FALSE)*Input!$D$14*($X$49/60)^3*((VLOOKUP($B$45,$B$48:$N$53,3,FALSE))/1000)^5)/Input!$D$12)</f>
        <v>1.7402957999276356</v>
      </c>
      <c r="Y50" s="85" t="s">
        <v>9</v>
      </c>
      <c r="Z50" s="150">
        <f>IF($X$50="N/A",
           "N/A",
             $X$50/0.264172)</f>
        <v>6.5877375343625948</v>
      </c>
      <c r="AA50" s="136" t="s">
        <v>243</v>
      </c>
      <c r="AB50" s="17"/>
    </row>
    <row r="51" spans="1:28" x14ac:dyDescent="0.25">
      <c r="A51" s="140" t="s">
        <v>46</v>
      </c>
      <c r="B51" s="141" t="s">
        <v>28</v>
      </c>
      <c r="C51" s="141">
        <v>1700</v>
      </c>
      <c r="D51" s="142">
        <v>103</v>
      </c>
      <c r="E51" s="141">
        <v>3.3</v>
      </c>
      <c r="F51" s="141">
        <f>1000</f>
        <v>1000</v>
      </c>
      <c r="G51" s="141">
        <v>850</v>
      </c>
      <c r="H51" s="147">
        <f t="shared" si="2"/>
        <v>870.14789996381785</v>
      </c>
      <c r="I51" s="144">
        <v>7.8</v>
      </c>
      <c r="J51" s="147">
        <f t="shared" si="0"/>
        <v>4.8876719392673511</v>
      </c>
      <c r="K51" s="143">
        <f t="shared" si="1"/>
        <v>1.0237034117221386</v>
      </c>
      <c r="L51" s="145">
        <f t="shared" si="3"/>
        <v>9.163566666666668</v>
      </c>
      <c r="M51" s="140">
        <v>94</v>
      </c>
      <c r="N51" s="194"/>
      <c r="O51" s="17"/>
      <c r="P51" s="17"/>
      <c r="Q51" s="17"/>
      <c r="U51" s="17"/>
      <c r="V51" s="288"/>
      <c r="W51" s="132" t="s">
        <v>10</v>
      </c>
      <c r="X51" s="154">
        <f>IF($B$45=0,
IF($X$49=$B$44,"N/A",3.14*VLOOKUP($B$44,$B$48:$N$53,3,FALSE)/1000*$X$49/60),
3.14*VLOOKUP($B$45,$B$48:$N$53,3,FALSE)/1000*$X$49/60)</f>
        <v>9.163566666666668</v>
      </c>
      <c r="Y51" s="136" t="s">
        <v>11</v>
      </c>
      <c r="Z51" s="151">
        <f>IF($X$51="N/A",
           "N/A",
            $X$51*196.85)</f>
        <v>1803.8480983333336</v>
      </c>
      <c r="AA51" s="136" t="s">
        <v>244</v>
      </c>
      <c r="AB51" s="17"/>
    </row>
    <row r="52" spans="1:28" ht="45" x14ac:dyDescent="0.25">
      <c r="B52" s="3" t="s">
        <v>29</v>
      </c>
      <c r="C52" s="35">
        <v>1700</v>
      </c>
      <c r="D52" s="36">
        <v>136</v>
      </c>
      <c r="E52" s="3">
        <v>5.2</v>
      </c>
      <c r="F52" s="3">
        <f>IF($B$44=$B52,Input!$D$14,IF($B$45=$B52,Input!$D$14,1000))</f>
        <v>1000</v>
      </c>
      <c r="G52" s="3">
        <f>IF($B$44=$B52,Input!$D$12,2000)</f>
        <v>2000</v>
      </c>
      <c r="H52" s="42">
        <f t="shared" si="2"/>
        <v>5502.8908476795277</v>
      </c>
      <c r="I52" s="41">
        <v>26</v>
      </c>
      <c r="J52" s="42">
        <f t="shared" si="0"/>
        <v>30.910061590877536</v>
      </c>
      <c r="K52" s="102">
        <f t="shared" si="1"/>
        <v>2.7514454238397636</v>
      </c>
      <c r="L52" s="104">
        <f t="shared" si="3"/>
        <v>12.099466666666668</v>
      </c>
      <c r="M52" s="17">
        <v>159.5</v>
      </c>
      <c r="N52" s="194"/>
      <c r="O52" s="17"/>
      <c r="P52" s="17"/>
      <c r="Q52" s="17"/>
      <c r="U52" s="17"/>
      <c r="V52" s="288"/>
      <c r="W52" s="191" t="s">
        <v>388</v>
      </c>
      <c r="X52" s="243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0,
IF(AND(OR((ROUND(MOD($X$62,1)*60,-1))=60,(ROUND(MOD($X$62,1)*60,-1))=0),ROUND($X$62,0)&gt;=1),
                                            ROUND($X$62,0),
                                            IF(AND(ROUND($X$62,1)&lt;1,ROUND(MOD($X$62,1)*60,-1)&lt;&gt;0),
                                            ROUND(MOD($X$62,1)*60,-1)/60,
                                            (($X$62-MOD($X$62,1))+(ROUND(MOD($X$62,1)*60,-1)/60))))))</f>
        <v>N/A</v>
      </c>
      <c r="Y52" s="17" t="s">
        <v>268</v>
      </c>
      <c r="Z52" s="244" t="str">
        <f>$X$52</f>
        <v>N/A</v>
      </c>
      <c r="AA52" s="27"/>
      <c r="AB52" s="17"/>
    </row>
    <row r="53" spans="1:28" ht="45" x14ac:dyDescent="0.25">
      <c r="A53" s="140" t="s">
        <v>46</v>
      </c>
      <c r="B53" s="165" t="s">
        <v>29</v>
      </c>
      <c r="C53" s="165">
        <v>1700</v>
      </c>
      <c r="D53" s="166">
        <v>136</v>
      </c>
      <c r="E53" s="140">
        <v>5.2</v>
      </c>
      <c r="F53" s="165">
        <f>1000</f>
        <v>1000</v>
      </c>
      <c r="G53" s="165">
        <v>2000</v>
      </c>
      <c r="H53" s="147">
        <f t="shared" si="2"/>
        <v>5502.8908476795277</v>
      </c>
      <c r="I53" s="167">
        <v>26</v>
      </c>
      <c r="J53" s="168">
        <f t="shared" si="0"/>
        <v>30.910061590877536</v>
      </c>
      <c r="K53" s="169">
        <f t="shared" si="1"/>
        <v>2.7514454238397636</v>
      </c>
      <c r="L53" s="145">
        <f t="shared" si="3"/>
        <v>12.099466666666668</v>
      </c>
      <c r="M53" s="140">
        <v>159.5</v>
      </c>
      <c r="N53" s="194"/>
      <c r="O53" s="17"/>
      <c r="P53" s="17"/>
      <c r="Q53" s="17"/>
      <c r="U53" s="17"/>
      <c r="V53" s="288" t="s">
        <v>249</v>
      </c>
      <c r="W53" s="191" t="s">
        <v>389</v>
      </c>
      <c r="X53" s="243" t="str">
        <f>IF(OR($X$60=0,$X$60="N/A"),
         "N/A",
          (IF(AND(OR((ROUND(MOD($X$63,1)*60,-1))=60,(ROUND(MOD($X$63,1)*60,-1))=0),ROUND($X$63,0)&gt;=1),
                                            ROUND($X$63,0),
                                            IF(AND(ROUND($X$63,1)&lt;1,(ROUND(MOD($X$63,1)*60,-1))&lt;&gt;0),
                                            ROUND(MOD($X$63,1)*60,-1)/60,
                                            (($X$63-MOD($X$63,1))+ROUND(MOD($X$63,1)*60,-1)/60)))))</f>
        <v>N/A</v>
      </c>
      <c r="Y53" s="17" t="s">
        <v>268</v>
      </c>
      <c r="Z53" s="244" t="str">
        <f>$X$53</f>
        <v>N/A</v>
      </c>
      <c r="AA53" s="27"/>
      <c r="AB53" s="17"/>
    </row>
    <row r="54" spans="1:28" ht="45.75" thickBot="1" x14ac:dyDescent="0.3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88"/>
      <c r="W54" s="153" t="s">
        <v>257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",ROUND(MOD($X$62,1)*60,-1),"s"))))=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",ROUND(MOD($X$63,1)*60,-1),"s")))="0min 0s",0,
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CONCATENATE(
               IF(IF(AND(OR((ROUND(MOD($X$62,1)*60,-1))=60,(ROUND(MOD($X$62,1)*60,-1))=0),ROUND($X$62,0)&gt;=1),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")))="0min 0s - ","",
         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5" t="str">
        <f>$X$54</f>
        <v>N/A</v>
      </c>
      <c r="AA54" s="29"/>
      <c r="AB54" s="17"/>
    </row>
    <row r="55" spans="1:28" x14ac:dyDescent="0.25">
      <c r="A55" s="17"/>
      <c r="B55" s="17"/>
      <c r="C55" s="17"/>
      <c r="D55" s="17"/>
      <c r="E55" s="17"/>
      <c r="F55" s="17"/>
      <c r="G55" s="89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88"/>
      <c r="W55" s="131" t="s">
        <v>252</v>
      </c>
      <c r="X55" s="185">
        <f>IF(Input!$E$29=0,$X$49,Input!$E$29)</f>
        <v>1700</v>
      </c>
      <c r="Y55" s="85" t="s">
        <v>242</v>
      </c>
      <c r="Z55" s="186">
        <f>$X$55</f>
        <v>1700</v>
      </c>
      <c r="AA55" s="136" t="s">
        <v>242</v>
      </c>
      <c r="AB55" s="17"/>
    </row>
    <row r="56" spans="1:28" x14ac:dyDescent="0.25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88"/>
      <c r="W56" s="132" t="s">
        <v>8</v>
      </c>
      <c r="X56" s="179">
        <f>IF($B$45=0,
IF($B$44=$X$49,"N/A",(VLOOKUP($B$44,$B$48:$N$53,4,FALSE)*Input!$D$14*($X$55/60)^3*(((VLOOKUP($B$44,$B$48:$N$53,3,FALSE))/1000)^5)/Input!$D$12)),
(VLOOKUP($B$45,$B$48:$N$53,4,FALSE)*Input!$D$14*($X$55/60)^3*(((VLOOKUP($B$45,$B$48:$N$53,3,FALSE))/1000)^5)/Input!$D$12))</f>
        <v>1.7402957999276356</v>
      </c>
      <c r="Y56" s="85" t="s">
        <v>9</v>
      </c>
      <c r="Z56" s="182">
        <f>IF($X$56="N/A",
           "N/A",
              $X$56/0.264172)</f>
        <v>6.5877375343625948</v>
      </c>
      <c r="AA56" s="136" t="s">
        <v>243</v>
      </c>
      <c r="AB56" s="17"/>
    </row>
    <row r="57" spans="1:28" x14ac:dyDescent="0.25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32" t="s">
        <v>253</v>
      </c>
      <c r="X57" s="180">
        <f>IF($B$45=0,
IF($X$49=$B$44,"N/A",3.14*VLOOKUP($B$44,$B$48:$N$53,3,FALSE)/1000*$X$55/60),
3.14*VLOOKUP($B$45,$B$48:$N$53,3,FALSE)/1000*$X$55/60)</f>
        <v>9.163566666666668</v>
      </c>
      <c r="Y57" s="136" t="s">
        <v>11</v>
      </c>
      <c r="Z57" s="183">
        <f>IF($X$57="N/A",
           "N/A",
              $X$57*196.85)</f>
        <v>1803.8480983333336</v>
      </c>
      <c r="AA57" s="136" t="s">
        <v>244</v>
      </c>
      <c r="AB57" s="17"/>
    </row>
    <row r="58" spans="1:28" ht="45.75" thickBo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3" t="s">
        <v>258</v>
      </c>
      <c r="X58" s="181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268</v>
      </c>
      <c r="Z58" s="184" t="str">
        <f>$X$58</f>
        <v>N/A</v>
      </c>
      <c r="AA58" s="94" t="s">
        <v>268</v>
      </c>
      <c r="AB58" s="17"/>
    </row>
    <row r="59" spans="1:28" x14ac:dyDescent="0.25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7" t="s">
        <v>228</v>
      </c>
      <c r="X59" s="157">
        <v>0.5</v>
      </c>
      <c r="Y59" s="157"/>
      <c r="Z59" s="157"/>
      <c r="AA59" s="157"/>
      <c r="AB59" s="17"/>
    </row>
    <row r="60" spans="1:28" x14ac:dyDescent="0.25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57" t="s">
        <v>255</v>
      </c>
      <c r="X60" s="157">
        <f>IF(AND($B$45=0,$B$44="N/A"),
          "N/A",
             IF($B$45=0,
IF($X$59*(10.74*(VLOOKUP($B$44,$B$48:$N$53,3,FALSE)/25.4)^2*$X$49*(Input!$D$14/1000)/Input!$D$15)&gt;=20000,1,IF($X$59*(10.74*(VLOOKUP($B$44,$B$48:$N$53,3,FALSE)/25.4)^2*$X$49*(Input!$D$14/1000)/Input!$D$15)&gt;=300,EXP(-5.328+1.683*LN($X$59*(10.74*(VLOOKUP($B$44,$B$48:$N$53,3,FALSE)/25.4)^2*$X$49*(Input!$D$14/1000)/Input!$D$15))-0.179*LN($X$59*(10.74*(VLOOKUP($B$44,$B$48:$N$53,3,FALSE)/25.4)^2*$X$49*(Input!$D$14/1000)/Input!$D$15))^2+0.0064*LN($X$59*(10.74*(VLOOKUP($B$44,$B$48:$N$53,3,FALSE)/25.4)^2*$X$49*(Input!$D$14/1000)/Input!$D$15))^3),IF($X$59*(10.74*(VLOOKUP($B$44,$B$48:$N$53,3,FALSE)/25.4)^2*$X$49*(Input!$D$14/1000)/Input!$D$15)&gt;25,EXP(-0.563-0.231*LN($X$59*(10.74*(VLOOKUP($B$44,$B$48:$N$53,3,FALSE)/25.4)^2*$X$49*(Input!$D$14/1000)/Input!$D$15))+0.0466*LN($X$59*(10.74*(VLOOKUP($B$44,$B$48:$N$53,3,FALSE)/25.4)^2*$X$49*(Input!$D$14/1000)/Input!$D$15))^2),0.439)))*VLOOKUP($B$44,$B$48:$N$53,13,FALSE)*$X$49*(VLOOKUP($B$44,$B$48:$N$53,3,FALSE)^3/1000000),
IF($X$59*(10.74*(VLOOKUP($B$45,$B$48:$N$53,3,FALSE)/25.4)^2*$X$49*(Input!$D$14/1000)/Input!$D$15)&gt;=20000,1,IF($X$59*(10.74*(VLOOKUP($B$45,$B$48:$N$53,3,FALSE)/25.4)^2*$X$49*(Input!$D$14/1000)/Input!$D$15)&gt;=300,EXP(-5.328+1.683*LN($X$59*(10.74*(VLOOKUP($B$45,$B$48:$N$53,3,FALSE)/25.4)^2*$X$49*(Input!$D$14/1000)/Input!$D$15))-0.179*LN($X$59*(10.74*(VLOOKUP($B$45,$B$48:$N$53,3,FALSE)/25.4)^2*$X$49*(Input!$D$14/1000)/Input!$D$15))^2+0.0064*LN($X$59*(10.74*(VLOOKUP($B$45,$B$48:$N$53,3,FALSE)/25.4)^2*$X$49*(Input!$D$14/1000)/Input!$D$15))^3),IF($X$59*(10.74*(VLOOKUP($B$45,$B$48:$N$53,3,FALSE)/25.4)^2*$X$49*(Input!$D$14/1000)/Input!$D$15)&gt;25,EXP(-0.563-0.231*LN($X$59*(10.74*(VLOOKUP($B$45,$B$48:$N$53,3,FALSE)/25.4)^2*$X$49*(Input!$D$14/1000)/Input!$D$15))+0.0466*LN($X$59*(10.74*(VLOOKUP($B$45,$B$48:$N$53,3,FALSE)/25.4)^2*$X$49*(Input!$D$14/1000)/Input!$D$15))^2),0.439)))*VLOOKUP($B$45,$B$48:$N$53,13,FALSE)*$X$49*(VLOOKUP($B$45,$B$48:$N$53,3,FALSE)^3/1000000)))</f>
        <v>0</v>
      </c>
      <c r="Y60" s="157"/>
      <c r="Z60" s="157"/>
      <c r="AA60" s="15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57" t="s">
        <v>256</v>
      </c>
      <c r="X61" s="157">
        <f>IF(AND($B$45=0,$B$44="N/A"),
          "N/A",
             IF($B$45=0,
IF($X$59*(10.74*(VLOOKUP($B$44,$B$48:$N$53,3,FALSE)/25.4)^2*$X$55*(Input!$D$14/1000)/Input!$D$15)&gt;=20000,1,IF($X$59*(10.74*(VLOOKUP($B$44,$B$48:$N$53,3,FALSE)/25.4)^2*$X$55*(Input!$D$14/1000)/Input!$D$15)&gt;=300,EXP(-5.328+1.683*LN($X$59*(10.74*(VLOOKUP($B$44,$B$48:$N$53,3,FALSE)/25.4)^2*$X$55*(Input!$D$14/1000)/Input!$D$15))-0.179*LN($X$59*(10.74*(VLOOKUP($B$44,$B$48:$N$53,3,FALSE)/25.4)^2*$X$55*(Input!$D$14/1000)/Input!$D$15))^2+0.0064*LN($X$59*(10.74*(VLOOKUP($B$44,$B$48:$N$53,3,FALSE)/25.4)^2*$X$55*(Input!$D$14/1000)/Input!$D$15))^3),IF($X$59*(10.74*(VLOOKUP($B$44,$B$48:$N$53,3,FALSE)/25.4)^2*$X$55*(Input!$D$14/1000)/Input!$D$15)&gt;25,EXP(-0.563-0.231*LN($X$59*(10.74*(VLOOKUP($B$44,$B$48:$N$53,3,FALSE)/25.4)^2*$X$55*(Input!$D$14/1000)/Input!$D$15))+0.0466*LN($X$59*(10.74*(VLOOKUP($B$44,$B$48:$N$53,3,FALSE)/25.4)^2*$X$55*(Input!$D$14/1000)/Input!$D$15))^2),0.439)))*VLOOKUP($B$44,$B$48:$N$53,13,FALSE)*$X$55*(VLOOKUP($B$44,$B$48:$N$53,3,FALSE)^3/1000000),
IF($X$59*(10.74*(VLOOKUP($B$45,$B$48:$N$53,3,FALSE)/25.4)^2*$X$55*(Input!$D$14/1000)/Input!$D$15)&gt;=20000,1,IF($X$59*(10.74*(VLOOKUP($B$45,$B$48:$N$53,3,FALSE)/25.4)^2*$X$55*(Input!$D$14/1000)/Input!$D$15)&gt;=300,EXP(-5.328+1.683*LN($X$59*(10.74*(VLOOKUP($B$45,$B$48:$N$53,3,FALSE)/25.4)^2*$X$55*(Input!$D$14/1000)/Input!$D$15))-0.179*LN($X$59*(10.74*(VLOOKUP($B$45,$B$48:$N$53,3,FALSE)/25.4)^2*$X$55*(Input!$D$14/1000)/Input!$D$15))^2+0.0064*LN($X$59*(10.74*(VLOOKUP($B$45,$B$48:$N$53,3,FALSE)/25.4)^2*$X$55*(Input!$D$14/1000)/Input!$D$15))^3),IF($X$59*(10.74*(VLOOKUP($B$45,$B$48:$N$53,3,FALSE)/25.4)^2*$X$55*(Input!$D$14/1000)/Input!$D$15)&gt;25,EXP(-0.563-0.231*LN($X$59*(10.74*(VLOOKUP($B$45,$B$48:$N$53,3,FALSE)/25.4)^2*$X$55*(Input!$D$14/1000)/Input!$D$15))+0.0466*LN($X$59*(10.74*(VLOOKUP($B$45,$B$48:$N$53,3,FALSE)/25.4)^2*$X$55*(Input!$D$14/1000)/Input!$D$15))^2),0.439)))*VLOOKUP($B$45,$B$48:$N$53,13,FALSE)*$X$55*(VLOOKUP($B$45,$B$48:$N$53,3,FALSE)^3/1000000)))</f>
        <v>0</v>
      </c>
      <c r="Y61" s="157"/>
      <c r="Z61" s="157"/>
      <c r="AA61" s="157"/>
      <c r="AB61" s="17"/>
    </row>
    <row r="62" spans="1:28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57" t="s">
        <v>383</v>
      </c>
      <c r="X62" s="242" t="str">
        <f>IF(OR($X$60=0,AND($B$45=0,$B$44="N/A")),
          "N/A",
           Input!$D$12/$X$60*3)</f>
        <v>N/A</v>
      </c>
      <c r="Y62" s="157"/>
      <c r="Z62" s="157"/>
      <c r="AA62" s="15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57" t="s">
        <v>384</v>
      </c>
      <c r="X63" s="242" t="str">
        <f>IF(OR($X$60=0,AND($B$45=0,$B$44="N/A")),
          "N/A",
            Input!$D$12/$X$60*5)</f>
        <v>N/A</v>
      </c>
      <c r="Y63" s="157"/>
      <c r="Z63" s="157"/>
      <c r="AA63" s="15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87"/>
      <c r="K65" s="17"/>
      <c r="L65" s="8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85"/>
      <c r="X65" s="283" t="s">
        <v>247</v>
      </c>
      <c r="Y65" s="284"/>
      <c r="Z65" s="17"/>
      <c r="AA65" s="17"/>
      <c r="AB65" s="17"/>
    </row>
    <row r="66" spans="1:28" ht="15.75" thickBo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86"/>
      <c r="K66" s="17"/>
      <c r="L66" s="4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58" t="str">
        <f>CONCATENATE("Tank Turnovers at ",Input!D15,"cP")</f>
        <v>Tank Turnovers at 1cP</v>
      </c>
      <c r="X66" s="133" t="s">
        <v>254</v>
      </c>
      <c r="Y66" s="135" t="s">
        <v>249</v>
      </c>
      <c r="Z66" s="135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59">
        <v>0</v>
      </c>
      <c r="X67" s="160" t="str">
        <f>IF(OR($X$60=0,$X$60="N/A"),
"N/A",
Input!$D$12/$X$60*$W67)</f>
        <v>N/A</v>
      </c>
      <c r="Y67" s="187" t="str">
        <f>IF(OR($X$61=0,$X$61="N/A"),
"N/A",
Input!$D$12/$X$61*$W67)</f>
        <v>N/A</v>
      </c>
      <c r="Z67" s="88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163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59">
        <v>1</v>
      </c>
      <c r="X68" s="160" t="str">
        <f>IF(OR($X$60=0,$X$60="N/A"),
"N/A",
Input!$D$12/$X$60*$W68)</f>
        <v>N/A</v>
      </c>
      <c r="Y68" s="187" t="str">
        <f>IF(OR($X$61=0,$X$61="N/A"),
"N/A",
Input!$D$12/$X$61*$W68)</f>
        <v>N/A</v>
      </c>
      <c r="Z68" s="46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59">
        <v>2</v>
      </c>
      <c r="X69" s="160" t="str">
        <f>IF(OR($X$60=0,$X$60="N/A"),
"N/A",
Input!$D$12/$X$60*$W69)</f>
        <v>N/A</v>
      </c>
      <c r="Y69" s="187" t="str">
        <f>IF(OR($X$61=0,$X$61="N/A"),
"N/A",
Input!$D$12/$X$61*$W69)</f>
        <v>N/A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59">
        <v>3</v>
      </c>
      <c r="X70" s="160" t="str">
        <f>IF(OR($X$60=0,$X$60="N/A"),
"N/A",
Input!$D$12/$X$60*$W70)</f>
        <v>N/A</v>
      </c>
      <c r="Y70" s="187" t="str">
        <f>IF(OR($X$61=0,$X$61="N/A"),
"N/A",
Input!$D$12/$X$61*$W70)</f>
        <v>N/A</v>
      </c>
      <c r="Z70" s="88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59">
        <v>4</v>
      </c>
      <c r="X71" s="160" t="str">
        <f>IF(OR($X$60=0,$X$60="N/A"),
"N/A",
Input!$D$12/$X$60*$W71)</f>
        <v>N/A</v>
      </c>
      <c r="Y71" s="187" t="str">
        <f>IF(OR($X$61=0,$X$61="N/A"),
"N/A",
Input!$D$12/$X$61*$W71)</f>
        <v>N/A</v>
      </c>
      <c r="Z71" s="46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59">
        <v>5</v>
      </c>
      <c r="X72" s="160" t="str">
        <f>IF(OR($X$60=0,$X$60="N/A"),
"N/A",
Input!$D$12/$X$60*$W72)</f>
        <v>N/A</v>
      </c>
      <c r="Y72" s="187" t="str">
        <f>IF(OR($X$61=0,$X$61="N/A"),
"N/A",
Input!$D$12/$X$61*$W72)</f>
        <v>N/A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87"/>
      <c r="K73" s="17"/>
      <c r="L73" s="8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59">
        <v>6</v>
      </c>
      <c r="X73" s="160" t="str">
        <f>IF(OR($X$60=0,$X$60="N/A"),
"N/A",
Input!$D$12/$X$60*$W73)</f>
        <v>N/A</v>
      </c>
      <c r="Y73" s="187" t="str">
        <f>IF(OR($X$61=0,$X$61="N/A"),
"N/A",
Input!$D$12/$X$61*$W73)</f>
        <v>N/A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86"/>
      <c r="K74" s="17"/>
      <c r="L74" s="46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9">
        <v>7</v>
      </c>
      <c r="X74" s="160" t="str">
        <f>IF(OR($X$60=0,$X$60="N/A"),
"N/A",
Input!$D$12/$X$60*$W74)</f>
        <v>N/A</v>
      </c>
      <c r="Y74" s="187" t="str">
        <f>IF(OR($X$61=0,$X$61="N/A"),
"N/A",
Input!$D$12/$X$61*$W74)</f>
        <v>N/A</v>
      </c>
      <c r="Z74" s="17"/>
      <c r="AA74" s="17"/>
      <c r="AB74" s="17"/>
    </row>
    <row r="75" spans="1:2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59">
        <v>8</v>
      </c>
      <c r="X75" s="160" t="str">
        <f>IF(OR($X$60=0,$X$60="N/A"),
"N/A",
Input!$D$12/$X$60*$W75)</f>
        <v>N/A</v>
      </c>
      <c r="Y75" s="187" t="str">
        <f>IF(OR($X$61=0,$X$61="N/A"),
"N/A",
Input!$D$12/$X$61*$W75)</f>
        <v>N/A</v>
      </c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88"/>
      <c r="K76" s="17"/>
      <c r="L76" s="88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9">
        <v>9</v>
      </c>
      <c r="X76" s="160" t="str">
        <f>IF(OR($X$60=0,$X$60="N/A"),
"N/A",
Input!$D$12/$X$60*$W76)</f>
        <v>N/A</v>
      </c>
      <c r="Y76" s="187" t="str">
        <f>IF(OR($X$61=0,$X$61="N/A"),
"N/A",
Input!$D$12/$X$61*$W76)</f>
        <v>N/A</v>
      </c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86"/>
      <c r="K77" s="17"/>
      <c r="L77" s="46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9">
        <v>10</v>
      </c>
      <c r="X77" s="160" t="str">
        <f>IF(OR($X$60=0,$X$60="N/A"),
"N/A",
Input!$D$12/$X$60*$W77)</f>
        <v>N/A</v>
      </c>
      <c r="Y77" s="187" t="str">
        <f>IF(OR($X$61=0,$X$61="N/A"),
"N/A",
Input!$D$12/$X$61*$W77)</f>
        <v>N/A</v>
      </c>
      <c r="Z77" s="17"/>
      <c r="AA77" s="17"/>
      <c r="AB77" s="17"/>
    </row>
    <row r="78" spans="1:2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1" spans="10:12" x14ac:dyDescent="0.25">
      <c r="J81" s="164"/>
      <c r="L81" s="82"/>
    </row>
    <row r="82" spans="10:12" x14ac:dyDescent="0.25">
      <c r="J82" s="79"/>
      <c r="L82" s="83"/>
    </row>
    <row r="84" spans="10:12" x14ac:dyDescent="0.25">
      <c r="J84" s="83"/>
      <c r="L84" s="83"/>
    </row>
  </sheetData>
  <sortState xmlns:xlrd2="http://schemas.microsoft.com/office/spreadsheetml/2017/richdata2" ref="F6:F40">
    <sortCondition descending="1" ref="F6:F40"/>
  </sortState>
  <mergeCells count="6">
    <mergeCell ref="X65:Y65"/>
    <mergeCell ref="B2:C2"/>
    <mergeCell ref="D2:E2"/>
    <mergeCell ref="F2:G2"/>
    <mergeCell ref="V48:V52"/>
    <mergeCell ref="V53:V56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79"/>
  <sheetViews>
    <sheetView topLeftCell="H45" workbookViewId="0">
      <selection activeCell="X54" sqref="X54"/>
    </sheetView>
  </sheetViews>
  <sheetFormatPr defaultRowHeight="15" x14ac:dyDescent="0.25"/>
  <cols>
    <col min="1" max="1" width="20.28515625" bestFit="1" customWidth="1"/>
    <col min="12" max="12" width="15" bestFit="1" customWidth="1"/>
    <col min="17" max="17" width="0" hidden="1" customWidth="1"/>
    <col min="18" max="18" width="18.85546875" hidden="1" customWidth="1"/>
    <col min="19" max="21" width="0" hidden="1" customWidth="1"/>
    <col min="23" max="23" width="18.5703125" customWidth="1"/>
    <col min="24" max="24" width="14.140625" customWidth="1"/>
    <col min="26" max="26" width="11.5703125" bestFit="1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85">
        <f>IF(Input!$D$13="Gentle",1.2,IF(Input!$D$13="Vigorous", 0.8,1))</f>
        <v>1</v>
      </c>
      <c r="C2" s="286"/>
      <c r="D2" s="285">
        <f>IF(Input!$D$13="Gentle",1.2,IF(Input!$D$13="Vigorous", 0.8,1))</f>
        <v>1</v>
      </c>
      <c r="E2" s="286"/>
      <c r="F2" s="285">
        <f>IF(Input!$D$13="Gentle",1.2,IF(Input!$D$13="Vigorous", 0.8,1))</f>
        <v>1</v>
      </c>
      <c r="G2" s="28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thickBot="1" x14ac:dyDescent="0.3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(B$2)*120</f>
        <v>120</v>
      </c>
      <c r="C6" s="49">
        <v>1</v>
      </c>
      <c r="D6" s="20">
        <f>(D$2)*800</f>
        <v>800</v>
      </c>
      <c r="E6" s="49">
        <v>1</v>
      </c>
      <c r="F6" s="20">
        <f>(F$2)*1500</f>
        <v>1500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(B$2)*109.2</f>
        <v>109.2</v>
      </c>
      <c r="C7" s="85">
        <v>5</v>
      </c>
      <c r="D7" s="22">
        <f>(D$2)*728</f>
        <v>728</v>
      </c>
      <c r="E7" s="85">
        <v>5</v>
      </c>
      <c r="F7" s="22">
        <f>(F$2)*1365</f>
        <v>1365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(B$2)*99.6</f>
        <v>99.6</v>
      </c>
      <c r="C8" s="85">
        <v>10</v>
      </c>
      <c r="D8" s="22">
        <f>(D$2)*664</f>
        <v>664</v>
      </c>
      <c r="E8" s="85">
        <v>10</v>
      </c>
      <c r="F8" s="22">
        <f>(F$2)*1245</f>
        <v>1245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(B$2)*92.4</f>
        <v>92.4</v>
      </c>
      <c r="C9" s="85">
        <v>15</v>
      </c>
      <c r="D9" s="22">
        <f>(D$2)*616</f>
        <v>616</v>
      </c>
      <c r="E9" s="85">
        <v>15</v>
      </c>
      <c r="F9" s="22">
        <f>(F$2)*1155</f>
        <v>1155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(B$2)*86.4</f>
        <v>86.4</v>
      </c>
      <c r="C10" s="85">
        <v>20</v>
      </c>
      <c r="D10" s="22">
        <f>(D$2)*576</f>
        <v>576</v>
      </c>
      <c r="E10" s="85">
        <v>20</v>
      </c>
      <c r="F10" s="22">
        <f>(F$2)*1080</f>
        <v>1080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(B$2)*81.6</f>
        <v>81.599999999999994</v>
      </c>
      <c r="C11" s="85">
        <v>25</v>
      </c>
      <c r="D11" s="22">
        <f>(D$2)*544</f>
        <v>544</v>
      </c>
      <c r="E11" s="85">
        <v>25</v>
      </c>
      <c r="F11" s="22">
        <f>(F$2)*1020</f>
        <v>1020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(B$2)*78.6</f>
        <v>78.599999999999994</v>
      </c>
      <c r="C12" s="85">
        <v>30</v>
      </c>
      <c r="D12" s="22">
        <f>(D$2)*524</f>
        <v>524</v>
      </c>
      <c r="E12" s="85">
        <v>30</v>
      </c>
      <c r="F12" s="22">
        <f>(F$2)*982.5</f>
        <v>982.5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(B$2)*75.6</f>
        <v>75.599999999999994</v>
      </c>
      <c r="C13" s="85">
        <v>35</v>
      </c>
      <c r="D13" s="22">
        <f>(D$2)*504</f>
        <v>504</v>
      </c>
      <c r="E13" s="85">
        <v>35</v>
      </c>
      <c r="F13" s="22">
        <f>(F$2)*945</f>
        <v>945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(B$2)*73.8</f>
        <v>73.8</v>
      </c>
      <c r="C14" s="85">
        <v>40</v>
      </c>
      <c r="D14" s="22">
        <f>(D$2)*492</f>
        <v>492</v>
      </c>
      <c r="E14" s="85">
        <v>40</v>
      </c>
      <c r="F14" s="22">
        <f>(F$2)*922.5</f>
        <v>922.5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(B$2)*72</f>
        <v>72</v>
      </c>
      <c r="C15" s="85">
        <v>45</v>
      </c>
      <c r="D15" s="22">
        <f>(D$2)*480</f>
        <v>480</v>
      </c>
      <c r="E15" s="85">
        <v>45</v>
      </c>
      <c r="F15" s="22">
        <f>(F$2)*900</f>
        <v>900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(B$2)*70.32</f>
        <v>70.319999999999993</v>
      </c>
      <c r="C16" s="85">
        <v>50</v>
      </c>
      <c r="D16" s="22">
        <f>(D$2)*468.8</f>
        <v>468.8</v>
      </c>
      <c r="E16" s="85">
        <v>50</v>
      </c>
      <c r="F16" s="22">
        <f>(F$2)*879</f>
        <v>879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(B$2)*68.4</f>
        <v>68.400000000000006</v>
      </c>
      <c r="C17" s="85">
        <v>55</v>
      </c>
      <c r="D17" s="22">
        <f>(D$2)*456</f>
        <v>456</v>
      </c>
      <c r="E17" s="85">
        <v>55</v>
      </c>
      <c r="F17" s="22">
        <f>(F$2)*855</f>
        <v>855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(B$2)*67.2</f>
        <v>67.2</v>
      </c>
      <c r="C18" s="85">
        <v>60</v>
      </c>
      <c r="D18" s="22">
        <f>(D$2)*448</f>
        <v>448</v>
      </c>
      <c r="E18" s="85">
        <v>60</v>
      </c>
      <c r="F18" s="22">
        <f>(F$2)*840</f>
        <v>840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(B$2)*66</f>
        <v>66</v>
      </c>
      <c r="C19" s="85">
        <v>65</v>
      </c>
      <c r="D19" s="22">
        <f>(D$2)*440</f>
        <v>440</v>
      </c>
      <c r="E19" s="85">
        <v>65</v>
      </c>
      <c r="F19" s="22">
        <f>(F$2)*825</f>
        <v>825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(B$2)*64.8</f>
        <v>64.8</v>
      </c>
      <c r="C20" s="85">
        <v>70</v>
      </c>
      <c r="D20" s="22">
        <f>(D$2)*432</f>
        <v>432</v>
      </c>
      <c r="E20" s="85">
        <v>70</v>
      </c>
      <c r="F20" s="22">
        <f>(F$2)*810</f>
        <v>810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(B$2)*63.6</f>
        <v>63.6</v>
      </c>
      <c r="C21" s="85">
        <v>75</v>
      </c>
      <c r="D21" s="22">
        <f>(D$2)*424</f>
        <v>424</v>
      </c>
      <c r="E21" s="85">
        <v>75</v>
      </c>
      <c r="F21" s="22">
        <f>(F$2)*795</f>
        <v>795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(B$2)*62.4</f>
        <v>62.4</v>
      </c>
      <c r="C22" s="85">
        <v>80</v>
      </c>
      <c r="D22" s="22">
        <f>(D$2)*416</f>
        <v>416</v>
      </c>
      <c r="E22" s="85">
        <v>80</v>
      </c>
      <c r="F22" s="22">
        <f>(F$2)*780</f>
        <v>780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(B$2)*61.2</f>
        <v>61.2</v>
      </c>
      <c r="C23" s="85">
        <v>85</v>
      </c>
      <c r="D23" s="22">
        <f>(D$2)*408</f>
        <v>408</v>
      </c>
      <c r="E23" s="85">
        <v>85</v>
      </c>
      <c r="F23" s="22">
        <f>(F$2)*765</f>
        <v>765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(B$2)*60</f>
        <v>60</v>
      </c>
      <c r="C24" s="85">
        <v>90</v>
      </c>
      <c r="D24" s="22">
        <f>(D$2)*400</f>
        <v>400</v>
      </c>
      <c r="E24" s="85">
        <v>90</v>
      </c>
      <c r="F24" s="22">
        <f>(F$2)*750</f>
        <v>750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(B$2)*58.8</f>
        <v>58.8</v>
      </c>
      <c r="C25" s="85">
        <v>95</v>
      </c>
      <c r="D25" s="22">
        <f>(D$2)*392</f>
        <v>392</v>
      </c>
      <c r="E25" s="85">
        <v>95</v>
      </c>
      <c r="F25" s="22">
        <f>(F$2)*735</f>
        <v>735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(B$2)*58.2</f>
        <v>58.2</v>
      </c>
      <c r="C26" s="85">
        <v>100</v>
      </c>
      <c r="D26" s="22">
        <f>(D$2)*388</f>
        <v>388</v>
      </c>
      <c r="E26" s="85">
        <v>100</v>
      </c>
      <c r="F26" s="22">
        <f>(F$2)*727.5</f>
        <v>727.5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(B$2)*51.6</f>
        <v>51.6</v>
      </c>
      <c r="C27" s="85">
        <v>150</v>
      </c>
      <c r="D27" s="22">
        <f>(D$2)*344</f>
        <v>344</v>
      </c>
      <c r="E27" s="85">
        <v>150</v>
      </c>
      <c r="F27" s="22">
        <f>(F$2)*645</f>
        <v>645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(B$2)*46.8</f>
        <v>46.8</v>
      </c>
      <c r="C28" s="85">
        <v>200</v>
      </c>
      <c r="D28" s="22">
        <f>(D$2)*312</f>
        <v>312</v>
      </c>
      <c r="E28" s="85">
        <v>200</v>
      </c>
      <c r="F28" s="22">
        <f>(F$2)*585</f>
        <v>585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(B$2)*42.6</f>
        <v>42.6</v>
      </c>
      <c r="C29" s="85">
        <v>250</v>
      </c>
      <c r="D29" s="22">
        <f>(D$2)*284</f>
        <v>284</v>
      </c>
      <c r="E29" s="85">
        <v>250</v>
      </c>
      <c r="F29" s="22">
        <f>(F$2)*532.5</f>
        <v>532.5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(B$2)*38.4</f>
        <v>38.4</v>
      </c>
      <c r="C30" s="85">
        <v>300</v>
      </c>
      <c r="D30" s="22">
        <f>(D$2)*256</f>
        <v>256</v>
      </c>
      <c r="E30" s="85">
        <v>300</v>
      </c>
      <c r="F30" s="22">
        <f>(F$2)*480</f>
        <v>480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(B$2)*34.8</f>
        <v>34.799999999999997</v>
      </c>
      <c r="C31" s="85">
        <v>350</v>
      </c>
      <c r="D31" s="22">
        <f>(D$2)*232</f>
        <v>232</v>
      </c>
      <c r="E31" s="85">
        <v>350</v>
      </c>
      <c r="F31" s="22">
        <f>(F$2)*435</f>
        <v>435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(B$2)*31.2</f>
        <v>31.2</v>
      </c>
      <c r="C32" s="85">
        <v>400</v>
      </c>
      <c r="D32" s="22">
        <f>(D$2)*208</f>
        <v>208</v>
      </c>
      <c r="E32" s="85">
        <v>400</v>
      </c>
      <c r="F32" s="22">
        <f>(F$2)*390</f>
        <v>390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(B$2)*28.2</f>
        <v>28.2</v>
      </c>
      <c r="C33" s="85">
        <v>450</v>
      </c>
      <c r="D33" s="22">
        <f>(D$2)*188</f>
        <v>188</v>
      </c>
      <c r="E33" s="85">
        <v>450</v>
      </c>
      <c r="F33" s="22">
        <f>(F$2)*352.5</f>
        <v>352.5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(B$2)*25.2</f>
        <v>25.2</v>
      </c>
      <c r="C34" s="85">
        <v>500</v>
      </c>
      <c r="D34" s="22">
        <f>(D$2)*168</f>
        <v>168</v>
      </c>
      <c r="E34" s="85">
        <v>500</v>
      </c>
      <c r="F34" s="22">
        <f>(F$2)*315</f>
        <v>315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(B$2)*22.8</f>
        <v>22.8</v>
      </c>
      <c r="C35" s="85">
        <v>550</v>
      </c>
      <c r="D35" s="22">
        <f>(D$2)*152</f>
        <v>152</v>
      </c>
      <c r="E35" s="85">
        <v>550</v>
      </c>
      <c r="F35" s="22">
        <f>(F$2)*285</f>
        <v>285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(B$2)*20.4</f>
        <v>20.399999999999999</v>
      </c>
      <c r="C36" s="85">
        <v>600</v>
      </c>
      <c r="D36" s="22">
        <f>(D$2)*136</f>
        <v>136</v>
      </c>
      <c r="E36" s="85">
        <v>600</v>
      </c>
      <c r="F36" s="22">
        <f>(F$2)*255</f>
        <v>255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(B$2)*18</f>
        <v>18</v>
      </c>
      <c r="C37" s="85">
        <v>650</v>
      </c>
      <c r="D37" s="22">
        <f>(D$2)*120</f>
        <v>120</v>
      </c>
      <c r="E37" s="85">
        <v>650</v>
      </c>
      <c r="F37" s="22">
        <f>(F$2)*225</f>
        <v>225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(B$2)*15.84</f>
        <v>15.84</v>
      </c>
      <c r="C38" s="85">
        <v>700</v>
      </c>
      <c r="D38" s="22">
        <f>(D$2)*105.6</f>
        <v>105.6</v>
      </c>
      <c r="E38" s="85">
        <v>700</v>
      </c>
      <c r="F38" s="22">
        <f>(F$2)*198</f>
        <v>198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(B$2)*13.8</f>
        <v>13.8</v>
      </c>
      <c r="C39" s="85">
        <v>750</v>
      </c>
      <c r="D39" s="22">
        <f>(D$2)*92</f>
        <v>92</v>
      </c>
      <c r="E39" s="85">
        <v>750</v>
      </c>
      <c r="F39" s="22">
        <f>(F$2)*172.5</f>
        <v>172.5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(B$2)*12</f>
        <v>12</v>
      </c>
      <c r="C40" s="94">
        <v>800</v>
      </c>
      <c r="D40" s="24">
        <f>(D$2)*80</f>
        <v>80</v>
      </c>
      <c r="E40" s="94">
        <v>800</v>
      </c>
      <c r="F40" s="24">
        <f>(F$2)*150</f>
        <v>150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250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120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1500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HS5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 t="str">
        <f>Input!$D$30</f>
        <v>HS5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144</v>
      </c>
      <c r="N47" s="124" t="s">
        <v>229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5.75" customHeight="1" thickBot="1" x14ac:dyDescent="0.3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5.5027493389440023</v>
      </c>
      <c r="L48" s="104">
        <f>3.14*$D48/1000*$C$48/60</f>
        <v>13.470599999999999</v>
      </c>
      <c r="M48" s="17">
        <v>80</v>
      </c>
      <c r="N48" s="194"/>
      <c r="O48" s="17"/>
      <c r="P48" s="17"/>
      <c r="V48" s="282" t="s">
        <v>251</v>
      </c>
      <c r="W48" s="134"/>
      <c r="X48" s="130" t="s">
        <v>237</v>
      </c>
      <c r="Y48" s="138" t="s">
        <v>245</v>
      </c>
      <c r="Z48" s="130" t="s">
        <v>241</v>
      </c>
      <c r="AA48" s="138" t="s">
        <v>245</v>
      </c>
      <c r="AB48" s="17"/>
    </row>
    <row r="49" spans="1:28" x14ac:dyDescent="0.25">
      <c r="A49" s="140" t="s">
        <v>46</v>
      </c>
      <c r="B49" s="172" t="s">
        <v>30</v>
      </c>
      <c r="C49" s="141">
        <v>3900</v>
      </c>
      <c r="D49" s="173">
        <v>66</v>
      </c>
      <c r="E49" s="141">
        <v>0.8</v>
      </c>
      <c r="F49" s="141">
        <f>1000</f>
        <v>1000</v>
      </c>
      <c r="G49" s="141">
        <v>50</v>
      </c>
      <c r="H49" s="147">
        <f t="shared" ref="H49:H53" si="2">$E49*$F49*($C49/60)^3*($D49/1000)^5</f>
        <v>275.1374669472001</v>
      </c>
      <c r="I49" s="170">
        <v>1.1000000000000001</v>
      </c>
      <c r="J49" s="145">
        <f t="shared" si="0"/>
        <v>0.67366350560995225</v>
      </c>
      <c r="K49" s="143">
        <f t="shared" si="1"/>
        <v>5.5027493389440023</v>
      </c>
      <c r="L49" s="145">
        <f t="shared" ref="L49:L53" si="3">3.14*$D49/1000*$C$48/60</f>
        <v>13.470599999999999</v>
      </c>
      <c r="M49" s="140">
        <v>80</v>
      </c>
      <c r="N49" s="194"/>
      <c r="O49" s="17"/>
      <c r="P49" s="17"/>
      <c r="V49" s="282"/>
      <c r="W49" s="131" t="s">
        <v>47</v>
      </c>
      <c r="X49" s="149" cm="1">
        <f t="array" ref="X49">IF($B$45=0,
IF($B$44="N/A","N/A",IF(Input!$D$14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$D$14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3900</v>
      </c>
      <c r="Y49" s="49" t="s">
        <v>242</v>
      </c>
      <c r="Z49" s="149">
        <f>$X$49</f>
        <v>3900</v>
      </c>
      <c r="AA49" s="152" t="s">
        <v>242</v>
      </c>
      <c r="AB49" s="17"/>
    </row>
    <row r="50" spans="1:28" x14ac:dyDescent="0.25">
      <c r="B50" s="3" t="s">
        <v>31</v>
      </c>
      <c r="C50" s="35">
        <v>3900</v>
      </c>
      <c r="D50" s="93">
        <v>105</v>
      </c>
      <c r="E50" s="3">
        <v>0.5</v>
      </c>
      <c r="F50" s="3">
        <f>IF($B$44=$B50,Input!$D$14,IF($B$45=$B50,Input!$D$14,1000))</f>
        <v>1000</v>
      </c>
      <c r="G50" s="3">
        <f>IF($B$44=$B50,Input!$D$12,850)</f>
        <v>500</v>
      </c>
      <c r="H50" s="42">
        <f t="shared" si="2"/>
        <v>1752.4941205078119</v>
      </c>
      <c r="I50" s="41">
        <v>7.8</v>
      </c>
      <c r="J50" s="42">
        <f t="shared" si="0"/>
        <v>4.2909144504433581</v>
      </c>
      <c r="K50" s="102">
        <f t="shared" si="1"/>
        <v>3.5049882410156239</v>
      </c>
      <c r="L50" s="104">
        <f t="shared" si="3"/>
        <v>21.430499999999999</v>
      </c>
      <c r="M50" s="17">
        <v>114</v>
      </c>
      <c r="N50" s="194"/>
      <c r="O50" s="17"/>
      <c r="P50" s="17"/>
      <c r="V50" s="282"/>
      <c r="W50" s="132" t="s">
        <v>8</v>
      </c>
      <c r="X50" s="155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3.5049882410156239</v>
      </c>
      <c r="Y50" s="85" t="s">
        <v>9</v>
      </c>
      <c r="Z50" s="150">
        <f>IF($X$50="N/A",
           "N/A",
             $X$50/0.264172)</f>
        <v>13.267826419967383</v>
      </c>
      <c r="AA50" s="136" t="s">
        <v>243</v>
      </c>
      <c r="AB50" s="17"/>
    </row>
    <row r="51" spans="1:28" x14ac:dyDescent="0.25">
      <c r="A51" s="140" t="s">
        <v>46</v>
      </c>
      <c r="B51" s="172" t="s">
        <v>31</v>
      </c>
      <c r="C51" s="141">
        <v>3900</v>
      </c>
      <c r="D51" s="173">
        <v>105</v>
      </c>
      <c r="E51" s="141">
        <v>0.5</v>
      </c>
      <c r="F51" s="141">
        <f>1000</f>
        <v>1000</v>
      </c>
      <c r="G51" s="141">
        <v>850</v>
      </c>
      <c r="H51" s="147">
        <f t="shared" si="2"/>
        <v>1752.4941205078119</v>
      </c>
      <c r="I51" s="144">
        <v>7.8</v>
      </c>
      <c r="J51" s="147">
        <f t="shared" si="0"/>
        <v>4.2909144504433581</v>
      </c>
      <c r="K51" s="143">
        <f t="shared" si="1"/>
        <v>2.0617577888327197</v>
      </c>
      <c r="L51" s="145">
        <f t="shared" si="3"/>
        <v>21.430499999999999</v>
      </c>
      <c r="M51" s="140">
        <v>114</v>
      </c>
      <c r="N51" s="194"/>
      <c r="O51" s="17"/>
      <c r="P51" s="17"/>
      <c r="V51" s="282"/>
      <c r="W51" s="132" t="s">
        <v>10</v>
      </c>
      <c r="X51" s="154">
        <f>IF($B$45=0,
IF($X$49=$B$44,"N/A",3.14*VLOOKUP($B$44,$B$48:$N$53,3,FALSE)/1000*$X$49/60),
3.14*VLOOKUP($B$45,$B$48:$N$53,3,FALSE)/1000*$X$49/60)</f>
        <v>21.430499999999999</v>
      </c>
      <c r="Y51" s="136" t="s">
        <v>11</v>
      </c>
      <c r="Z51" s="151">
        <f>IF($X$51="N/A",
           "N/A",
             $X$51*196.85)</f>
        <v>4218.5939249999992</v>
      </c>
      <c r="AA51" s="136" t="s">
        <v>244</v>
      </c>
      <c r="AB51" s="17"/>
    </row>
    <row r="52" spans="1:28" ht="45" x14ac:dyDescent="0.25">
      <c r="B52" s="3" t="s">
        <v>32</v>
      </c>
      <c r="C52" s="35">
        <v>3500</v>
      </c>
      <c r="D52" s="93">
        <v>139</v>
      </c>
      <c r="E52" s="3">
        <v>0.7</v>
      </c>
      <c r="F52" s="3">
        <f>IF($B$44=$B52,Input!$D$14,IF($B$45=$B52,Input!$D$14,1000))</f>
        <v>1000</v>
      </c>
      <c r="G52" s="3">
        <f>IF($B$44=$B52,Input!$D$12,2000)</f>
        <v>2000</v>
      </c>
      <c r="H52" s="42">
        <f t="shared" si="2"/>
        <v>7209.7868126330495</v>
      </c>
      <c r="I52" s="41">
        <v>26</v>
      </c>
      <c r="J52" s="42">
        <f t="shared" si="0"/>
        <v>19.670358363952285</v>
      </c>
      <c r="K52" s="102">
        <f t="shared" si="1"/>
        <v>3.6048934063165246</v>
      </c>
      <c r="L52" s="104">
        <f t="shared" si="3"/>
        <v>28.369899999999998</v>
      </c>
      <c r="M52" s="17">
        <v>160</v>
      </c>
      <c r="N52" s="194"/>
      <c r="O52" s="17"/>
      <c r="P52" s="17"/>
      <c r="V52" s="282"/>
      <c r="W52" s="191" t="s">
        <v>388</v>
      </c>
      <c r="X52" s="243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0,
IF(AND(OR((ROUND(MOD($X$62,1)*60,-1))=60,(ROUND(MOD($X$62,1)*60,-1))=0),ROUND($X$62,0)&gt;=1),
                                            ROUND($X$62,0),
                                            IF(AND(ROUND($X$62,1)&lt;1,ROUND(MOD($X$62,1)*60,-1)&lt;&gt;0),
                                            ROUND(MOD($X$62,1)*60,-1)/60,
                                            (($X$62-MOD($X$62,1))+(ROUND(MOD($X$62,1)*60,-1)/60))))))</f>
        <v>N/A</v>
      </c>
      <c r="Y52" s="17" t="s">
        <v>268</v>
      </c>
      <c r="Z52" s="244" t="str">
        <f>$X$52</f>
        <v>N/A</v>
      </c>
      <c r="AA52" s="27"/>
      <c r="AB52" s="17"/>
    </row>
    <row r="53" spans="1:28" ht="15" customHeight="1" x14ac:dyDescent="0.25">
      <c r="A53" s="140" t="s">
        <v>46</v>
      </c>
      <c r="B53" s="172" t="s">
        <v>32</v>
      </c>
      <c r="C53" s="165">
        <v>3500</v>
      </c>
      <c r="D53" s="173">
        <v>139</v>
      </c>
      <c r="E53" s="140">
        <v>0.7</v>
      </c>
      <c r="F53" s="165">
        <f>1000</f>
        <v>1000</v>
      </c>
      <c r="G53" s="165">
        <v>2000</v>
      </c>
      <c r="H53" s="147">
        <f t="shared" si="2"/>
        <v>7209.7868126330495</v>
      </c>
      <c r="I53" s="167">
        <v>26</v>
      </c>
      <c r="J53" s="168">
        <f t="shared" si="0"/>
        <v>19.670358363952285</v>
      </c>
      <c r="K53" s="169">
        <f t="shared" si="1"/>
        <v>3.6048934063165246</v>
      </c>
      <c r="L53" s="145">
        <f t="shared" si="3"/>
        <v>28.369899999999998</v>
      </c>
      <c r="M53" s="140">
        <v>160</v>
      </c>
      <c r="N53" s="194"/>
      <c r="O53" s="17"/>
      <c r="P53" s="17"/>
      <c r="V53" s="282"/>
      <c r="W53" s="191" t="s">
        <v>389</v>
      </c>
      <c r="X53" s="243" t="str">
        <f>IF(OR($X$60=0,$X$60="N/A"),
         "N/A",
          (IF(AND(OR((ROUND(MOD($X$63,1)*60,-1))=60,(ROUND(MOD($X$63,1)*60,-1))=0),ROUND($X$63,0)&gt;=1),
                                            ROUND($X$63,0),
                                            IF(AND(ROUND($X$63,1)&lt;1,(ROUND(MOD($X$63,1)*60,-1))&lt;&gt;0),
                                            ROUND(MOD($X$63,1)*60,-1)/60,
                                            (($X$63-MOD($X$63,1))+ROUND(MOD($X$63,1)*60,-1)/60)))))</f>
        <v>N/A</v>
      </c>
      <c r="Y53" s="17" t="s">
        <v>268</v>
      </c>
      <c r="Z53" s="244" t="str">
        <f>$X$53</f>
        <v>N/A</v>
      </c>
      <c r="AA53" s="27"/>
      <c r="AB53" s="17"/>
    </row>
    <row r="54" spans="1:28" ht="45.75" thickBo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82"/>
      <c r="W54" s="153" t="s">
        <v>257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",ROUND(MOD($X$62,1)*60,-1),"s"))))=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",ROUND(MOD($X$63,1)*60,-1),"s")))="0min 0s",0,
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CONCATENATE(
               IF(IF(AND(OR((ROUND(MOD($X$62,1)*60,-1))=60,(ROUND(MOD($X$62,1)*60,-1))=0),ROUND($X$62,0)&gt;=1),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")))="0min 0s - ","",
         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5" t="str">
        <f>$X$54</f>
        <v>N/A</v>
      </c>
      <c r="AA54" s="29"/>
      <c r="AB54" s="17"/>
    </row>
    <row r="55" spans="1:2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82" t="s">
        <v>249</v>
      </c>
      <c r="W55" s="131" t="s">
        <v>252</v>
      </c>
      <c r="X55" s="185">
        <f>IF(Input!$E$30=0,$X$49,Input!$E$30)</f>
        <v>3900</v>
      </c>
      <c r="Y55" s="85" t="s">
        <v>242</v>
      </c>
      <c r="Z55" s="186">
        <f>$X$55</f>
        <v>3900</v>
      </c>
      <c r="AA55" s="136" t="s">
        <v>242</v>
      </c>
      <c r="AB55" s="17"/>
    </row>
    <row r="56" spans="1:28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82"/>
      <c r="W56" s="132" t="s">
        <v>8</v>
      </c>
      <c r="X56" s="179">
        <f>IF($B$45=0,
IF($B$44=$X$49,"N/A",(VLOOKUP($B$44,$B$48:$N$53,4,FALSE)*Input!$D$14*($X$55/60)^3*(((VLOOKUP($B$44,$B$48:$N$53,3,FALSE))/1000)^5)/Input!$D$12)),
(VLOOKUP($B$45,$B$48:$N$53,4,FALSE)*Input!$D$14*($X$55/60)^3*(((VLOOKUP($B$45,$B$48:$N$53,3,FALSE))/1000)^5)/Input!$D$12))</f>
        <v>3.5049882410156239</v>
      </c>
      <c r="Y56" s="85" t="s">
        <v>9</v>
      </c>
      <c r="Z56" s="182">
        <f>IF($X$56="N/A",
           "N/A",
             $X$56/0.264172)</f>
        <v>13.267826419967383</v>
      </c>
      <c r="AA56" s="136" t="s">
        <v>243</v>
      </c>
      <c r="AB56" s="17"/>
    </row>
    <row r="57" spans="1:2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282"/>
      <c r="W57" s="132" t="s">
        <v>253</v>
      </c>
      <c r="X57" s="180">
        <f>IF($B$45=0,
IF($X$49=$B$44,"N/A",3.14*VLOOKUP($B$44,$B$48:$N$53,3,FALSE)/1000*$X$55/60),
3.14*VLOOKUP($B$45,$B$48:$N$53,3,FALSE)/1000*$X$55/60)</f>
        <v>21.430499999999999</v>
      </c>
      <c r="Y57" s="136" t="s">
        <v>11</v>
      </c>
      <c r="Z57" s="183">
        <f>IF($X$57="N/A",
           "N/A",
            $X$57*196.85)</f>
        <v>4218.5939249999992</v>
      </c>
      <c r="AA57" s="136" t="s">
        <v>244</v>
      </c>
      <c r="AB57" s="17"/>
    </row>
    <row r="58" spans="1:28" ht="45.75" thickBo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282"/>
      <c r="W58" s="153" t="s">
        <v>258</v>
      </c>
      <c r="X58" s="181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268</v>
      </c>
      <c r="Z58" s="246" t="str">
        <f>$X$58</f>
        <v>N/A</v>
      </c>
      <c r="AA58" s="94" t="s">
        <v>268</v>
      </c>
      <c r="AB58" s="17"/>
    </row>
    <row r="59" spans="1:2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7" t="s">
        <v>228</v>
      </c>
      <c r="X59" s="157">
        <v>0.5</v>
      </c>
      <c r="Y59" s="157"/>
      <c r="Z59" s="157"/>
      <c r="AA59" s="157"/>
      <c r="AB59" s="17"/>
    </row>
    <row r="60" spans="1:2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87"/>
      <c r="K60" s="17"/>
      <c r="L60" s="88"/>
      <c r="M60" s="17"/>
      <c r="N60" s="17"/>
      <c r="O60" s="17"/>
      <c r="P60" s="17"/>
      <c r="V60" s="17"/>
      <c r="W60" s="157" t="s">
        <v>255</v>
      </c>
      <c r="X60" s="157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0</v>
      </c>
      <c r="Y60" s="157"/>
      <c r="Z60" s="157"/>
      <c r="AA60" s="15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86"/>
      <c r="K61" s="17"/>
      <c r="L61" s="46"/>
      <c r="M61" s="17"/>
      <c r="N61" s="17"/>
      <c r="O61" s="17"/>
      <c r="P61" s="17"/>
      <c r="V61" s="17"/>
      <c r="W61" s="157" t="s">
        <v>256</v>
      </c>
      <c r="X61" s="157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7"/>
      <c r="Z61" s="157"/>
      <c r="AA61" s="157"/>
      <c r="AB61" s="17"/>
    </row>
    <row r="62" spans="1:28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57" t="s">
        <v>383</v>
      </c>
      <c r="X62" s="242" t="str">
        <f>IF(OR($X$60=0,AND($B$45=0,$B$44="N/A")),
          "N/A",
           Input!$D$12/$X$60*3)</f>
        <v>N/A</v>
      </c>
      <c r="Y62" s="157"/>
      <c r="Z62" s="157"/>
      <c r="AA62" s="15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87"/>
      <c r="K63" s="17"/>
      <c r="L63" s="163"/>
      <c r="M63" s="17"/>
      <c r="N63" s="17"/>
      <c r="O63" s="17"/>
      <c r="P63" s="17"/>
      <c r="V63" s="17"/>
      <c r="W63" s="157" t="s">
        <v>384</v>
      </c>
      <c r="X63" s="242" t="str">
        <f>IF(OR($X$60=0,AND($B$45=0,$B$44="N/A")),
          "N/A",
            Input!$D$12/$X$60*5)</f>
        <v>N/A</v>
      </c>
      <c r="Y63" s="157"/>
      <c r="Z63" s="157"/>
      <c r="AA63" s="15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86"/>
      <c r="K64" s="17"/>
      <c r="L64" s="46"/>
      <c r="M64" s="17"/>
      <c r="N64" s="17"/>
      <c r="O64" s="17"/>
      <c r="P64" s="17"/>
      <c r="V64" s="17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V65" s="17"/>
      <c r="W65" s="85"/>
      <c r="X65" s="283" t="s">
        <v>247</v>
      </c>
      <c r="Y65" s="284"/>
      <c r="Z65" s="17"/>
      <c r="AA65" s="17"/>
      <c r="AB65" s="17"/>
    </row>
    <row r="66" spans="1:28" ht="30.75" thickBo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V66" s="17"/>
      <c r="W66" s="158" t="str">
        <f>CONCATENATE("Tank Turnovers at ",Input!D15,"cP")</f>
        <v>Tank Turnovers at 1cP</v>
      </c>
      <c r="X66" s="133" t="s">
        <v>254</v>
      </c>
      <c r="Y66" s="135" t="s">
        <v>249</v>
      </c>
      <c r="Z66" s="135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V67" s="17"/>
      <c r="W67" s="159">
        <v>0</v>
      </c>
      <c r="X67" s="160" t="str">
        <f>IF(OR($X$60=0,$X$60="N/A"),
           "N/A",
             Input!$D$12/$X$60*$W67)</f>
        <v>N/A</v>
      </c>
      <c r="Y67" s="187" t="str">
        <f>IF(OR($X$61=0,$X$61="N/A"),
           "N/A",
             Input!$D$12/$X$61*$W67)</f>
        <v>N/A</v>
      </c>
      <c r="Z67" s="88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88"/>
      <c r="M68" s="17"/>
      <c r="N68" s="17"/>
      <c r="O68" s="17"/>
      <c r="P68" s="17"/>
      <c r="V68" s="17"/>
      <c r="W68" s="159">
        <v>1</v>
      </c>
      <c r="X68" s="160" t="str">
        <f>IF(OR($X$60=0,$X$60="N/A"),
           "N/A",
             Input!$D$12/$X$60*$W68)</f>
        <v>N/A</v>
      </c>
      <c r="Y68" s="187" t="str">
        <f>IF(OR($X$61=0,$X$61="N/A"),
           "N/A",
             Input!$D$12/$X$61*$W68)</f>
        <v>N/A</v>
      </c>
      <c r="Z68" s="46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V69" s="17"/>
      <c r="W69" s="159">
        <v>2</v>
      </c>
      <c r="X69" s="160" t="str">
        <f>IF(OR($X$60=0,$X$60="N/A"),
           "N/A",
             Input!$D$12/$X$60*$W69)</f>
        <v>N/A</v>
      </c>
      <c r="Y69" s="187" t="str">
        <f>IF(OR($X$61=0,$X$61="N/A"),
           "N/A",
             Input!$D$12/$X$61*$W69)</f>
        <v>N/A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59">
        <v>3</v>
      </c>
      <c r="X70" s="160" t="str">
        <f>IF(OR($X$60=0,$X$60="N/A"),
           "N/A",
             Input!$D$12/$X$60*$W70)</f>
        <v>N/A</v>
      </c>
      <c r="Y70" s="187" t="str">
        <f>IF(OR($X$61=0,$X$61="N/A"),
           "N/A",
             Input!$D$12/$X$61*$W70)</f>
        <v>N/A</v>
      </c>
      <c r="Z70" s="88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88"/>
      <c r="K71" s="17"/>
      <c r="L71" s="88"/>
      <c r="M71" s="17"/>
      <c r="N71" s="17"/>
      <c r="O71" s="17"/>
      <c r="P71" s="17"/>
      <c r="V71" s="17"/>
      <c r="W71" s="159">
        <v>4</v>
      </c>
      <c r="X71" s="160" t="str">
        <f>IF(OR($X$60=0,$X$60="N/A"),
           "N/A",
             Input!$D$12/$X$60*$W71)</f>
        <v>N/A</v>
      </c>
      <c r="Y71" s="187" t="str">
        <f>IF(OR($X$61=0,$X$61="N/A"),
           "N/A",
             Input!$D$12/$X$61*$W71)</f>
        <v>N/A</v>
      </c>
      <c r="Z71" s="46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86"/>
      <c r="K72" s="17"/>
      <c r="L72" s="46"/>
      <c r="M72" s="17"/>
      <c r="N72" s="17"/>
      <c r="O72" s="17"/>
      <c r="P72" s="17"/>
      <c r="V72" s="17"/>
      <c r="W72" s="159">
        <v>5</v>
      </c>
      <c r="X72" s="160" t="str">
        <f>IF(OR($X$60=0,$X$60="N/A"),
           "N/A",
             Input!$D$12/$X$60*$W72)</f>
        <v>N/A</v>
      </c>
      <c r="Y72" s="187" t="str">
        <f>IF(OR($X$61=0,$X$61="N/A"),
           "N/A",
             Input!$D$12/$X$61*$W72)</f>
        <v>N/A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59">
        <v>6</v>
      </c>
      <c r="X73" s="160" t="str">
        <f>IF(OR($X$60=0,$X$60="N/A"),
           "N/A",
             Input!$D$12/$X$60*$W73)</f>
        <v>N/A</v>
      </c>
      <c r="Y73" s="187" t="str">
        <f>IF(OR($X$61=0,$X$61="N/A"),
           "N/A",
             Input!$D$12/$X$61*$W73)</f>
        <v>N/A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9">
        <v>7</v>
      </c>
      <c r="X74" s="160" t="str">
        <f>IF(OR($X$60=0,$X$60="N/A"),
           "N/A",
             Input!$D$12/$X$60*$W74)</f>
        <v>N/A</v>
      </c>
      <c r="Y74" s="187" t="str">
        <f>IF(OR($X$61=0,$X$61="N/A"),
           "N/A",
             Input!$D$12/$X$61*$W74)</f>
        <v>N/A</v>
      </c>
      <c r="Z74" s="17"/>
      <c r="AA74" s="17"/>
      <c r="AB74" s="17"/>
    </row>
    <row r="75" spans="1:2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59">
        <v>8</v>
      </c>
      <c r="X75" s="160" t="str">
        <f>IF(OR($X$60=0,$X$60="N/A"),
           "N/A",
             Input!$D$12/$X$60*$W75)</f>
        <v>N/A</v>
      </c>
      <c r="Y75" s="187" t="str">
        <f>IF(OR($X$61=0,$X$61="N/A"),
           "N/A",
             Input!$D$12/$X$61*$W75)</f>
        <v>N/A</v>
      </c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247"/>
      <c r="K76" s="17"/>
      <c r="L76" s="46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9">
        <v>9</v>
      </c>
      <c r="X76" s="160" t="str">
        <f>IF(OR($X$60=0,$X$60="N/A"),
           "N/A",
             Input!$D$12/$X$60*$W76)</f>
        <v>N/A</v>
      </c>
      <c r="Y76" s="187" t="str">
        <f>IF(OR($X$61=0,$X$61="N/A"),
           "N/A",
             Input!$D$12/$X$61*$W76)</f>
        <v>N/A</v>
      </c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87"/>
      <c r="K77" s="17"/>
      <c r="L77" s="86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9">
        <v>10</v>
      </c>
      <c r="X77" s="160" t="str">
        <f>IF(OR($X$60=0,$X$60="N/A"),
           "N/A",
             Input!$D$12/$X$60*$W77)</f>
        <v>N/A</v>
      </c>
      <c r="Y77" s="187" t="str">
        <f>IF(OR($X$61=0,$X$61="N/A"),
           "N/A",
             Input!$D$12/$X$61*$W77)</f>
        <v>N/A</v>
      </c>
      <c r="Z77" s="17"/>
      <c r="AA77" s="17"/>
      <c r="AB77" s="17"/>
    </row>
    <row r="78" spans="1:2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x14ac:dyDescent="0.25">
      <c r="J79" s="83"/>
      <c r="L79" s="83"/>
    </row>
  </sheetData>
  <sortState xmlns:xlrd2="http://schemas.microsoft.com/office/spreadsheetml/2017/richdata2" ref="F6:F40">
    <sortCondition descending="1" ref="F6:F40"/>
  </sortState>
  <mergeCells count="6">
    <mergeCell ref="X65:Y65"/>
    <mergeCell ref="B2:C2"/>
    <mergeCell ref="D2:E2"/>
    <mergeCell ref="F2:G2"/>
    <mergeCell ref="V55:V58"/>
    <mergeCell ref="V48:V54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2"/>
  <sheetViews>
    <sheetView topLeftCell="A38" workbookViewId="0">
      <selection activeCell="X54" sqref="X54"/>
    </sheetView>
  </sheetViews>
  <sheetFormatPr defaultRowHeight="15" x14ac:dyDescent="0.25"/>
  <cols>
    <col min="1" max="1" width="20.28515625" bestFit="1" customWidth="1"/>
    <col min="12" max="12" width="15" bestFit="1" customWidth="1"/>
    <col min="14" max="14" width="13.5703125" customWidth="1"/>
    <col min="17" max="17" width="0" hidden="1" customWidth="1"/>
    <col min="18" max="18" width="18.85546875" hidden="1" customWidth="1"/>
    <col min="19" max="21" width="0" hidden="1" customWidth="1"/>
    <col min="23" max="23" width="20.140625" customWidth="1"/>
    <col min="24" max="24" width="9.85546875" bestFit="1" customWidth="1"/>
    <col min="25" max="25" width="10.85546875" customWidth="1"/>
    <col min="29" max="29" width="9.85546875" bestFit="1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85">
        <f>IF(Input!$D$13="Gentle",1.2,IF(Input!$D$13="Vigorous", 0.8,1))</f>
        <v>1</v>
      </c>
      <c r="C2" s="286"/>
      <c r="D2" s="285">
        <f>IF(Input!$D$13="Gentle",1.2,IF(Input!$D$13="Vigorous", 0.8,1))</f>
        <v>1</v>
      </c>
      <c r="E2" s="28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25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x14ac:dyDescent="0.25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2">
        <f>(B$2)*250</f>
        <v>250</v>
      </c>
      <c r="C6" s="85">
        <v>1</v>
      </c>
      <c r="D6" s="50">
        <f>(D$2)*3000</f>
        <v>3000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(B$2)*227.5</f>
        <v>227.5</v>
      </c>
      <c r="C7" s="85">
        <v>5</v>
      </c>
      <c r="D7" s="50">
        <f>(D$2)*2730</f>
        <v>2730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(B$2)*207.5</f>
        <v>207.5</v>
      </c>
      <c r="C8" s="85">
        <v>10</v>
      </c>
      <c r="D8" s="50">
        <f>(D$2)*2490</f>
        <v>2490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(B$2)*192.5</f>
        <v>192.5</v>
      </c>
      <c r="C9" s="85">
        <v>15</v>
      </c>
      <c r="D9" s="50">
        <f>(D$2)*2310</f>
        <v>2310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(B$2)*180</f>
        <v>180</v>
      </c>
      <c r="C10" s="85">
        <v>20</v>
      </c>
      <c r="D10" s="50">
        <f>(D$2)*2160</f>
        <v>2160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(B$2)*170</f>
        <v>170</v>
      </c>
      <c r="C11" s="85">
        <v>25</v>
      </c>
      <c r="D11" s="50">
        <f>(D$2)*2040</f>
        <v>2040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(B$2)*163.75</f>
        <v>163.75</v>
      </c>
      <c r="C12" s="85">
        <v>30</v>
      </c>
      <c r="D12" s="50">
        <f>(D$2)*1965</f>
        <v>1965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(B$2)*157.5</f>
        <v>157.5</v>
      </c>
      <c r="C13" s="85">
        <v>35</v>
      </c>
      <c r="D13" s="50">
        <f>(D$2)*1890</f>
        <v>1890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(B$2)*153.75</f>
        <v>153.75</v>
      </c>
      <c r="C14" s="85">
        <v>40</v>
      </c>
      <c r="D14" s="50">
        <f>(D$2)*1845</f>
        <v>1845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(B$2)*150</f>
        <v>150</v>
      </c>
      <c r="C15" s="85">
        <v>45</v>
      </c>
      <c r="D15" s="50">
        <f>(D$2)*1800</f>
        <v>1800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(B$2)*146.5</f>
        <v>146.5</v>
      </c>
      <c r="C16" s="85">
        <v>50</v>
      </c>
      <c r="D16" s="50">
        <f>(D$2)*1758</f>
        <v>1758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(B$2)*142.5</f>
        <v>142.5</v>
      </c>
      <c r="C17" s="85">
        <v>55</v>
      </c>
      <c r="D17" s="50">
        <f>(D$2)*1710</f>
        <v>1710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(B$2)*140</f>
        <v>140</v>
      </c>
      <c r="C18" s="85">
        <v>60</v>
      </c>
      <c r="D18" s="50">
        <f>(D$2)*1680</f>
        <v>1680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(B$2)*137.5</f>
        <v>137.5</v>
      </c>
      <c r="C19" s="85">
        <v>65</v>
      </c>
      <c r="D19" s="50">
        <f>(D$2)*1650</f>
        <v>1650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(B$2)*135</f>
        <v>135</v>
      </c>
      <c r="C20" s="85">
        <v>70</v>
      </c>
      <c r="D20" s="50">
        <f>(D$2)*1620</f>
        <v>1620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(B$2)*132.5</f>
        <v>132.5</v>
      </c>
      <c r="C21" s="85">
        <v>75</v>
      </c>
      <c r="D21" s="50">
        <f>(D$2)*1590</f>
        <v>1590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(B$2)*130</f>
        <v>130</v>
      </c>
      <c r="C22" s="85">
        <v>80</v>
      </c>
      <c r="D22" s="50">
        <f>(D$2)*1560</f>
        <v>1560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(B$2)*127.5</f>
        <v>127.5</v>
      </c>
      <c r="C23" s="85">
        <v>85</v>
      </c>
      <c r="D23" s="50">
        <f>(D$2)*1530</f>
        <v>1530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(B$2)*125</f>
        <v>125</v>
      </c>
      <c r="C24" s="85">
        <v>90</v>
      </c>
      <c r="D24" s="50">
        <f>(D$2)*1500</f>
        <v>1500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(B$2)*122.5</f>
        <v>122.5</v>
      </c>
      <c r="C25" s="85">
        <v>95</v>
      </c>
      <c r="D25" s="50">
        <f>(D$2)*1470</f>
        <v>1470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(B$2)*121.25</f>
        <v>121.25</v>
      </c>
      <c r="C26" s="85">
        <v>100</v>
      </c>
      <c r="D26" s="50">
        <f>(D$2)*1455</f>
        <v>1455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(B$2)*107.5</f>
        <v>107.5</v>
      </c>
      <c r="C27" s="85">
        <v>150</v>
      </c>
      <c r="D27" s="50">
        <f>(D$2)*1290</f>
        <v>1290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(B$2)*97.5</f>
        <v>97.5</v>
      </c>
      <c r="C28" s="85">
        <v>200</v>
      </c>
      <c r="D28" s="50">
        <f>(D$2)*1170</f>
        <v>1170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(B$2)*88.75</f>
        <v>88.75</v>
      </c>
      <c r="C29" s="85">
        <v>250</v>
      </c>
      <c r="D29" s="50">
        <f>(D$2)*1065</f>
        <v>1065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(B$2)*80</f>
        <v>80</v>
      </c>
      <c r="C30" s="85">
        <v>300</v>
      </c>
      <c r="D30" s="50">
        <f>(D$2)*960</f>
        <v>960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(B$2)*72.5</f>
        <v>72.5</v>
      </c>
      <c r="C31" s="85">
        <v>350</v>
      </c>
      <c r="D31" s="50">
        <f>(D$2)*870</f>
        <v>870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(B$2)*65</f>
        <v>65</v>
      </c>
      <c r="C32" s="85">
        <v>400</v>
      </c>
      <c r="D32" s="50">
        <f>(D$2)*780</f>
        <v>780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(B$2)*58.75</f>
        <v>58.75</v>
      </c>
      <c r="C33" s="85">
        <v>450</v>
      </c>
      <c r="D33" s="50">
        <f>(D$2)*705</f>
        <v>705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(B$2)*52.5</f>
        <v>52.5</v>
      </c>
      <c r="C34" s="85">
        <v>500</v>
      </c>
      <c r="D34" s="50">
        <f>(D$2)*630</f>
        <v>630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(B$2)*47.5</f>
        <v>47.5</v>
      </c>
      <c r="C35" s="85">
        <v>550</v>
      </c>
      <c r="D35" s="50">
        <f>(D$2)*570</f>
        <v>570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(B$2)*42.5</f>
        <v>42.5</v>
      </c>
      <c r="C36" s="85">
        <v>600</v>
      </c>
      <c r="D36" s="50">
        <f>(D$2)*510</f>
        <v>510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(B$2)*37.5</f>
        <v>37.5</v>
      </c>
      <c r="C37" s="85">
        <v>650</v>
      </c>
      <c r="D37" s="50">
        <f>(D$2)*450</f>
        <v>450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(B$2)*33</f>
        <v>33</v>
      </c>
      <c r="C38" s="85">
        <v>700</v>
      </c>
      <c r="D38" s="50">
        <f>(D$2)*396</f>
        <v>396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(B$2)*28.75</f>
        <v>28.75</v>
      </c>
      <c r="C39" s="85">
        <v>750</v>
      </c>
      <c r="D39" s="50">
        <f>(D$2)*345</f>
        <v>345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(B$2)*25</f>
        <v>25</v>
      </c>
      <c r="C40" s="94">
        <v>800</v>
      </c>
      <c r="D40" s="51">
        <f>(D$2)*300</f>
        <v>300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250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250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IF($D$41&lt;Input!D12,"N/A",IF(Input!D12&lt;=$B$41,$B$5,IF(Input!D12&lt;=$D$41,$D$5,)))</f>
        <v>ZF160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 t="str">
        <f>Input!$D$31</f>
        <v>ZF160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0.75" thickBot="1" x14ac:dyDescent="0.3">
      <c r="A47" s="17"/>
      <c r="B47" s="176" t="s">
        <v>36</v>
      </c>
      <c r="C47" s="176" t="s">
        <v>37</v>
      </c>
      <c r="D47" s="101" t="s">
        <v>38</v>
      </c>
      <c r="E47" s="176" t="s">
        <v>120</v>
      </c>
      <c r="F47" s="176" t="s">
        <v>39</v>
      </c>
      <c r="G47" s="176" t="s">
        <v>40</v>
      </c>
      <c r="H47" s="176" t="s">
        <v>41</v>
      </c>
      <c r="I47" s="177" t="s">
        <v>42</v>
      </c>
      <c r="J47" s="177" t="s">
        <v>43</v>
      </c>
      <c r="K47" s="176" t="s">
        <v>44</v>
      </c>
      <c r="L47" s="176" t="s">
        <v>45</v>
      </c>
      <c r="M47" s="176" t="s">
        <v>144</v>
      </c>
      <c r="N47" s="124" t="s">
        <v>229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 x14ac:dyDescent="0.3">
      <c r="B48" s="3" t="s">
        <v>33</v>
      </c>
      <c r="C48" s="35">
        <v>350</v>
      </c>
      <c r="D48" s="93">
        <v>140</v>
      </c>
      <c r="E48" s="3">
        <v>2.4</v>
      </c>
      <c r="F48" s="3">
        <f>IF($B$44=$B48,Input!$D$14,IF($B$45=$B48,Input!$D$14,1000))</f>
        <v>1000</v>
      </c>
      <c r="G48" s="3">
        <f>IF($B$44=$B48,Input!$D$12,250)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/>
      <c r="O48" s="17"/>
      <c r="P48" s="17"/>
      <c r="V48" s="282" t="s">
        <v>251</v>
      </c>
      <c r="W48" s="134"/>
      <c r="X48" s="130" t="s">
        <v>237</v>
      </c>
      <c r="Y48" s="138" t="s">
        <v>245</v>
      </c>
      <c r="Z48" s="130" t="s">
        <v>241</v>
      </c>
      <c r="AA48" s="138" t="s">
        <v>245</v>
      </c>
      <c r="AB48" s="17"/>
    </row>
    <row r="49" spans="1:28" x14ac:dyDescent="0.25">
      <c r="A49" s="140" t="s">
        <v>46</v>
      </c>
      <c r="B49" s="141" t="s">
        <v>33</v>
      </c>
      <c r="C49" s="141">
        <v>350</v>
      </c>
      <c r="D49" s="142">
        <v>140</v>
      </c>
      <c r="E49" s="141">
        <v>2.4</v>
      </c>
      <c r="F49" s="141">
        <f>1000</f>
        <v>1000</v>
      </c>
      <c r="G49" s="141">
        <v>250</v>
      </c>
      <c r="H49" s="147">
        <f t="shared" ref="H49:H51" si="2">$E49*$F49*($C49/60)^3*($D49/1000)^5</f>
        <v>25.621337777777779</v>
      </c>
      <c r="I49" s="170">
        <v>1.5</v>
      </c>
      <c r="J49" s="145">
        <f t="shared" si="0"/>
        <v>0.69902329839999999</v>
      </c>
      <c r="K49" s="143">
        <f t="shared" si="1"/>
        <v>0.10248535111111111</v>
      </c>
      <c r="L49" s="145">
        <f t="shared" ref="L49:L51" si="3">3.14*$D49/1000*$C$48/60</f>
        <v>2.5643333333333334</v>
      </c>
      <c r="M49" s="140">
        <v>109.5</v>
      </c>
      <c r="N49" s="141"/>
      <c r="O49" s="17"/>
      <c r="P49" s="17"/>
      <c r="V49" s="282"/>
      <c r="W49" s="131" t="s">
        <v>47</v>
      </c>
      <c r="X49" s="249" cm="1">
        <f t="array" ref="X49">IF($B$45=0,
IF($B$44="N/A","N/A",IF(Input!$D$14&lt;=1000,VLOOKUP($B$44,$B$48:$N$51,2,FALSE),ROUNDDOWN((SQRT((213500000000000000*(INDEX($B$48:$N$51,(MATCH($B$44,$B$48:$B$51,0)+1),9)))/(9.549*(INDEX($B$48:$N$51,(MATCH($B$44,$B$48:$B$51,0)),4))*((INDEX($B$48:$N$51,(MATCH($B$44,$B$48:$B$51,0)),5))/1000)*((INDEX($B$48:$N51,(MATCH($B$44,$B$48:$B$51,0)),3))^5)))),0))),
IF(Input!$D$14&lt;=1000,VLOOKUP($B$45,$B$48:$N$51,2,FALSE),ROUNDDOWN((SQRT((213500000000000000*(INDEX($B$48:$N$51,(MATCH($B$45,$B$48:$B$51,0)+1),9)))/(9.549*(INDEX($B$48:$N$51,(MATCH($B$45,$B$48:$B$51,0)),4))*((INDEX($B$48:$N$51,(MATCH($B$45,$B$48:$B$51,0)),5))/1000)*((INDEX($B$48:$N$51,(MATCH($B$45,$B$48:$B$51,0)),3))^5)))),0)))</f>
        <v>350</v>
      </c>
      <c r="Y49" s="49" t="s">
        <v>242</v>
      </c>
      <c r="Z49" s="249">
        <f>$X$49</f>
        <v>350</v>
      </c>
      <c r="AA49" s="152" t="s">
        <v>242</v>
      </c>
      <c r="AB49" s="17"/>
    </row>
    <row r="50" spans="1:28" x14ac:dyDescent="0.25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IF($B$44=$B50,Input!$D$14,IF($B$45=$B50,Input!$D$14,1000))</f>
        <v>1000</v>
      </c>
      <c r="G50" s="3">
        <f>IF($B$44=$B50,Input!$D$12,3000)</f>
        <v>500</v>
      </c>
      <c r="H50" s="42">
        <f t="shared" si="2"/>
        <v>225.0538603703703</v>
      </c>
      <c r="I50" s="41">
        <v>10</v>
      </c>
      <c r="J50" s="42">
        <f t="shared" si="0"/>
        <v>6.1401123219333309</v>
      </c>
      <c r="K50" s="102">
        <f t="shared" si="1"/>
        <v>0.45010772074074062</v>
      </c>
      <c r="L50" s="104">
        <f t="shared" si="3"/>
        <v>4.0296666666666674</v>
      </c>
      <c r="M50">
        <v>168</v>
      </c>
      <c r="N50" s="35"/>
      <c r="O50" s="17"/>
      <c r="P50" s="17"/>
      <c r="V50" s="282"/>
      <c r="W50" s="132" t="s">
        <v>8</v>
      </c>
      <c r="X50" s="250">
        <f>IF($B$45=0,
IF($X$49=$B$44,"N/A",(VLOOKUP($B$44,$B$48:$N$51,4,FALSE)*Input!$D$14*($X$49/60)^3*((VLOOKUP($B$44,$B$48:$N$51,3,FALSE))/1000)^5)/Input!$D$12),
(VLOOKUP($B$45,$B$48:$N$51,4,FALSE)*Input!$D$14*($X$49/60)^3*((VLOOKUP($B$45,$B$48:$N$51,3,FALSE))/1000)^5)/Input!$D$12)</f>
        <v>0.45010772074074062</v>
      </c>
      <c r="Y50" s="85" t="s">
        <v>9</v>
      </c>
      <c r="Z50" s="254">
        <f>IF($X$50="N/A",
           "N/A",
            $X$50/0.264172)</f>
        <v>1.7038434078582916</v>
      </c>
      <c r="AA50" s="136" t="s">
        <v>243</v>
      </c>
      <c r="AB50" s="17"/>
    </row>
    <row r="51" spans="1:28" x14ac:dyDescent="0.25">
      <c r="A51" s="140" t="s">
        <v>46</v>
      </c>
      <c r="B51" s="174" t="s">
        <v>34</v>
      </c>
      <c r="C51" s="165">
        <v>350</v>
      </c>
      <c r="D51" s="175">
        <v>220</v>
      </c>
      <c r="E51" s="165">
        <v>2.2000000000000002</v>
      </c>
      <c r="F51" s="165">
        <f>1000</f>
        <v>1000</v>
      </c>
      <c r="G51" s="165">
        <v>3000</v>
      </c>
      <c r="H51" s="147">
        <f t="shared" si="2"/>
        <v>225.0538603703703</v>
      </c>
      <c r="I51" s="167">
        <v>10</v>
      </c>
      <c r="J51" s="168">
        <f t="shared" si="0"/>
        <v>6.1401123219333309</v>
      </c>
      <c r="K51" s="169">
        <f t="shared" si="1"/>
        <v>7.5017953456790104E-2</v>
      </c>
      <c r="L51" s="145">
        <f t="shared" si="3"/>
        <v>4.0296666666666674</v>
      </c>
      <c r="M51" s="140">
        <v>168</v>
      </c>
      <c r="N51" s="141"/>
      <c r="O51" s="17"/>
      <c r="P51" s="17"/>
      <c r="V51" s="282"/>
      <c r="W51" s="132" t="s">
        <v>10</v>
      </c>
      <c r="X51" s="248">
        <f>IF($B$45=0,
IF($X$49=$B$44,"N/A",3.14*VLOOKUP($B$44,$B$48:$N$51,3,FALSE)/1000*$X$49/60),
3.14*VLOOKUP($B$45,$B$48:$N$51,3,FALSE)/1000*$X$49/60)</f>
        <v>4.0296666666666674</v>
      </c>
      <c r="Y51" s="136" t="s">
        <v>11</v>
      </c>
      <c r="Z51" s="255">
        <f>IF($X$51="N/A",
           "N/A",
            $X$51*196.85)</f>
        <v>793.23988333333341</v>
      </c>
      <c r="AA51" s="136" t="s">
        <v>244</v>
      </c>
      <c r="AB51" s="17"/>
    </row>
    <row r="52" spans="1:28" ht="45" x14ac:dyDescent="0.25">
      <c r="A52" s="17"/>
      <c r="B52" s="17"/>
      <c r="C52" s="17"/>
      <c r="D52" s="46"/>
      <c r="E52" s="17"/>
      <c r="F52" s="17"/>
      <c r="G52" s="17"/>
      <c r="H52" s="89"/>
      <c r="I52" s="90"/>
      <c r="J52" s="89"/>
      <c r="K52" s="88"/>
      <c r="L52" s="86"/>
      <c r="M52" s="17"/>
      <c r="N52" s="17"/>
      <c r="O52" s="17"/>
      <c r="P52" s="17"/>
      <c r="V52" s="282"/>
      <c r="W52" s="191" t="s">
        <v>388</v>
      </c>
      <c r="X52" s="243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0,
IF(AND(OR((ROUND(MOD($X$62,1)*60,-1))=60,(ROUND(MOD($X$62,1)*60,-1))=0),ROUND($X$62,0)&gt;=1),
                                            ROUND($X$62,0),
                                            IF(AND(ROUND($X$62,1)&lt;1,ROUND(MOD($X$62,1)*60,-1)&lt;&gt;0),
                                            ROUND(MOD($X$62,1)*60,-1)/60,
                                            (($X$62-MOD($X$62,1))+(ROUND(MOD($X$62,1)*60,-1)/60))))))</f>
        <v>N/A</v>
      </c>
      <c r="Y52" s="17" t="s">
        <v>268</v>
      </c>
      <c r="Z52" s="244" t="str">
        <f>$X$52</f>
        <v>N/A</v>
      </c>
      <c r="AA52" s="27"/>
      <c r="AB52" s="17"/>
    </row>
    <row r="53" spans="1:28" ht="15" customHeight="1" x14ac:dyDescent="0.25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82"/>
      <c r="W53" s="191" t="s">
        <v>389</v>
      </c>
      <c r="X53" s="243" t="str">
        <f>IF(OR($X$60=0,$X$60="N/A"),
         "N/A",
          (IF(AND(OR((ROUND(MOD($X$63,1)*60,-1))=60,(ROUND(MOD($X$63,1)*60,-1))=0),ROUND($X$63,0)&gt;=1),
                                            ROUND($X$63,0),
                                            IF(AND(ROUND($X$63,1)&lt;1,(ROUND(MOD($X$63,1)*60,-1))&lt;&gt;0),
                                            ROUND(MOD($X$63,1)*60,-1)/60,
                                            (($X$63-MOD($X$63,1))+ROUND(MOD($X$63,1)*60,-1)/60)))))</f>
        <v>N/A</v>
      </c>
      <c r="Y53" s="17" t="s">
        <v>268</v>
      </c>
      <c r="Z53" s="244" t="str">
        <f>$X$53</f>
        <v>N/A</v>
      </c>
      <c r="AA53" s="27"/>
      <c r="AB53" s="17"/>
    </row>
    <row r="54" spans="1:28" ht="45.75" thickBo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82"/>
      <c r="W54" s="153" t="s">
        <v>257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",ROUND(MOD($X$62,1)*60,-1),"s"))))=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",ROUND(MOD($X$63,1)*60,-1),"s")))="0min 0s",0,
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CONCATENATE(
               IF(IF(AND(OR((ROUND(MOD($X$62,1)*60,-1))=60,(ROUND(MOD($X$62,1)*60,-1))=0),ROUND($X$62,0)&gt;=1),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")))="0min 0s - ","",
         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5" t="str">
        <f>$X$54</f>
        <v>N/A</v>
      </c>
      <c r="AA54" s="29"/>
      <c r="AB54" s="17"/>
    </row>
    <row r="55" spans="1:28" ht="62.25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82" t="s">
        <v>249</v>
      </c>
      <c r="W55" s="131" t="s">
        <v>252</v>
      </c>
      <c r="X55" s="251">
        <f>IF(Input!$E$31=0,$X$49,Input!$E$31)</f>
        <v>350</v>
      </c>
      <c r="Y55" s="85" t="s">
        <v>242</v>
      </c>
      <c r="Z55" s="256">
        <f>$X$55</f>
        <v>350</v>
      </c>
      <c r="AA55" s="136" t="s">
        <v>242</v>
      </c>
      <c r="AB55" s="17"/>
    </row>
    <row r="56" spans="1:28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82"/>
      <c r="W56" s="132" t="s">
        <v>8</v>
      </c>
      <c r="X56" s="252">
        <f>IF($B$45=0,
IF($B$44=$X$49,"N/A",(VLOOKUP($B$44,$B$48:$N$51,4,FALSE)*Input!$D$14*($X$55/60)^3*(((VLOOKUP($B$44,$B$48:$N$51,3,FALSE))/1000)^5)/Input!$D$12)),
(VLOOKUP($B$45,$B$48:$N$51,4,FALSE)*Input!$D$14*($X$55/60)^3*(((VLOOKUP($B$45,$B$48:$N$51,3,FALSE))/1000)^5)/Input!$D$12))</f>
        <v>0.45010772074074062</v>
      </c>
      <c r="Y56" s="85" t="s">
        <v>9</v>
      </c>
      <c r="Z56" s="257">
        <f>IF($X$56="N/A",
           "N/A",
             $X$56/0.264172)</f>
        <v>1.7038434078582916</v>
      </c>
      <c r="AA56" s="136" t="s">
        <v>243</v>
      </c>
      <c r="AB56" s="17"/>
    </row>
    <row r="57" spans="1:2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282"/>
      <c r="W57" s="132" t="s">
        <v>253</v>
      </c>
      <c r="X57" s="253">
        <f>IF($B$45=0,
IF($X$49=$B$44,"N/A",3.14*VLOOKUP($B$44,$B$48:$N$51,3,FALSE)/1000*$X$55/60),
3.14*VLOOKUP($B$45,$B$48:$N$51,3,FALSE)/1000*$X$55/60)</f>
        <v>4.0296666666666674</v>
      </c>
      <c r="Y57" s="136" t="s">
        <v>11</v>
      </c>
      <c r="Z57" s="258">
        <f>IF($X$57="N/A",
           "N/A",
             $X$57*196.85)</f>
        <v>793.23988333333341</v>
      </c>
      <c r="AA57" s="136" t="s">
        <v>244</v>
      </c>
      <c r="AB57" s="17"/>
    </row>
    <row r="58" spans="1:28" ht="45.75" thickBo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282"/>
      <c r="W58" s="153" t="s">
        <v>258</v>
      </c>
      <c r="X58" s="181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268</v>
      </c>
      <c r="Z58" s="246" t="str">
        <f>$X$58</f>
        <v>N/A</v>
      </c>
      <c r="AA58" s="94" t="s">
        <v>268</v>
      </c>
      <c r="AB58" s="17"/>
    </row>
    <row r="59" spans="1:2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7" t="s">
        <v>228</v>
      </c>
      <c r="X59" s="157">
        <v>0.5</v>
      </c>
      <c r="Y59" s="157"/>
      <c r="Z59" s="157"/>
      <c r="AA59" s="157"/>
      <c r="AB59" s="17"/>
    </row>
    <row r="60" spans="1:2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V60" s="17"/>
      <c r="W60" s="157" t="s">
        <v>255</v>
      </c>
      <c r="X60" s="157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0</v>
      </c>
      <c r="Y60" s="157"/>
      <c r="Z60" s="157"/>
      <c r="AA60" s="15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V61" s="17"/>
      <c r="W61" s="157" t="s">
        <v>256</v>
      </c>
      <c r="X61" s="157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7"/>
      <c r="Z61" s="157"/>
      <c r="AA61" s="157"/>
      <c r="AB61" s="17"/>
    </row>
    <row r="62" spans="1:28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57" t="s">
        <v>383</v>
      </c>
      <c r="X62" s="242" t="str">
        <f>IF(OR($X$60=0,AND($B$45=0,$B$44="N/A")),
          "N/A",
           Input!$D$12/$X$60*3)</f>
        <v>N/A</v>
      </c>
      <c r="Y62" s="157"/>
      <c r="Z62" s="157"/>
      <c r="AA62" s="15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87"/>
      <c r="J63" s="17"/>
      <c r="K63" s="88"/>
      <c r="L63" s="17"/>
      <c r="M63" s="17"/>
      <c r="N63" s="17"/>
      <c r="O63" s="17"/>
      <c r="P63" s="17"/>
      <c r="V63" s="17"/>
      <c r="W63" s="157" t="s">
        <v>384</v>
      </c>
      <c r="X63" s="242" t="str">
        <f>IF(OR($X$60=0,AND($B$45=0,$B$44="N/A")),
          "N/A",
            Input!$D$12/$X$60*5)</f>
        <v>N/A</v>
      </c>
      <c r="Y63" s="157"/>
      <c r="Z63" s="157"/>
      <c r="AA63" s="15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86"/>
      <c r="J64" s="17"/>
      <c r="K64" s="46"/>
      <c r="L64" s="17"/>
      <c r="M64" s="17"/>
      <c r="N64" s="17"/>
      <c r="O64" s="17"/>
      <c r="P64" s="17"/>
      <c r="V64" s="17"/>
      <c r="W64" s="17"/>
      <c r="X64" s="17"/>
      <c r="Y64" s="17"/>
      <c r="Z64" s="17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46"/>
      <c r="J65" s="17"/>
      <c r="K65" s="17"/>
      <c r="L65" s="17"/>
      <c r="M65" s="17"/>
      <c r="N65" s="17"/>
      <c r="O65" s="17"/>
      <c r="P65" s="17"/>
      <c r="V65" s="17"/>
      <c r="W65" s="85"/>
      <c r="X65" s="283" t="s">
        <v>247</v>
      </c>
      <c r="Y65" s="284"/>
      <c r="Z65" s="17"/>
      <c r="AA65" s="17"/>
      <c r="AB65" s="17"/>
    </row>
    <row r="66" spans="1:28" ht="30.75" thickBot="1" x14ac:dyDescent="0.3">
      <c r="A66" s="17"/>
      <c r="B66" s="17"/>
      <c r="C66" s="17"/>
      <c r="D66" s="17"/>
      <c r="E66" s="17"/>
      <c r="F66" s="17"/>
      <c r="G66" s="17"/>
      <c r="H66" s="17"/>
      <c r="I66" s="87"/>
      <c r="J66" s="17"/>
      <c r="K66" s="163"/>
      <c r="L66" s="17"/>
      <c r="M66" s="17"/>
      <c r="N66" s="17"/>
      <c r="O66" s="17"/>
      <c r="P66" s="17"/>
      <c r="V66" s="17"/>
      <c r="W66" s="158" t="str">
        <f>CONCATENATE("Tank Turnovers at ",Input!D15,"cP")</f>
        <v>Tank Turnovers at 1cP</v>
      </c>
      <c r="X66" s="133" t="s">
        <v>254</v>
      </c>
      <c r="Y66" s="135" t="s">
        <v>249</v>
      </c>
      <c r="Z66" s="135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86"/>
      <c r="J67" s="17"/>
      <c r="K67" s="46"/>
      <c r="L67" s="17"/>
      <c r="M67" s="17"/>
      <c r="N67" s="17"/>
      <c r="O67" s="17"/>
      <c r="P67" s="17"/>
      <c r="V67" s="17"/>
      <c r="W67" s="159">
        <v>0</v>
      </c>
      <c r="X67" s="160" t="str">
        <f>IF(OR($X$60=0,$X$60="N/A"),
           "N/A",
             Input!$D$12/$X$60*$W67)</f>
        <v>N/A</v>
      </c>
      <c r="Y67" s="187" t="str">
        <f>IF(OR($X$61=0,$X$61="N/A"),
           "N/A",
              Input!$D$12/$X$61*$W67)</f>
        <v>N/A</v>
      </c>
      <c r="Z67" s="88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V68" s="17"/>
      <c r="W68" s="159">
        <v>1</v>
      </c>
      <c r="X68" s="160" t="str">
        <f>IF(OR($X$60=0,$X$60="N/A"),
           "N/A",
             Input!$D$12/$X$60*$W68)</f>
        <v>N/A</v>
      </c>
      <c r="Y68" s="187" t="str">
        <f>IF(OR($X$61=0,$X$61="N/A"),
           "N/A",
              Input!$D$12/$X$61*$W68)</f>
        <v>N/A</v>
      </c>
      <c r="Z68" s="46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V69" s="17"/>
      <c r="W69" s="159">
        <v>2</v>
      </c>
      <c r="X69" s="160" t="str">
        <f>IF(OR($X$60=0,$X$60="N/A"),
           "N/A",
             Input!$D$12/$X$60*$W69)</f>
        <v>N/A</v>
      </c>
      <c r="Y69" s="187" t="str">
        <f>IF(OR($X$61=0,$X$61="N/A"),
           "N/A",
              Input!$D$12/$X$61*$W69)</f>
        <v>N/A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59">
        <v>3</v>
      </c>
      <c r="X70" s="160" t="str">
        <f>IF(OR($X$60=0,$X$60="N/A"),
           "N/A",
             Input!$D$12/$X$60*$W70)</f>
        <v>N/A</v>
      </c>
      <c r="Y70" s="187" t="str">
        <f>IF(OR($X$61=0,$X$61="N/A"),
           "N/A",
              Input!$D$12/$X$61*$W70)</f>
        <v>N/A</v>
      </c>
      <c r="Z70" s="88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87"/>
      <c r="J71" s="17"/>
      <c r="K71" s="88"/>
      <c r="L71" s="17"/>
      <c r="M71" s="17"/>
      <c r="N71" s="17"/>
      <c r="O71" s="17"/>
      <c r="P71" s="17"/>
      <c r="V71" s="17"/>
      <c r="W71" s="159">
        <v>4</v>
      </c>
      <c r="X71" s="160" t="str">
        <f>IF(OR($X$60=0,$X$60="N/A"),
           "N/A",
             Input!$D$12/$X$60*$W71)</f>
        <v>N/A</v>
      </c>
      <c r="Y71" s="187" t="str">
        <f>IF(OR($X$61=0,$X$61="N/A"),
           "N/A",
              Input!$D$12/$X$61*$W71)</f>
        <v>N/A</v>
      </c>
      <c r="Z71" s="46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86"/>
      <c r="J72" s="17"/>
      <c r="K72" s="46"/>
      <c r="L72" s="17"/>
      <c r="M72" s="17"/>
      <c r="N72" s="17"/>
      <c r="O72" s="17"/>
      <c r="P72" s="17"/>
      <c r="V72" s="17"/>
      <c r="W72" s="159">
        <v>5</v>
      </c>
      <c r="X72" s="160" t="str">
        <f>IF(OR($X$60=0,$X$60="N/A"),
           "N/A",
             Input!$D$12/$X$60*$W72)</f>
        <v>N/A</v>
      </c>
      <c r="Y72" s="187" t="str">
        <f>IF(OR($X$61=0,$X$61="N/A"),
           "N/A",
              Input!$D$12/$X$61*$W72)</f>
        <v>N/A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59">
        <v>6</v>
      </c>
      <c r="X73" s="160" t="str">
        <f>IF(OR($X$60=0,$X$60="N/A"),
           "N/A",
             Input!$D$12/$X$60*$W73)</f>
        <v>N/A</v>
      </c>
      <c r="Y73" s="187" t="str">
        <f>IF(OR($X$61=0,$X$61="N/A"),
           "N/A",
              Input!$D$12/$X$61*$W73)</f>
        <v>N/A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88"/>
      <c r="J74" s="17"/>
      <c r="K74" s="8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9">
        <v>7</v>
      </c>
      <c r="X74" s="160" t="str">
        <f>IF(OR($X$60=0,$X$60="N/A"),
           "N/A",
             Input!$D$12/$X$60*$W74)</f>
        <v>N/A</v>
      </c>
      <c r="Y74" s="187" t="str">
        <f>IF(OR($X$61=0,$X$61="N/A"),
           "N/A",
              Input!$D$12/$X$61*$W74)</f>
        <v>N/A</v>
      </c>
      <c r="Z74" s="17"/>
      <c r="AA74" s="17"/>
      <c r="AB74" s="17"/>
    </row>
    <row r="75" spans="1:28" x14ac:dyDescent="0.25">
      <c r="A75" s="17"/>
      <c r="B75" s="17"/>
      <c r="C75" s="17"/>
      <c r="D75" s="17"/>
      <c r="E75" s="17"/>
      <c r="F75" s="17"/>
      <c r="G75" s="17"/>
      <c r="H75" s="17"/>
      <c r="I75" s="86"/>
      <c r="J75" s="17"/>
      <c r="K75" s="4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59">
        <v>8</v>
      </c>
      <c r="X75" s="160" t="str">
        <f>IF(OR($X$60=0,$X$60="N/A"),
           "N/A",
             Input!$D$12/$X$60*$W75)</f>
        <v>N/A</v>
      </c>
      <c r="Y75" s="187" t="str">
        <f>IF(OR($X$61=0,$X$61="N/A"),
           "N/A",
              Input!$D$12/$X$61*$W75)</f>
        <v>N/A</v>
      </c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9">
        <v>9</v>
      </c>
      <c r="X76" s="160" t="str">
        <f>IF(OR($X$60=0,$X$60="N/A"),
           "N/A",
             Input!$D$12/$X$60*$W76)</f>
        <v>N/A</v>
      </c>
      <c r="Y76" s="187" t="str">
        <f>IF(OR($X$61=0,$X$61="N/A"),
           "N/A",
              Input!$D$12/$X$61*$W76)</f>
        <v>N/A</v>
      </c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9">
        <v>10</v>
      </c>
      <c r="X77" s="160" t="str">
        <f>IF(OR($X$60=0,$X$60="N/A"),
           "N/A",
             Input!$D$12/$X$60*$W77)</f>
        <v>N/A</v>
      </c>
      <c r="Y77" s="187" t="str">
        <f>IF(OR($X$61=0,$X$61="N/A"),
           "N/A",
              Input!$D$12/$X$61*$W77)</f>
        <v>N/A</v>
      </c>
      <c r="Z77" s="17"/>
      <c r="AA77" s="17"/>
      <c r="AB77" s="17"/>
    </row>
    <row r="78" spans="1:2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x14ac:dyDescent="0.25">
      <c r="I79" s="164"/>
      <c r="K79" s="82"/>
    </row>
    <row r="80" spans="1:28" x14ac:dyDescent="0.25">
      <c r="I80" s="79"/>
      <c r="K80" s="83"/>
    </row>
    <row r="82" spans="9:11" x14ac:dyDescent="0.25">
      <c r="I82" s="83"/>
      <c r="K82" s="83"/>
    </row>
  </sheetData>
  <sortState xmlns:xlrd2="http://schemas.microsoft.com/office/spreadsheetml/2017/richdata2" ref="D6:D40">
    <sortCondition descending="1" ref="D6:D40"/>
  </sortState>
  <mergeCells count="5">
    <mergeCell ref="V48:V54"/>
    <mergeCell ref="V55:V58"/>
    <mergeCell ref="X65:Y65"/>
    <mergeCell ref="B2:C2"/>
    <mergeCell ref="D2:E2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disablePrompts="1"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3104-DA86-4808-9462-4070C3E9F604}">
  <dimension ref="A1:T39"/>
  <sheetViews>
    <sheetView workbookViewId="0">
      <selection activeCell="G26" sqref="G26"/>
    </sheetView>
  </sheetViews>
  <sheetFormatPr defaultRowHeight="15" x14ac:dyDescent="0.25"/>
  <cols>
    <col min="1" max="1" width="16.42578125" style="53" customWidth="1"/>
    <col min="2" max="2" width="11.42578125" bestFit="1" customWidth="1"/>
    <col min="4" max="4" width="16.7109375" bestFit="1" customWidth="1"/>
    <col min="5" max="5" width="10.7109375" bestFit="1" customWidth="1"/>
    <col min="7" max="7" width="12" bestFit="1" customWidth="1"/>
    <col min="9" max="9" width="13.42578125" customWidth="1"/>
    <col min="16" max="16" width="20.5703125" customWidth="1"/>
    <col min="17" max="17" width="12.140625" customWidth="1"/>
    <col min="18" max="18" width="11.140625" customWidth="1"/>
  </cols>
  <sheetData>
    <row r="1" spans="1:20" ht="30" customHeight="1" x14ac:dyDescent="0.25">
      <c r="A1" s="289" t="s">
        <v>288</v>
      </c>
      <c r="B1" s="289"/>
      <c r="E1" t="s">
        <v>346</v>
      </c>
      <c r="F1" t="s">
        <v>292</v>
      </c>
      <c r="L1" t="s">
        <v>293</v>
      </c>
      <c r="M1" t="s">
        <v>304</v>
      </c>
      <c r="N1" t="s">
        <v>303</v>
      </c>
      <c r="O1" t="s">
        <v>302</v>
      </c>
      <c r="P1" t="s">
        <v>290</v>
      </c>
      <c r="Q1" t="s">
        <v>291</v>
      </c>
      <c r="R1" t="s">
        <v>292</v>
      </c>
    </row>
    <row r="2" spans="1:20" ht="30" x14ac:dyDescent="0.25">
      <c r="A2" s="192" t="s">
        <v>282</v>
      </c>
      <c r="B2" s="3">
        <f>IF(Input!$D$10=0,5,Input!$D$10)</f>
        <v>10</v>
      </c>
      <c r="D2" s="3" t="s">
        <v>342</v>
      </c>
      <c r="E2" s="93">
        <f>Tabell2[[#This Row],[Vol dish]]</f>
        <v>444.644008875</v>
      </c>
      <c r="L2" s="195" t="s">
        <v>18</v>
      </c>
      <c r="M2">
        <v>35</v>
      </c>
      <c r="N2">
        <v>27.5</v>
      </c>
      <c r="O2">
        <v>9</v>
      </c>
      <c r="P2" s="196">
        <v>61.25</v>
      </c>
      <c r="Q2" s="197">
        <v>90</v>
      </c>
      <c r="R2" s="196">
        <v>16.39</v>
      </c>
      <c r="T2">
        <v>0.5</v>
      </c>
    </row>
    <row r="3" spans="1:20" ht="30" x14ac:dyDescent="0.25">
      <c r="A3" s="192" t="s">
        <v>285</v>
      </c>
      <c r="B3" s="3">
        <f>'Vessel Dish Type List (IGNORE!)'!$D$2</f>
        <v>1650</v>
      </c>
      <c r="D3" s="3" t="s">
        <v>297</v>
      </c>
      <c r="E3" s="93">
        <f>$B$6-SQRT(($B$6)^2-($B$9)^2)</f>
        <v>168.54186098650189</v>
      </c>
      <c r="L3" s="195" t="s">
        <v>19</v>
      </c>
      <c r="M3">
        <v>48</v>
      </c>
      <c r="N3">
        <v>27.5</v>
      </c>
      <c r="O3">
        <v>9</v>
      </c>
      <c r="P3" s="196">
        <v>61.75</v>
      </c>
      <c r="Q3" s="197">
        <v>90.5</v>
      </c>
      <c r="R3" s="196">
        <v>18.88</v>
      </c>
    </row>
    <row r="4" spans="1:20" x14ac:dyDescent="0.25">
      <c r="A4" s="192" t="s">
        <v>296</v>
      </c>
      <c r="B4" s="3">
        <f>$B$3/2</f>
        <v>825</v>
      </c>
      <c r="D4" s="3" t="s">
        <v>305</v>
      </c>
      <c r="E4" s="37">
        <f>ASIN(($B$9/2)/$B$6)*(180/PI())</f>
        <v>12.644171166973663</v>
      </c>
      <c r="L4" s="195"/>
      <c r="M4">
        <v>0</v>
      </c>
      <c r="N4">
        <v>0</v>
      </c>
      <c r="O4">
        <v>0</v>
      </c>
      <c r="P4" s="196"/>
      <c r="Q4" s="197"/>
      <c r="R4" s="196"/>
    </row>
    <row r="5" spans="1:20" ht="30" x14ac:dyDescent="0.25">
      <c r="A5" s="192" t="s">
        <v>284</v>
      </c>
      <c r="B5" s="3">
        <f>'Vessel Dish Type List (IGNORE!)'!$C$2</f>
        <v>1670</v>
      </c>
      <c r="D5" s="3" t="s">
        <v>309</v>
      </c>
      <c r="E5" s="37">
        <f>ASIN($B$14/$B$6)*(180/PI())</f>
        <v>3.9400451293476149</v>
      </c>
      <c r="L5" s="195" t="s">
        <v>20</v>
      </c>
      <c r="M5">
        <v>58.5</v>
      </c>
      <c r="N5">
        <v>47</v>
      </c>
      <c r="O5">
        <v>16</v>
      </c>
      <c r="P5" s="197">
        <v>91</v>
      </c>
      <c r="Q5" s="197">
        <v>162.80000000000001</v>
      </c>
      <c r="R5" s="196">
        <v>19.37</v>
      </c>
    </row>
    <row r="6" spans="1:20" ht="30" x14ac:dyDescent="0.25">
      <c r="A6" s="192" t="s">
        <v>272</v>
      </c>
      <c r="B6" s="3">
        <f>'Vessel Dish Type List (IGNORE!)'!$E$2</f>
        <v>1670</v>
      </c>
      <c r="D6" s="3" t="s">
        <v>306</v>
      </c>
      <c r="E6" s="37">
        <f>$B$6*(1-COS($E$5*PI()/180))</f>
        <v>3.9470484105254222</v>
      </c>
      <c r="L6" s="195" t="s">
        <v>21</v>
      </c>
      <c r="M6">
        <v>74</v>
      </c>
      <c r="N6">
        <v>47</v>
      </c>
      <c r="O6">
        <v>16</v>
      </c>
      <c r="P6" s="197">
        <v>101</v>
      </c>
      <c r="Q6" s="197">
        <v>172.8</v>
      </c>
      <c r="R6" s="196">
        <v>19.96</v>
      </c>
    </row>
    <row r="7" spans="1:20" ht="30" x14ac:dyDescent="0.25">
      <c r="A7" s="192" t="s">
        <v>286</v>
      </c>
      <c r="B7" s="3">
        <f>'Vessel Dish Type List (IGNORE!)'!$F$2</f>
        <v>167</v>
      </c>
      <c r="D7" s="3" t="s">
        <v>298</v>
      </c>
      <c r="E7" s="3">
        <f>ATAN($B$15/($B$6-$E$6-$B$16))*(180/PI())</f>
        <v>0.74379216728412234</v>
      </c>
      <c r="F7" s="3">
        <f>ATAN($B$19/($B$6-$E$6-$B$18))*(180/PI())</f>
        <v>6.0635553781470284</v>
      </c>
      <c r="L7" s="195" t="s">
        <v>22</v>
      </c>
      <c r="M7">
        <v>80</v>
      </c>
      <c r="N7">
        <v>52</v>
      </c>
      <c r="O7">
        <v>16</v>
      </c>
      <c r="P7" s="197">
        <v>102.5</v>
      </c>
      <c r="Q7" s="197">
        <v>174.3</v>
      </c>
      <c r="R7" s="196">
        <v>19.59</v>
      </c>
    </row>
    <row r="8" spans="1:20" x14ac:dyDescent="0.25">
      <c r="A8" s="192" t="s">
        <v>287</v>
      </c>
      <c r="B8" s="93">
        <f>'Vessel Dish Type List (IGNORE!)'!$G$2</f>
        <v>318.59499999999997</v>
      </c>
      <c r="D8" s="3" t="s">
        <v>299</v>
      </c>
      <c r="E8" s="3">
        <f>SQRT(($B$6-$E$6-$B$16)^2+($B$15)^2)</f>
        <v>1540.6827696352816</v>
      </c>
      <c r="F8" s="3">
        <f>SQRT(($B$6-$E$6-$B$18)^2+($B$19)^2)</f>
        <v>1656.70164181207</v>
      </c>
      <c r="L8" s="195" t="s">
        <v>23</v>
      </c>
      <c r="M8">
        <v>88.5</v>
      </c>
      <c r="N8">
        <v>64.75</v>
      </c>
      <c r="O8">
        <v>16</v>
      </c>
      <c r="P8" s="197">
        <v>106</v>
      </c>
      <c r="Q8" s="197">
        <v>177.8</v>
      </c>
      <c r="R8" s="196">
        <v>18.850000000000001</v>
      </c>
    </row>
    <row r="9" spans="1:20" x14ac:dyDescent="0.25">
      <c r="A9" s="192" t="s">
        <v>295</v>
      </c>
      <c r="B9" s="93">
        <f>($B$4-$B$7)*$B$6/($B$6-$B$7)</f>
        <v>731.11111111111109</v>
      </c>
      <c r="D9" s="3" t="s">
        <v>300</v>
      </c>
      <c r="E9" s="3">
        <f>$E$8*SIN(($E$4+$E$7)*(PI()/180))</f>
        <v>356.73513966669191</v>
      </c>
      <c r="F9" s="3">
        <f>$F$8*SIN(($E$4+$F$7)*(PI()/180))</f>
        <v>531.37168145463659</v>
      </c>
      <c r="L9" s="195" t="s">
        <v>24</v>
      </c>
      <c r="M9">
        <v>118</v>
      </c>
      <c r="N9">
        <v>79.75</v>
      </c>
      <c r="O9">
        <v>20</v>
      </c>
      <c r="P9" s="197">
        <v>107.6</v>
      </c>
      <c r="Q9" s="196">
        <f>194.94+4.6</f>
        <v>199.54</v>
      </c>
      <c r="R9" s="196">
        <v>19.09</v>
      </c>
    </row>
    <row r="10" spans="1:20" x14ac:dyDescent="0.25">
      <c r="D10" s="3" t="s">
        <v>301</v>
      </c>
      <c r="E10" s="3">
        <f>$B$6-SQRT($E$8^2-$E$9^2)</f>
        <v>171.18598993136311</v>
      </c>
      <c r="F10" s="3">
        <f>$B$6-SQRT($F$8^2-$F$9^2)</f>
        <v>100.82682086046316</v>
      </c>
      <c r="L10" s="195" t="s">
        <v>25</v>
      </c>
      <c r="M10">
        <v>150</v>
      </c>
      <c r="N10">
        <v>99.75</v>
      </c>
      <c r="O10">
        <v>20</v>
      </c>
      <c r="P10" s="197">
        <v>119.6</v>
      </c>
      <c r="Q10" s="196">
        <v>211.09527947999999</v>
      </c>
      <c r="R10" s="196">
        <v>19.079999999999998</v>
      </c>
    </row>
    <row r="11" spans="1:20" x14ac:dyDescent="0.25">
      <c r="L11" s="195" t="s">
        <v>26</v>
      </c>
      <c r="M11">
        <v>175</v>
      </c>
      <c r="N11">
        <v>114.75</v>
      </c>
      <c r="O11">
        <v>20</v>
      </c>
      <c r="P11" s="197">
        <v>125.5</v>
      </c>
      <c r="Q11" s="197">
        <v>217</v>
      </c>
      <c r="R11" s="196">
        <v>18.62</v>
      </c>
    </row>
    <row r="12" spans="1:20" ht="30.75" thickBot="1" x14ac:dyDescent="0.3">
      <c r="A12" s="192" t="s">
        <v>289</v>
      </c>
      <c r="B12" s="3"/>
      <c r="D12" s="11" t="s">
        <v>310</v>
      </c>
      <c r="L12" t="s">
        <v>134</v>
      </c>
      <c r="M12">
        <v>200</v>
      </c>
      <c r="N12">
        <v>124.75</v>
      </c>
      <c r="O12">
        <v>0</v>
      </c>
    </row>
    <row r="13" spans="1:20" x14ac:dyDescent="0.25">
      <c r="A13" s="192" t="s">
        <v>178</v>
      </c>
      <c r="B13" s="3" t="str">
        <f>Input!$C$33</f>
        <v>ZG10</v>
      </c>
      <c r="D13" t="s">
        <v>311</v>
      </c>
      <c r="E13">
        <f>1/3*PI()*$E$10^2*(3*$B$6-$E$10)/1000000</f>
        <v>148.49231727025037</v>
      </c>
      <c r="F13" t="s">
        <v>12</v>
      </c>
      <c r="G13" s="198" t="s">
        <v>311</v>
      </c>
      <c r="H13" s="198" t="s">
        <v>345</v>
      </c>
      <c r="L13" t="s">
        <v>135</v>
      </c>
      <c r="M13">
        <v>225</v>
      </c>
      <c r="N13">
        <v>124.75</v>
      </c>
      <c r="O13">
        <v>0</v>
      </c>
    </row>
    <row r="14" spans="1:20" ht="15.75" thickBot="1" x14ac:dyDescent="0.3">
      <c r="A14" s="192" t="s">
        <v>303</v>
      </c>
      <c r="B14" s="3">
        <f>VLOOKUP($B$13,Tabell3[],3,FALSE)</f>
        <v>114.75</v>
      </c>
      <c r="G14" s="199">
        <f>IF($E$10&lt;$E$3,(1/3*PI()*$E$10^2*(3*$B$6-$E$10)/1000000),IF($E$10&lt;$B$8,(1/3*PI()*$E$3^2*(3*$B$6-$E$3)/1000000)+(((PI()*(SQRT($B$7^2-($E$10-$B$8)^2)+$B$4-$B$7)^2*($E$10-$E$3)-$B$9^2*PI()*($E$10-$E$3))/1.4+$B$9^2*PI()*($E$10-$E$3))/1000000),$E$2+(($E$10-$B$8)*PI()*$B$4^2/1000000)))</f>
        <v>148.50613600618567</v>
      </c>
      <c r="H14" s="199">
        <f>IF($F$10&lt;$E$3,(1/3*PI()*$F$10^2*(3*$B$6-$F$10)/1000000),IF($F$10&lt;$B$8,(1/3*PI()*$E$3^2*(3*$B$6-$E$3)/1000000)+(((PI()*(SQRT($B$7^2-($F$10-$B$8)^2)+$B$4-$B$7)^2*($F$10-$E$3)-$B$9^2*PI()*($F$10-$E$3))/1.4+$B$9^2*PI()*($F$10-$E$3))/1000000),$E$2+(($F$10-$B$8)*PI()*$B$4^2/1000000)))</f>
        <v>52.262372180397421</v>
      </c>
      <c r="L14" s="195" t="s">
        <v>30</v>
      </c>
      <c r="M14">
        <v>33</v>
      </c>
      <c r="N14">
        <v>40</v>
      </c>
      <c r="O14">
        <v>9</v>
      </c>
      <c r="P14" s="196">
        <v>89.75</v>
      </c>
      <c r="Q14" s="197">
        <f>2.27+135.93</f>
        <v>138.20000000000002</v>
      </c>
      <c r="R14" s="197">
        <v>42</v>
      </c>
    </row>
    <row r="15" spans="1:20" ht="30" x14ac:dyDescent="0.25">
      <c r="A15" s="192" t="s">
        <v>307</v>
      </c>
      <c r="B15" s="3">
        <f>VLOOKUP($B$13,Tabell3[],4,FALSE)</f>
        <v>20</v>
      </c>
      <c r="D15" s="11" t="s">
        <v>312</v>
      </c>
      <c r="L15" s="195" t="s">
        <v>31</v>
      </c>
      <c r="M15">
        <v>52.5</v>
      </c>
      <c r="N15">
        <v>57</v>
      </c>
      <c r="O15">
        <v>16</v>
      </c>
      <c r="P15" s="197">
        <v>131.5</v>
      </c>
      <c r="Q15" s="197">
        <f>207.14+4.16</f>
        <v>211.29999999999998</v>
      </c>
      <c r="R15" s="197">
        <v>47</v>
      </c>
    </row>
    <row r="16" spans="1:20" ht="30" x14ac:dyDescent="0.25">
      <c r="A16" s="192" t="s">
        <v>308</v>
      </c>
      <c r="B16" s="3">
        <f>VLOOKUP($B$13,Tabell3[],5,FALSE)</f>
        <v>125.5</v>
      </c>
      <c r="D16" t="s">
        <v>313</v>
      </c>
      <c r="E16">
        <f>1/3*PI()*$E$3^2*(3*$B$6-$E$3)/1000000</f>
        <v>144.01919166274553</v>
      </c>
      <c r="L16" s="195" t="s">
        <v>32</v>
      </c>
      <c r="M16">
        <v>69.5</v>
      </c>
      <c r="N16">
        <v>80</v>
      </c>
      <c r="O16">
        <v>20</v>
      </c>
      <c r="P16" s="197">
        <v>169</v>
      </c>
      <c r="Q16" s="197">
        <f>255.84+4.16</f>
        <v>260</v>
      </c>
      <c r="R16" s="197">
        <v>58</v>
      </c>
    </row>
    <row r="17" spans="1:18" x14ac:dyDescent="0.25">
      <c r="A17" s="192" t="s">
        <v>291</v>
      </c>
      <c r="B17" s="3">
        <f>VLOOKUP($B$13,Tabell3[],6,FALSE)</f>
        <v>217</v>
      </c>
      <c r="D17" t="s">
        <v>314</v>
      </c>
      <c r="E17" s="44" t="s">
        <v>340</v>
      </c>
      <c r="L17" s="195" t="s">
        <v>27</v>
      </c>
      <c r="M17">
        <v>33</v>
      </c>
      <c r="N17">
        <v>27.5</v>
      </c>
      <c r="O17">
        <v>9</v>
      </c>
      <c r="P17" s="196">
        <f>3.5+58.13</f>
        <v>61.63</v>
      </c>
      <c r="Q17" s="196">
        <f>106.56+2.27</f>
        <v>108.83</v>
      </c>
      <c r="R17" s="196">
        <v>34.14</v>
      </c>
    </row>
    <row r="18" spans="1:18" x14ac:dyDescent="0.25">
      <c r="A18" s="192" t="s">
        <v>294</v>
      </c>
      <c r="B18" s="3">
        <f>VLOOKUP($B$13,Tabell3[],7,FALSE)</f>
        <v>18.62</v>
      </c>
      <c r="D18" t="s">
        <v>338</v>
      </c>
      <c r="E18">
        <f>(($B$7^2*ASIN(($E$10-$B$8)/$B$7)/2-$B$7*$E$10+$B$4*$E$10+($E$10-$B$8)*SQRT($B$7^2-($E$10-$B$8)^2)/2)-($B$7^2*ASIN(($E$3-$B$8)/$B$7)/2-$B$7*$E$3+$B$4*$E$3+($E$3-$B$8)*SQRT($B$7^2-($E$3-$B$8)^2)/2))/1000000</f>
        <v>1.9406035249650013E-3</v>
      </c>
      <c r="L18" s="195" t="s">
        <v>28</v>
      </c>
      <c r="M18">
        <v>51.5</v>
      </c>
      <c r="N18">
        <v>47</v>
      </c>
      <c r="O18">
        <v>16</v>
      </c>
      <c r="P18" s="196">
        <v>100.37</v>
      </c>
      <c r="Q18" s="196">
        <f>176.01+4.16</f>
        <v>180.17</v>
      </c>
      <c r="R18" s="196">
        <v>47.4</v>
      </c>
    </row>
    <row r="19" spans="1:18" x14ac:dyDescent="0.25">
      <c r="A19" s="53" t="s">
        <v>347</v>
      </c>
      <c r="B19" s="3">
        <f>VLOOKUP($B$13,Tabell3[],2,FALSE)</f>
        <v>175</v>
      </c>
      <c r="D19" t="s">
        <v>339</v>
      </c>
      <c r="E19">
        <f>(($B$7^2*ASIN(($E$10-$B$8)/$B$7)*(180/PI())/2-$B$7*$E$10+$B$4*$E$10+($E$10-$B$8)*SQRT($B$7^2-($E$10-$B$8)^2)/2)-($B$7^2*ASIN(($E$3-$B$8)/$B$7)*(180/PI())/2-$B$7*$E$3+$B$4*$E$3+($E$3-$B$8)*SQRT($B$7^2-($E$3-$B$8)^2)/2))/1000000</f>
        <v>2.9288320529390476E-2</v>
      </c>
      <c r="L19" s="195" t="s">
        <v>29</v>
      </c>
      <c r="M19">
        <v>68</v>
      </c>
      <c r="N19">
        <v>79.75</v>
      </c>
      <c r="O19">
        <v>20</v>
      </c>
      <c r="P19" s="197">
        <v>137</v>
      </c>
      <c r="Q19" s="196">
        <f>224.61+4.16</f>
        <v>228.77</v>
      </c>
      <c r="R19" s="197">
        <v>78</v>
      </c>
    </row>
    <row r="20" spans="1:18" ht="15.75" thickBot="1" x14ac:dyDescent="0.3">
      <c r="L20" s="195" t="s">
        <v>79</v>
      </c>
      <c r="M20">
        <v>48</v>
      </c>
      <c r="N20">
        <v>27.5</v>
      </c>
      <c r="O20">
        <v>9</v>
      </c>
      <c r="P20" s="197"/>
      <c r="Q20" s="197"/>
      <c r="R20" s="197"/>
    </row>
    <row r="21" spans="1:18" ht="15.75" thickBot="1" x14ac:dyDescent="0.3">
      <c r="D21" s="193" t="s">
        <v>315</v>
      </c>
      <c r="E21" s="171">
        <f>((PI()*(SQRT($B$7^2-($E$10-$B$8)^2)+$B$4-$B$7)^2*($E$10-$E$3)-$B$9^2*PI()*($E$10-$E$3))/1.4+$B$9^2*PI()*($E$10-$E$3))/1000000</f>
        <v>4.4869443434401521</v>
      </c>
      <c r="F21" t="s">
        <v>316</v>
      </c>
      <c r="L21" s="195" t="s">
        <v>80</v>
      </c>
      <c r="M21">
        <v>75</v>
      </c>
      <c r="N21">
        <v>47</v>
      </c>
      <c r="O21">
        <v>16</v>
      </c>
      <c r="P21" s="197">
        <v>101</v>
      </c>
      <c r="Q21" s="197">
        <v>179</v>
      </c>
      <c r="R21" s="197">
        <v>20</v>
      </c>
    </row>
    <row r="22" spans="1:18" x14ac:dyDescent="0.25">
      <c r="L22" t="s">
        <v>119</v>
      </c>
      <c r="M22">
        <v>88.5</v>
      </c>
      <c r="N22">
        <v>64.75</v>
      </c>
      <c r="O22">
        <v>0</v>
      </c>
    </row>
    <row r="23" spans="1:18" x14ac:dyDescent="0.25">
      <c r="D23" s="11" t="s">
        <v>341</v>
      </c>
      <c r="L23" s="195" t="s">
        <v>81</v>
      </c>
      <c r="M23">
        <v>118</v>
      </c>
      <c r="N23">
        <v>79.75</v>
      </c>
      <c r="O23">
        <v>20</v>
      </c>
      <c r="P23" s="197"/>
      <c r="Q23" s="197"/>
      <c r="R23" s="197"/>
    </row>
    <row r="24" spans="1:18" x14ac:dyDescent="0.25">
      <c r="L24" s="195" t="s">
        <v>33</v>
      </c>
      <c r="M24">
        <v>70</v>
      </c>
      <c r="N24">
        <v>54.75</v>
      </c>
      <c r="O24">
        <v>54</v>
      </c>
      <c r="P24" s="197">
        <v>55</v>
      </c>
      <c r="Q24" s="197">
        <v>66.5</v>
      </c>
      <c r="R24" s="197">
        <v>31.1</v>
      </c>
    </row>
    <row r="25" spans="1:18" x14ac:dyDescent="0.25">
      <c r="L25" s="195" t="s">
        <v>34</v>
      </c>
      <c r="M25">
        <v>110</v>
      </c>
      <c r="N25">
        <v>84</v>
      </c>
      <c r="O25">
        <v>83</v>
      </c>
      <c r="P25" s="197">
        <v>71.5</v>
      </c>
      <c r="Q25" s="197">
        <v>169.5</v>
      </c>
      <c r="R25" s="197">
        <v>41.5</v>
      </c>
    </row>
    <row r="29" spans="1:18" x14ac:dyDescent="0.25">
      <c r="D29" t="s">
        <v>338</v>
      </c>
      <c r="E29">
        <f>(PI()*($B$7^2*ASIN(($E$10-$B$8)/$B$7)/2-$B$7*$E$10+$B$4*$E$10+($E$10-$B$8)*SQRT($B$7^2-($E$10-$B$8)^2)/2)-PI()*($B$7^2*ASIN(($E$3-$B$8)/$B$7)/2-$B$7*$E$3+$B$4*$E$3+($E$3-$B$8)*SQRT($B$7^2-($E$3-$B$8)^2)/2))/1000000</f>
        <v>6.096585777560482E-3</v>
      </c>
      <c r="G29">
        <f>(D37-I37)/1000000</f>
        <v>465.072503438159</v>
      </c>
    </row>
    <row r="30" spans="1:18" x14ac:dyDescent="0.25">
      <c r="D30" t="s">
        <v>339</v>
      </c>
      <c r="E30">
        <f>(($B$7^2*ASIN(($E$10-$B$8)/$B$7)*(180/PI())/2-$B$7*$E$10+$B$4*$E$10+($E$10-$B$8)*SQRT($B$7^2-($E$10-$B$8)^2)/2)-($B$7^2*ASIN(($E$3-$B$8)/$B$7)*(180/PI())/2-$B$7*$E$3+$B$4*$E$3+($E$3-$B$8)*SQRT($B$7^2-($E$3-$B$8)^2)/2))/1000000</f>
        <v>2.9288320529390476E-2</v>
      </c>
    </row>
    <row r="33" spans="1:9" x14ac:dyDescent="0.25">
      <c r="A33" s="53">
        <v>1</v>
      </c>
      <c r="B33">
        <f>-(($B$7^2*($E$10-$B$8)*SQRT((-($E$10-$B$8)^2)/($B$7^2)+1)/$B$7))</f>
        <v>32835.639483955696</v>
      </c>
      <c r="C33">
        <v>5</v>
      </c>
      <c r="D33">
        <f>($B$4*$B$7*($E$10-$B$8)*SQRT((-($E$10-$B$8)^2/($B$7)^2)+1)/$B$7)</f>
        <v>-162211.99146265539</v>
      </c>
      <c r="F33" s="53">
        <v>1</v>
      </c>
      <c r="G33">
        <f>-(($B$7^2*($E$3-$B$8)*SQRT((-($E$3-$B$8)^2)/($B$7^2)+1)/$B$7))</f>
        <v>33688.498555368802</v>
      </c>
      <c r="H33">
        <v>5</v>
      </c>
      <c r="I33">
        <f>($B$4*$B$7*($E$3-$B$8)*SQRT((-($E$3-$B$8)^2/($B$7)^2)+1)/$B$7)</f>
        <v>-166425.21741424708</v>
      </c>
    </row>
    <row r="34" spans="1:9" x14ac:dyDescent="0.25">
      <c r="A34">
        <v>2</v>
      </c>
      <c r="B34">
        <f>7*$B$7*($E$10-$B$8)/(4*$B$7)</f>
        <v>-257.96576762011449</v>
      </c>
      <c r="C34">
        <v>6</v>
      </c>
      <c r="D34">
        <f>-(2*$B$4*$B$7*($E$10-$B$8)/$B$7)</f>
        <v>243224.86661325084</v>
      </c>
      <c r="F34">
        <v>2</v>
      </c>
      <c r="G34">
        <f>7*$B$7*($E$3-$B$8)/(4*$B$7)</f>
        <v>-262.59299327362169</v>
      </c>
      <c r="H34">
        <v>6</v>
      </c>
      <c r="I34">
        <f>-(2*$B$4*$B$7*($E$3-$B$8)/$B$7)</f>
        <v>247587.67937227181</v>
      </c>
    </row>
    <row r="35" spans="1:9" x14ac:dyDescent="0.25">
      <c r="A35">
        <v>3</v>
      </c>
      <c r="B35">
        <f>($B$7^2*SIN(3*SIN(($E$10-$B$8)/$B$7))/12)</f>
        <v>-1705.9592586528781</v>
      </c>
      <c r="C35">
        <v>7</v>
      </c>
      <c r="D35">
        <f>$B$4*$B$7*ASIN(($E$10-$B$8)/$B$7)</f>
        <v>-149010.95491878738</v>
      </c>
      <c r="F35">
        <v>3</v>
      </c>
      <c r="G35">
        <f>($B$7^2*SIN(3*SIN(($E$3-$B$8)/$B$7))/12)</f>
        <v>-1658.0546317987712</v>
      </c>
      <c r="H35">
        <v>7</v>
      </c>
      <c r="I35">
        <f>$B$4*$B$7*ASIN(($E$3-$B$8)/$B$7)</f>
        <v>-153810.63966766468</v>
      </c>
    </row>
    <row r="36" spans="1:9" x14ac:dyDescent="0.25">
      <c r="A36" s="53">
        <v>4</v>
      </c>
      <c r="B36">
        <f>-($B$7^2*ASIN(($E$10-$B$8)/$B$7))</f>
        <v>30163.429662348473</v>
      </c>
      <c r="C36">
        <v>8</v>
      </c>
      <c r="D36">
        <f>-($E$10-$B$8)/$B$7</f>
        <v>0.88268868304572967</v>
      </c>
      <c r="E36" s="82"/>
      <c r="F36" s="53">
        <v>4</v>
      </c>
      <c r="G36">
        <f>-($B$7^2*ASIN(($E$3-$B$8)/$B$7))</f>
        <v>31135.002211515155</v>
      </c>
      <c r="H36">
        <v>8</v>
      </c>
      <c r="I36">
        <f>-($E$3-$B$8)/$B$7</f>
        <v>0.89852179049998848</v>
      </c>
    </row>
    <row r="37" spans="1:9" x14ac:dyDescent="0.25">
      <c r="D37">
        <f>(SUM(B33:B36,D33:D36))*PI()*$B$8*$B$7</f>
        <v>-1163704254.6786108</v>
      </c>
      <c r="F37" s="53"/>
      <c r="I37">
        <f>(SUM(G33:G36,I33:I36))*PI()*$B$8*$B$7</f>
        <v>-1628776758.1167698</v>
      </c>
    </row>
    <row r="39" spans="1:9" x14ac:dyDescent="0.25">
      <c r="E39">
        <f>(D37-I37)/1000000</f>
        <v>465.072503438159</v>
      </c>
    </row>
  </sheetData>
  <mergeCells count="1">
    <mergeCell ref="A1:B1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dimension ref="A1:R2049"/>
  <sheetViews>
    <sheetView workbookViewId="0">
      <selection activeCell="F5" sqref="F5"/>
    </sheetView>
  </sheetViews>
  <sheetFormatPr defaultRowHeight="15" x14ac:dyDescent="0.25"/>
  <cols>
    <col min="1" max="1" width="22.140625" customWidth="1"/>
    <col min="2" max="3" width="14.140625" bestFit="1" customWidth="1"/>
    <col min="5" max="5" width="18.42578125" customWidth="1"/>
    <col min="6" max="6" width="18.85546875" customWidth="1"/>
    <col min="7" max="7" width="12.7109375" bestFit="1" customWidth="1"/>
    <col min="14" max="14" width="12.140625" customWidth="1"/>
    <col min="15" max="15" width="13.5703125" customWidth="1"/>
    <col min="17" max="17" width="15.85546875" customWidth="1"/>
    <col min="18" max="18" width="12.7109375" bestFit="1" customWidth="1"/>
  </cols>
  <sheetData>
    <row r="1" spans="1:18" ht="15.75" thickBot="1" x14ac:dyDescent="0.3"/>
    <row r="2" spans="1:18" ht="15.75" thickBot="1" x14ac:dyDescent="0.3">
      <c r="A2" t="s">
        <v>83</v>
      </c>
      <c r="B2" t="str">
        <f>ZG!$B$44</f>
        <v>ZG5</v>
      </c>
      <c r="M2" s="294" t="s">
        <v>82</v>
      </c>
      <c r="N2" s="295"/>
      <c r="O2" s="295"/>
      <c r="P2" s="295"/>
      <c r="Q2" s="295"/>
      <c r="R2" s="296"/>
    </row>
    <row r="3" spans="1:18" ht="30" x14ac:dyDescent="0.25">
      <c r="A3" s="297" t="s">
        <v>54</v>
      </c>
      <c r="B3" s="298"/>
      <c r="C3" s="298"/>
      <c r="D3" s="298"/>
      <c r="E3" s="298"/>
      <c r="F3" s="299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 x14ac:dyDescent="0.25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 x14ac:dyDescent="0.25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 x14ac:dyDescent="0.25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 x14ac:dyDescent="0.25">
      <c r="A7" s="300" t="s">
        <v>55</v>
      </c>
      <c r="B7" s="261"/>
      <c r="C7" s="261"/>
      <c r="D7" s="261"/>
      <c r="E7" s="261"/>
      <c r="F7" s="301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 x14ac:dyDescent="0.25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 x14ac:dyDescent="0.25">
      <c r="A9" s="26" t="s">
        <v>68</v>
      </c>
      <c r="B9" t="s">
        <v>56</v>
      </c>
      <c r="C9">
        <f>Input!$D$9+(2*$C$8)</f>
        <v>1650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 x14ac:dyDescent="0.25">
      <c r="A10" s="26" t="s">
        <v>69</v>
      </c>
      <c r="B10" t="s">
        <v>50</v>
      </c>
      <c r="C10">
        <f>$C$9</f>
        <v>1650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 x14ac:dyDescent="0.25">
      <c r="A11" s="26" t="s">
        <v>70</v>
      </c>
      <c r="B11" t="s">
        <v>51</v>
      </c>
      <c r="C11">
        <f>0.1*$C$10</f>
        <v>165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 x14ac:dyDescent="0.25">
      <c r="A12" s="26"/>
      <c r="B12" t="s">
        <v>12</v>
      </c>
      <c r="C12" s="58">
        <f>($C$9/2-$C$11)*$C$10/($C$10-$C$11)</f>
        <v>733.33333333333337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30" x14ac:dyDescent="0.25">
      <c r="A13" s="66" t="s">
        <v>93</v>
      </c>
      <c r="B13" t="s">
        <v>57</v>
      </c>
      <c r="C13" s="58">
        <f>$C$10-((($C$10-$C$11)^2)-(($C$9/2-$C$11)^2))^(0.5)</f>
        <v>319.72747153073919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30" x14ac:dyDescent="0.25">
      <c r="A14" s="66" t="s">
        <v>94</v>
      </c>
      <c r="B14" t="s">
        <v>58</v>
      </c>
      <c r="C14" s="58">
        <f>$C$10*(1-(($C$10-$C$13)/($C$10-$C$11)))</f>
        <v>171.9194128119324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45" x14ac:dyDescent="0.25">
      <c r="A15" s="66" t="s">
        <v>95</v>
      </c>
      <c r="B15" t="s">
        <v>59</v>
      </c>
      <c r="C15" s="58">
        <f>$C$13-$C$14</f>
        <v>147.80805871880679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5.75" thickBot="1" x14ac:dyDescent="0.3">
      <c r="A16" s="78"/>
      <c r="B16" s="59" t="s">
        <v>115</v>
      </c>
      <c r="C16" s="60">
        <f>($C$9/2-$C$11)</f>
        <v>660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5.75" thickBot="1" x14ac:dyDescent="0.3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5.75" thickBot="1" x14ac:dyDescent="0.3">
      <c r="A18" s="294" t="s">
        <v>61</v>
      </c>
      <c r="B18" s="295"/>
      <c r="C18" s="295"/>
      <c r="D18" s="295"/>
      <c r="E18" s="295"/>
      <c r="F18" s="295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 x14ac:dyDescent="0.25">
      <c r="A19" s="26" t="s">
        <v>73</v>
      </c>
      <c r="B19" s="54" t="s">
        <v>72</v>
      </c>
      <c r="C19" s="62">
        <f>IF($C$9&lt;1000,$C$12/2,$C$12*0.4)</f>
        <v>293.33333333333337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x14ac:dyDescent="0.25">
      <c r="A20" s="66" t="s">
        <v>62</v>
      </c>
      <c r="B20" t="s">
        <v>65</v>
      </c>
      <c r="C20" s="63">
        <f>ASIN($C$19/$C$10)</f>
        <v>0.17872779475577347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30" x14ac:dyDescent="0.25">
      <c r="A21" s="66" t="s">
        <v>63</v>
      </c>
      <c r="B21" t="s">
        <v>66</v>
      </c>
      <c r="C21" s="64">
        <f>$C$10-(($C$10^2)-(VLOOKUP($B$2,$M$4:$R$23,2,FALSE)/2)^2)^0.5</f>
        <v>0.66952977882579034</v>
      </c>
      <c r="G21" s="27"/>
      <c r="M21" s="26" t="s">
        <v>81</v>
      </c>
      <c r="O21" s="40"/>
      <c r="Q21" s="40"/>
      <c r="R21" s="27">
        <v>40</v>
      </c>
    </row>
    <row r="22" spans="1:18" ht="30.75" thickBot="1" x14ac:dyDescent="0.3">
      <c r="A22" s="66" t="s">
        <v>64</v>
      </c>
      <c r="B22" t="s">
        <v>67</v>
      </c>
      <c r="C22" s="65">
        <f>$C$10-(($C$10^2-$C$19^2)^0.5)</f>
        <v>26.283412797801248</v>
      </c>
      <c r="G22" s="27"/>
      <c r="M22" s="26" t="s">
        <v>33</v>
      </c>
      <c r="N22">
        <v>109.5</v>
      </c>
      <c r="O22" s="40"/>
      <c r="Q22" s="40"/>
      <c r="R22" s="27"/>
    </row>
    <row r="23" spans="1:18" ht="15.75" thickBot="1" x14ac:dyDescent="0.3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 x14ac:dyDescent="0.3">
      <c r="A24" s="302" t="s">
        <v>85</v>
      </c>
      <c r="B24" s="290"/>
      <c r="C24" s="290"/>
      <c r="E24" s="291" t="s">
        <v>86</v>
      </c>
      <c r="F24" s="291"/>
      <c r="G24" s="292"/>
      <c r="H24" s="61"/>
      <c r="I24" s="61"/>
      <c r="J24" s="61"/>
      <c r="K24" s="61"/>
    </row>
    <row r="25" spans="1:18" ht="30" x14ac:dyDescent="0.25">
      <c r="A25" s="66" t="s">
        <v>84</v>
      </c>
      <c r="B25" t="s">
        <v>87</v>
      </c>
      <c r="C25" s="67">
        <f>VLOOKUP($B$2,$M$4:$R$23,3,FALSE)</f>
        <v>7.92</v>
      </c>
      <c r="E25" s="53" t="s">
        <v>96</v>
      </c>
      <c r="F25" t="s">
        <v>90</v>
      </c>
      <c r="G25" s="67">
        <f>VLOOKUP($B$2,$M$4:$R$23,5,FALSE)</f>
        <v>122</v>
      </c>
    </row>
    <row r="26" spans="1:18" ht="45" x14ac:dyDescent="0.25">
      <c r="A26" s="26"/>
      <c r="B26" s="53" t="s">
        <v>88</v>
      </c>
      <c r="C26" s="68">
        <f>VLOOKUP($B$2,$M$4:$R$23,4,FALSE)*SIN($C$20)/2</f>
        <v>13.155555555555559</v>
      </c>
      <c r="F26" s="53" t="s">
        <v>91</v>
      </c>
      <c r="G26" s="68">
        <f>VLOOKUP($B$2,$M$4:$R$23,6,FALSE)*SIN($C$20)/2</f>
        <v>2.844444444444445</v>
      </c>
    </row>
    <row r="27" spans="1:18" ht="15.75" thickBot="1" x14ac:dyDescent="0.3">
      <c r="A27" s="26" t="s">
        <v>85</v>
      </c>
      <c r="B27" s="44" t="s">
        <v>89</v>
      </c>
      <c r="C27" s="65">
        <f>($C$22+$C$21)*COS($C$20)+$C$25+$C$26</f>
        <v>47.599155516511736</v>
      </c>
      <c r="E27" t="s">
        <v>86</v>
      </c>
      <c r="F27" t="s">
        <v>92</v>
      </c>
      <c r="G27" s="71">
        <f>($C$22+$C$21)*COS($C$20)+G25+G26</f>
        <v>151.36804440540061</v>
      </c>
    </row>
    <row r="28" spans="1:18" x14ac:dyDescent="0.25">
      <c r="B28" s="44" t="s">
        <v>117</v>
      </c>
      <c r="C28" s="79">
        <f>$C$10-$C$27</f>
        <v>1602.4008444834883</v>
      </c>
      <c r="F28" t="s">
        <v>118</v>
      </c>
      <c r="G28" s="27">
        <f>$C$10-$G$27</f>
        <v>1498.6319555945993</v>
      </c>
    </row>
    <row r="29" spans="1:18" ht="27" customHeight="1" thickBot="1" x14ac:dyDescent="0.3">
      <c r="B29" s="290" t="s">
        <v>107</v>
      </c>
      <c r="C29" s="290"/>
      <c r="F29" s="291" t="s">
        <v>86</v>
      </c>
      <c r="G29" s="292"/>
      <c r="H29" s="44"/>
      <c r="I29" s="44"/>
      <c r="J29" s="44"/>
      <c r="K29" s="44"/>
    </row>
    <row r="30" spans="1:18" x14ac:dyDescent="0.25">
      <c r="A30" s="26" t="s">
        <v>97</v>
      </c>
      <c r="B30" t="s">
        <v>98</v>
      </c>
      <c r="C30" s="67">
        <f>-$C$10</f>
        <v>-1650</v>
      </c>
      <c r="F30" t="s">
        <v>98</v>
      </c>
      <c r="G30" s="67">
        <f>-$C$10</f>
        <v>-1650</v>
      </c>
      <c r="L30" s="44"/>
    </row>
    <row r="31" spans="1:18" x14ac:dyDescent="0.25">
      <c r="A31" s="26"/>
      <c r="B31" s="44" t="s">
        <v>99</v>
      </c>
      <c r="C31" s="70">
        <f>-$C$10+IF($C$27&lt;$C$14,$C$27,$C$14)</f>
        <v>-1602.4008444834883</v>
      </c>
      <c r="F31" t="s">
        <v>99</v>
      </c>
      <c r="G31" s="70">
        <f>-$C$10+IF($G$27&lt;$C$14,$G$27,$C$14)</f>
        <v>-1498.6319555945993</v>
      </c>
      <c r="L31" s="44"/>
    </row>
    <row r="32" spans="1:18" x14ac:dyDescent="0.25">
      <c r="A32" s="26"/>
      <c r="B32" s="44" t="s">
        <v>100</v>
      </c>
      <c r="C32" s="70">
        <f>($C$10^2)*($C$30)-(($C$30)^3)/3</f>
        <v>-2994750000</v>
      </c>
      <c r="F32" t="s">
        <v>100</v>
      </c>
      <c r="G32" s="70">
        <f>($C$10^2)*($G$30)-(($G$30)^3)/3</f>
        <v>-2994750000</v>
      </c>
      <c r="L32" s="44"/>
    </row>
    <row r="33" spans="1:15" x14ac:dyDescent="0.25">
      <c r="A33" s="26"/>
      <c r="B33" t="s">
        <v>101</v>
      </c>
      <c r="C33" s="70">
        <f>($C$10^2)*($C$31)-(($C$31)^3)/3</f>
        <v>-2991047576.7955933</v>
      </c>
      <c r="F33" t="s">
        <v>101</v>
      </c>
      <c r="G33" s="70">
        <f>($C$10^2)*($G$31)-(($G$31)^3)/3</f>
        <v>-2958100792.5536575</v>
      </c>
      <c r="L33" s="44"/>
    </row>
    <row r="34" spans="1:15" ht="15.75" thickBot="1" x14ac:dyDescent="0.3">
      <c r="A34" s="26"/>
      <c r="B34" t="s">
        <v>13</v>
      </c>
      <c r="C34" s="71">
        <f>($C$33-$C$32)*PI()</f>
        <v>11631505.53944459</v>
      </c>
      <c r="F34" t="s">
        <v>13</v>
      </c>
      <c r="G34" s="71">
        <f>($G$33-$G$32)*PI()</f>
        <v>115136880.87331784</v>
      </c>
      <c r="L34" s="44"/>
    </row>
    <row r="35" spans="1:15" ht="15.75" thickBot="1" x14ac:dyDescent="0.3">
      <c r="A35" s="26"/>
      <c r="G35" s="27"/>
    </row>
    <row r="36" spans="1:15" x14ac:dyDescent="0.25">
      <c r="A36" s="26" t="s">
        <v>55</v>
      </c>
      <c r="B36" t="s">
        <v>98</v>
      </c>
      <c r="C36" s="67">
        <f>IF($C$27&gt;$C$14,$C$14,0)</f>
        <v>0</v>
      </c>
      <c r="F36" t="s">
        <v>98</v>
      </c>
      <c r="G36" s="67">
        <f>IF($G$27&gt;$C$14,$C$14,0)</f>
        <v>0</v>
      </c>
      <c r="L36" s="44"/>
    </row>
    <row r="37" spans="1:15" x14ac:dyDescent="0.25">
      <c r="A37" s="26"/>
      <c r="B37" t="s">
        <v>99</v>
      </c>
      <c r="C37" s="70">
        <f>IF($C$27&gt;$C$14,IF($C$13&gt;$C$27,$C$27,$C$13),0)</f>
        <v>0</v>
      </c>
      <c r="F37" t="s">
        <v>99</v>
      </c>
      <c r="G37" s="75">
        <f>IF($G$27&gt;$C$14,IF($C$13&gt;$G$27,$G$27,$C$13),0)</f>
        <v>0</v>
      </c>
      <c r="O37" s="44"/>
    </row>
    <row r="38" spans="1:15" ht="15.75" thickBot="1" x14ac:dyDescent="0.3">
      <c r="A38" s="26"/>
      <c r="B38" t="s">
        <v>13</v>
      </c>
      <c r="C38" s="69">
        <f>SUM($E$50:$E$2049)*PI()</f>
        <v>0</v>
      </c>
      <c r="F38" t="s">
        <v>13</v>
      </c>
      <c r="G38" s="69" t="e">
        <f>SUM($K$50:$K$2048)*PI()</f>
        <v>#NUM!</v>
      </c>
      <c r="L38" s="44"/>
    </row>
    <row r="39" spans="1:15" ht="15.75" thickBot="1" x14ac:dyDescent="0.3">
      <c r="A39" s="26"/>
      <c r="G39" s="27"/>
    </row>
    <row r="40" spans="1:15" x14ac:dyDescent="0.25">
      <c r="A40" s="26" t="s">
        <v>102</v>
      </c>
      <c r="B40" t="s">
        <v>98</v>
      </c>
      <c r="C40" s="67">
        <f>IF($C$33&gt;$G$25,0,0)</f>
        <v>0</v>
      </c>
      <c r="F40" t="s">
        <v>98</v>
      </c>
      <c r="G40" s="67">
        <f>IF($G$33&gt;$G$25,0,0)</f>
        <v>0</v>
      </c>
      <c r="O40" s="44"/>
    </row>
    <row r="41" spans="1:15" x14ac:dyDescent="0.25">
      <c r="A41" s="26"/>
      <c r="B41" t="s">
        <v>99</v>
      </c>
      <c r="C41" s="70">
        <f>IF($C$27&gt;$C$13,$C$27-$C$13,D41)</f>
        <v>0</v>
      </c>
      <c r="F41" t="s">
        <v>99</v>
      </c>
      <c r="G41" s="70">
        <f>IF($G$27&gt;$C$13,$G$27-$C$13,0)</f>
        <v>0</v>
      </c>
      <c r="L41" s="44"/>
      <c r="O41" s="44"/>
    </row>
    <row r="42" spans="1:15" ht="15.75" thickBot="1" x14ac:dyDescent="0.3">
      <c r="A42" s="26"/>
      <c r="B42" t="s">
        <v>13</v>
      </c>
      <c r="C42" s="71">
        <f>PI()*($C$9^2)*$C$41/4</f>
        <v>0</v>
      </c>
      <c r="F42" t="s">
        <v>13</v>
      </c>
      <c r="G42" s="69">
        <f>PI()*($C$9^2)*$G$41/4</f>
        <v>0</v>
      </c>
      <c r="L42" s="44"/>
      <c r="O42" s="44"/>
    </row>
    <row r="43" spans="1:15" ht="15.75" thickBot="1" x14ac:dyDescent="0.3">
      <c r="A43" s="26"/>
      <c r="G43" s="27"/>
    </row>
    <row r="44" spans="1:15" ht="30" x14ac:dyDescent="0.25">
      <c r="A44" s="72" t="s">
        <v>103</v>
      </c>
      <c r="C44" s="67">
        <f>$C$34+$C$38+$C$42</f>
        <v>11631505.53944459</v>
      </c>
      <c r="F44" s="7" t="s">
        <v>105</v>
      </c>
      <c r="G44" s="67" t="e">
        <f>$G$34+$G$38+$G$42</f>
        <v>#NUM!</v>
      </c>
    </row>
    <row r="45" spans="1:15" ht="30.75" thickBot="1" x14ac:dyDescent="0.3">
      <c r="A45" s="73" t="s">
        <v>104</v>
      </c>
      <c r="B45" s="59"/>
      <c r="C45" s="76">
        <f>$C$44/10^6</f>
        <v>11.631505539444589</v>
      </c>
      <c r="D45" s="59"/>
      <c r="E45" s="59"/>
      <c r="F45" s="74" t="s">
        <v>106</v>
      </c>
      <c r="G45" s="76" t="e">
        <f>$G$44/10^6</f>
        <v>#NUM!</v>
      </c>
    </row>
    <row r="46" spans="1:15" x14ac:dyDescent="0.25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 x14ac:dyDescent="0.25">
      <c r="A47" s="293" t="s">
        <v>108</v>
      </c>
      <c r="B47" s="291"/>
      <c r="C47" s="291"/>
      <c r="D47" s="291"/>
      <c r="E47" s="291"/>
      <c r="F47" s="291"/>
      <c r="G47" s="291"/>
      <c r="H47" s="291"/>
      <c r="I47" s="291"/>
      <c r="J47" s="291"/>
      <c r="K47" s="292"/>
    </row>
    <row r="48" spans="1:15" x14ac:dyDescent="0.25">
      <c r="A48" s="293" t="s">
        <v>109</v>
      </c>
      <c r="B48" s="291"/>
      <c r="C48" s="291"/>
      <c r="D48" s="291"/>
      <c r="E48" s="291"/>
      <c r="G48" s="291" t="s">
        <v>114</v>
      </c>
      <c r="H48" s="291"/>
      <c r="I48" s="291"/>
      <c r="J48" s="291"/>
      <c r="K48" s="292"/>
    </row>
    <row r="49" spans="1:14" x14ac:dyDescent="0.25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 x14ac:dyDescent="0.25">
      <c r="A50" s="26">
        <v>0</v>
      </c>
      <c r="B50" s="82">
        <v>0</v>
      </c>
      <c r="C50" s="58">
        <f>$C$14</f>
        <v>171.9194128119324</v>
      </c>
      <c r="D50" s="83">
        <f>IF($G$28&lt;$C$14,0,((($C$11^2)-((C50-$C$13)^2))^0.5)+$C$16)</f>
        <v>733.33333333333326</v>
      </c>
      <c r="E50">
        <f>((D50^2)+(D50*D51)+(D51^2))*B51/3</f>
        <v>0</v>
      </c>
      <c r="G50">
        <v>0</v>
      </c>
      <c r="H50">
        <v>0</v>
      </c>
      <c r="I50" s="58">
        <f>$C$14</f>
        <v>171.9194128119324</v>
      </c>
      <c r="J50">
        <f>IF($G$28&lt;$C$14,0,((($C$11^2)-((I50-$C$13)^2))^0.5)+$C$16)</f>
        <v>733.33333333333326</v>
      </c>
      <c r="K50" s="27">
        <f>((J50^2)+(J50*J51)+(J51^2))*H51/3</f>
        <v>-5525.8785199108888</v>
      </c>
      <c r="M50" s="44"/>
      <c r="N50" s="44"/>
    </row>
    <row r="51" spans="1:14" x14ac:dyDescent="0.25">
      <c r="A51" s="26">
        <v>1</v>
      </c>
      <c r="B51" s="82">
        <f>C51-C50</f>
        <v>0</v>
      </c>
      <c r="C51" s="58">
        <f>($C$37-$C$36)/2000+C50</f>
        <v>171.9194128119324</v>
      </c>
      <c r="D51" s="83">
        <f>IF($G$28&lt;$C$14,0,((($C$11^2)-((C51-$C$13)^2))^0.5)+$C$16)</f>
        <v>733.33333333333326</v>
      </c>
      <c r="E51">
        <f t="shared" ref="E51:E114" si="0">((D51^2)+(D51*D52)+(D52^2))*B52/3</f>
        <v>0</v>
      </c>
      <c r="G51">
        <v>1</v>
      </c>
      <c r="H51" s="13">
        <f>I51-I50</f>
        <v>-1.0275684203264746E-2</v>
      </c>
      <c r="I51">
        <f>($G$27-$C$14)/2000+I50</f>
        <v>171.90913712772914</v>
      </c>
      <c r="J51">
        <f t="shared" ref="J51:J114" si="1">IF($G$28&lt;$C$14,0,((($C$11^2)-((I51-$C$13)^2))^0.5)+$C$16)</f>
        <v>733.31261838401281</v>
      </c>
      <c r="K51" s="27">
        <f t="shared" ref="K51:K114" si="2">((J51^2)+(J51*J52)+(J52^2))*H52/3</f>
        <v>-5525.5662786835628</v>
      </c>
      <c r="M51" s="44"/>
    </row>
    <row r="52" spans="1:14" x14ac:dyDescent="0.25">
      <c r="A52" s="26">
        <v>2</v>
      </c>
      <c r="B52" s="82">
        <f t="shared" ref="B52:B115" si="3">C52-C51</f>
        <v>0</v>
      </c>
      <c r="C52" s="58">
        <f t="shared" ref="C52:C58" si="4">($C$37-$C$36)/2000+C51</f>
        <v>171.9194128119324</v>
      </c>
      <c r="D52" s="83">
        <f t="shared" ref="D52:D115" si="5">IF($G$28&lt;$C$14,0,((($C$11^2)-((C52-$C$13)^2))^0.5)+$C$16)</f>
        <v>733.33333333333326</v>
      </c>
      <c r="E52">
        <f t="shared" si="0"/>
        <v>0</v>
      </c>
      <c r="G52">
        <v>2</v>
      </c>
      <c r="H52" s="13">
        <f t="shared" ref="H52:H115" si="6">I52-I51</f>
        <v>-1.0275684203264746E-2</v>
      </c>
      <c r="I52">
        <f t="shared" ref="I52:I115" si="7">($G$27-$C$14)/2000+I51</f>
        <v>171.89886144352587</v>
      </c>
      <c r="J52">
        <f t="shared" si="1"/>
        <v>733.29189613922301</v>
      </c>
      <c r="K52" s="27">
        <f t="shared" si="2"/>
        <v>-5525.2539362892048</v>
      </c>
      <c r="M52" s="44"/>
    </row>
    <row r="53" spans="1:14" x14ac:dyDescent="0.25">
      <c r="A53" s="26">
        <v>3</v>
      </c>
      <c r="B53" s="82">
        <f t="shared" si="3"/>
        <v>0</v>
      </c>
      <c r="C53" s="58">
        <f t="shared" si="4"/>
        <v>171.9194128119324</v>
      </c>
      <c r="D53" s="83">
        <f t="shared" si="5"/>
        <v>733.33333333333326</v>
      </c>
      <c r="E53">
        <f t="shared" si="0"/>
        <v>0</v>
      </c>
      <c r="G53">
        <v>3</v>
      </c>
      <c r="H53" s="13">
        <f t="shared" si="6"/>
        <v>-1.0275684203264746E-2</v>
      </c>
      <c r="I53">
        <f t="shared" si="7"/>
        <v>171.88858575932261</v>
      </c>
      <c r="J53">
        <f t="shared" si="1"/>
        <v>733.27116659277397</v>
      </c>
      <c r="K53" s="27">
        <f t="shared" si="2"/>
        <v>-5524.9414926437958</v>
      </c>
    </row>
    <row r="54" spans="1:14" x14ac:dyDescent="0.25">
      <c r="A54" s="26">
        <v>4</v>
      </c>
      <c r="B54" s="82">
        <f t="shared" si="3"/>
        <v>0</v>
      </c>
      <c r="C54" s="58">
        <f t="shared" si="4"/>
        <v>171.9194128119324</v>
      </c>
      <c r="D54" s="83">
        <f t="shared" si="5"/>
        <v>733.33333333333326</v>
      </c>
      <c r="E54">
        <f t="shared" si="0"/>
        <v>0</v>
      </c>
      <c r="G54">
        <v>4</v>
      </c>
      <c r="H54" s="13">
        <f t="shared" si="6"/>
        <v>-1.0275684203264746E-2</v>
      </c>
      <c r="I54">
        <f t="shared" si="7"/>
        <v>171.87831007511934</v>
      </c>
      <c r="J54">
        <f t="shared" si="1"/>
        <v>733.25042973846678</v>
      </c>
      <c r="K54" s="27">
        <f t="shared" si="2"/>
        <v>-5524.6289476631864</v>
      </c>
    </row>
    <row r="55" spans="1:14" x14ac:dyDescent="0.25">
      <c r="A55" s="26">
        <v>5</v>
      </c>
      <c r="B55" s="82">
        <f t="shared" si="3"/>
        <v>0</v>
      </c>
      <c r="C55" s="58">
        <f t="shared" si="4"/>
        <v>171.9194128119324</v>
      </c>
      <c r="D55" s="83">
        <f t="shared" si="5"/>
        <v>733.33333333333326</v>
      </c>
      <c r="E55">
        <f t="shared" si="0"/>
        <v>0</v>
      </c>
      <c r="G55">
        <v>5</v>
      </c>
      <c r="H55" s="13">
        <f t="shared" si="6"/>
        <v>-1.0275684203264746E-2</v>
      </c>
      <c r="I55">
        <f t="shared" si="7"/>
        <v>171.86803439091608</v>
      </c>
      <c r="J55">
        <f t="shared" si="1"/>
        <v>733.22968557009312</v>
      </c>
      <c r="K55" s="27">
        <f t="shared" si="2"/>
        <v>-5524.3163012631076</v>
      </c>
    </row>
    <row r="56" spans="1:14" x14ac:dyDescent="0.25">
      <c r="A56" s="26">
        <v>6</v>
      </c>
      <c r="B56" s="82">
        <f t="shared" si="3"/>
        <v>0</v>
      </c>
      <c r="C56" s="58">
        <f t="shared" si="4"/>
        <v>171.9194128119324</v>
      </c>
      <c r="D56" s="83">
        <f t="shared" si="5"/>
        <v>733.33333333333326</v>
      </c>
      <c r="E56">
        <f t="shared" si="0"/>
        <v>0</v>
      </c>
      <c r="G56">
        <v>6</v>
      </c>
      <c r="H56" s="13">
        <f t="shared" si="6"/>
        <v>-1.0275684203264746E-2</v>
      </c>
      <c r="I56">
        <f t="shared" si="7"/>
        <v>171.85775870671281</v>
      </c>
      <c r="J56">
        <f t="shared" si="1"/>
        <v>733.20893408143547</v>
      </c>
      <c r="K56" s="27">
        <f t="shared" si="2"/>
        <v>-5524.0035533591654</v>
      </c>
    </row>
    <row r="57" spans="1:14" x14ac:dyDescent="0.25">
      <c r="A57" s="26">
        <v>7</v>
      </c>
      <c r="B57" s="82">
        <f t="shared" si="3"/>
        <v>0</v>
      </c>
      <c r="C57" s="58">
        <f t="shared" si="4"/>
        <v>171.9194128119324</v>
      </c>
      <c r="D57" s="83">
        <f t="shared" si="5"/>
        <v>733.33333333333326</v>
      </c>
      <c r="E57">
        <f t="shared" si="0"/>
        <v>0</v>
      </c>
      <c r="G57">
        <v>7</v>
      </c>
      <c r="H57" s="13">
        <f t="shared" si="6"/>
        <v>-1.0275684203264746E-2</v>
      </c>
      <c r="I57">
        <f t="shared" si="7"/>
        <v>171.84748302250955</v>
      </c>
      <c r="J57">
        <f t="shared" si="1"/>
        <v>733.18817526626731</v>
      </c>
      <c r="K57" s="27">
        <f t="shared" si="2"/>
        <v>-5523.6907038668387</v>
      </c>
    </row>
    <row r="58" spans="1:14" x14ac:dyDescent="0.25">
      <c r="A58" s="26">
        <v>8</v>
      </c>
      <c r="B58" s="82">
        <f t="shared" si="3"/>
        <v>0</v>
      </c>
      <c r="C58" s="58">
        <f t="shared" si="4"/>
        <v>171.9194128119324</v>
      </c>
      <c r="D58" s="83">
        <f t="shared" si="5"/>
        <v>733.33333333333326</v>
      </c>
      <c r="E58">
        <f t="shared" si="0"/>
        <v>0</v>
      </c>
      <c r="G58">
        <v>8</v>
      </c>
      <c r="H58" s="13">
        <f t="shared" si="6"/>
        <v>-1.0275684203264746E-2</v>
      </c>
      <c r="I58">
        <f t="shared" si="7"/>
        <v>171.83720733830629</v>
      </c>
      <c r="J58">
        <f t="shared" si="1"/>
        <v>733.16740911835268</v>
      </c>
      <c r="K58" s="27">
        <f t="shared" si="2"/>
        <v>-5523.3777527014818</v>
      </c>
    </row>
    <row r="59" spans="1:14" x14ac:dyDescent="0.25">
      <c r="A59" s="26">
        <v>9</v>
      </c>
      <c r="B59" s="82">
        <f t="shared" si="3"/>
        <v>0</v>
      </c>
      <c r="C59" s="58">
        <f t="shared" ref="C59:C64" si="8">($C$37-$C$36)/2000+C58</f>
        <v>171.9194128119324</v>
      </c>
      <c r="D59" s="83">
        <f t="shared" si="5"/>
        <v>733.33333333333326</v>
      </c>
      <c r="E59">
        <f t="shared" si="0"/>
        <v>0</v>
      </c>
      <c r="G59">
        <v>9</v>
      </c>
      <c r="H59" s="13">
        <f t="shared" si="6"/>
        <v>-1.0275684203264746E-2</v>
      </c>
      <c r="I59">
        <f t="shared" si="7"/>
        <v>171.82693165410302</v>
      </c>
      <c r="J59">
        <f t="shared" si="1"/>
        <v>733.1466356314462</v>
      </c>
      <c r="K59" s="27">
        <f t="shared" si="2"/>
        <v>-5523.0646997783188</v>
      </c>
    </row>
    <row r="60" spans="1:14" x14ac:dyDescent="0.25">
      <c r="A60" s="26">
        <v>10</v>
      </c>
      <c r="B60" s="82">
        <f t="shared" si="3"/>
        <v>0</v>
      </c>
      <c r="C60" s="58">
        <f t="shared" si="8"/>
        <v>171.9194128119324</v>
      </c>
      <c r="D60" s="83">
        <f t="shared" si="5"/>
        <v>733.33333333333326</v>
      </c>
      <c r="E60">
        <f t="shared" si="0"/>
        <v>0</v>
      </c>
      <c r="G60">
        <v>10</v>
      </c>
      <c r="H60" s="13">
        <f t="shared" si="6"/>
        <v>-1.0275684203264746E-2</v>
      </c>
      <c r="I60">
        <f t="shared" si="7"/>
        <v>171.81665596989976</v>
      </c>
      <c r="J60">
        <f t="shared" si="1"/>
        <v>733.12585479929339</v>
      </c>
      <c r="K60" s="27">
        <f t="shared" si="2"/>
        <v>-5522.7515450124492</v>
      </c>
    </row>
    <row r="61" spans="1:14" x14ac:dyDescent="0.25">
      <c r="A61" s="26">
        <v>11</v>
      </c>
      <c r="B61" s="82">
        <f t="shared" si="3"/>
        <v>0</v>
      </c>
      <c r="C61" s="58">
        <f t="shared" si="8"/>
        <v>171.9194128119324</v>
      </c>
      <c r="D61" s="83">
        <f t="shared" si="5"/>
        <v>733.33333333333326</v>
      </c>
      <c r="E61">
        <f t="shared" si="0"/>
        <v>0</v>
      </c>
      <c r="G61">
        <v>11</v>
      </c>
      <c r="H61" s="13">
        <f t="shared" si="6"/>
        <v>-1.0275684203264746E-2</v>
      </c>
      <c r="I61">
        <f t="shared" si="7"/>
        <v>171.80638028569649</v>
      </c>
      <c r="J61">
        <f t="shared" si="1"/>
        <v>733.10506661563034</v>
      </c>
      <c r="K61" s="27">
        <f t="shared" si="2"/>
        <v>-5522.4382883188518</v>
      </c>
    </row>
    <row r="62" spans="1:14" x14ac:dyDescent="0.25">
      <c r="A62" s="26">
        <v>12</v>
      </c>
      <c r="B62" s="82">
        <f t="shared" si="3"/>
        <v>0</v>
      </c>
      <c r="C62" s="58">
        <f t="shared" si="8"/>
        <v>171.9194128119324</v>
      </c>
      <c r="D62" s="83">
        <f t="shared" si="5"/>
        <v>733.33333333333326</v>
      </c>
      <c r="E62">
        <f t="shared" si="0"/>
        <v>0</v>
      </c>
      <c r="G62">
        <v>12</v>
      </c>
      <c r="H62" s="13">
        <f t="shared" si="6"/>
        <v>-1.0275684203264746E-2</v>
      </c>
      <c r="I62">
        <f t="shared" si="7"/>
        <v>171.79610460149323</v>
      </c>
      <c r="J62">
        <f t="shared" si="1"/>
        <v>733.0842710741839</v>
      </c>
      <c r="K62" s="27">
        <f t="shared" si="2"/>
        <v>-5522.1249296123688</v>
      </c>
    </row>
    <row r="63" spans="1:14" x14ac:dyDescent="0.25">
      <c r="A63" s="26">
        <v>13</v>
      </c>
      <c r="B63" s="82">
        <f t="shared" si="3"/>
        <v>0</v>
      </c>
      <c r="C63" s="58">
        <f t="shared" si="8"/>
        <v>171.9194128119324</v>
      </c>
      <c r="D63" s="83">
        <f t="shared" si="5"/>
        <v>733.33333333333326</v>
      </c>
      <c r="E63">
        <f t="shared" si="0"/>
        <v>0</v>
      </c>
      <c r="G63">
        <v>13</v>
      </c>
      <c r="H63" s="13">
        <f t="shared" si="6"/>
        <v>-1.0275684203264746E-2</v>
      </c>
      <c r="I63">
        <f t="shared" si="7"/>
        <v>171.78582891728996</v>
      </c>
      <c r="J63">
        <f t="shared" si="1"/>
        <v>733.06346816867142</v>
      </c>
      <c r="K63" s="27">
        <f t="shared" si="2"/>
        <v>-5521.8114688077249</v>
      </c>
    </row>
    <row r="64" spans="1:14" x14ac:dyDescent="0.25">
      <c r="A64" s="26">
        <v>14</v>
      </c>
      <c r="B64" s="82">
        <f t="shared" si="3"/>
        <v>0</v>
      </c>
      <c r="C64" s="58">
        <f t="shared" si="8"/>
        <v>171.9194128119324</v>
      </c>
      <c r="D64" s="83">
        <f t="shared" si="5"/>
        <v>733.33333333333326</v>
      </c>
      <c r="E64">
        <f t="shared" si="0"/>
        <v>0</v>
      </c>
      <c r="G64">
        <v>14</v>
      </c>
      <c r="H64" s="13">
        <f t="shared" si="6"/>
        <v>-1.0275684203264746E-2</v>
      </c>
      <c r="I64">
        <f t="shared" si="7"/>
        <v>171.7755532330867</v>
      </c>
      <c r="J64">
        <f t="shared" si="1"/>
        <v>733.042657892801</v>
      </c>
      <c r="K64" s="27">
        <f t="shared" si="2"/>
        <v>-5521.4979058195095</v>
      </c>
    </row>
    <row r="65" spans="1:11" x14ac:dyDescent="0.25">
      <c r="A65" s="26">
        <v>15</v>
      </c>
      <c r="B65" s="82">
        <f t="shared" si="3"/>
        <v>0</v>
      </c>
      <c r="C65" s="58">
        <f t="shared" ref="C65:C79" si="9">($C$37-$C$36)/2000+C64</f>
        <v>171.9194128119324</v>
      </c>
      <c r="D65" s="83">
        <f t="shared" si="5"/>
        <v>733.33333333333326</v>
      </c>
      <c r="E65">
        <f t="shared" si="0"/>
        <v>0</v>
      </c>
      <c r="G65">
        <v>15</v>
      </c>
      <c r="H65" s="13">
        <f t="shared" si="6"/>
        <v>-1.0275684203264746E-2</v>
      </c>
      <c r="I65">
        <f t="shared" si="7"/>
        <v>171.76527754888343</v>
      </c>
      <c r="J65">
        <f t="shared" si="1"/>
        <v>733.02184024027122</v>
      </c>
      <c r="K65" s="27">
        <f t="shared" si="2"/>
        <v>-5521.1842405621874</v>
      </c>
    </row>
    <row r="66" spans="1:11" x14ac:dyDescent="0.25">
      <c r="A66" s="26">
        <v>16</v>
      </c>
      <c r="B66" s="82">
        <f t="shared" si="3"/>
        <v>0</v>
      </c>
      <c r="C66" s="58">
        <f t="shared" si="9"/>
        <v>171.9194128119324</v>
      </c>
      <c r="D66" s="83">
        <f t="shared" si="5"/>
        <v>733.33333333333326</v>
      </c>
      <c r="E66">
        <f t="shared" si="0"/>
        <v>0</v>
      </c>
      <c r="G66">
        <v>16</v>
      </c>
      <c r="H66" s="13">
        <f t="shared" si="6"/>
        <v>-1.0275684203264746E-2</v>
      </c>
      <c r="I66">
        <f t="shared" si="7"/>
        <v>171.75500186468017</v>
      </c>
      <c r="J66">
        <f t="shared" si="1"/>
        <v>733.00101520477119</v>
      </c>
      <c r="K66" s="27">
        <f t="shared" si="2"/>
        <v>-5520.8704729500996</v>
      </c>
    </row>
    <row r="67" spans="1:11" x14ac:dyDescent="0.25">
      <c r="A67" s="26">
        <v>17</v>
      </c>
      <c r="B67" s="82">
        <f t="shared" si="3"/>
        <v>0</v>
      </c>
      <c r="C67" s="58">
        <f t="shared" si="9"/>
        <v>171.9194128119324</v>
      </c>
      <c r="D67" s="83">
        <f t="shared" si="5"/>
        <v>733.33333333333326</v>
      </c>
      <c r="E67">
        <f t="shared" si="0"/>
        <v>0</v>
      </c>
      <c r="G67">
        <v>17</v>
      </c>
      <c r="H67" s="13">
        <f t="shared" si="6"/>
        <v>-1.0275684203264746E-2</v>
      </c>
      <c r="I67">
        <f t="shared" si="7"/>
        <v>171.7447261804769</v>
      </c>
      <c r="J67">
        <f t="shared" si="1"/>
        <v>732.98018277998096</v>
      </c>
      <c r="K67" s="27">
        <f t="shared" si="2"/>
        <v>-5520.5566028974499</v>
      </c>
    </row>
    <row r="68" spans="1:11" x14ac:dyDescent="0.25">
      <c r="A68" s="26">
        <v>18</v>
      </c>
      <c r="B68" s="82">
        <f t="shared" si="3"/>
        <v>0</v>
      </c>
      <c r="C68" s="58">
        <f t="shared" si="9"/>
        <v>171.9194128119324</v>
      </c>
      <c r="D68" s="83">
        <f t="shared" si="5"/>
        <v>733.33333333333326</v>
      </c>
      <c r="E68">
        <f t="shared" si="0"/>
        <v>0</v>
      </c>
      <c r="G68">
        <v>18</v>
      </c>
      <c r="H68" s="13">
        <f t="shared" si="6"/>
        <v>-1.0275684203264746E-2</v>
      </c>
      <c r="I68">
        <f t="shared" si="7"/>
        <v>171.73445049627364</v>
      </c>
      <c r="J68">
        <f t="shared" si="1"/>
        <v>732.95934295957056</v>
      </c>
      <c r="K68" s="27">
        <f t="shared" si="2"/>
        <v>-5520.2426303183211</v>
      </c>
    </row>
    <row r="69" spans="1:11" x14ac:dyDescent="0.25">
      <c r="A69" s="26">
        <v>19</v>
      </c>
      <c r="B69" s="82">
        <f t="shared" si="3"/>
        <v>0</v>
      </c>
      <c r="C69" s="58">
        <f t="shared" si="9"/>
        <v>171.9194128119324</v>
      </c>
      <c r="D69" s="83">
        <f t="shared" si="5"/>
        <v>733.33333333333326</v>
      </c>
      <c r="E69">
        <f t="shared" si="0"/>
        <v>0</v>
      </c>
      <c r="G69">
        <v>19</v>
      </c>
      <c r="H69" s="13">
        <f t="shared" si="6"/>
        <v>-1.0275684203264746E-2</v>
      </c>
      <c r="I69">
        <f t="shared" si="7"/>
        <v>171.72417481207037</v>
      </c>
      <c r="J69">
        <f t="shared" si="1"/>
        <v>732.93849573720092</v>
      </c>
      <c r="K69" s="27">
        <f t="shared" si="2"/>
        <v>-5519.928555126663</v>
      </c>
    </row>
    <row r="70" spans="1:11" x14ac:dyDescent="0.25">
      <c r="A70" s="26">
        <v>20</v>
      </c>
      <c r="B70" s="82">
        <f t="shared" si="3"/>
        <v>0</v>
      </c>
      <c r="C70" s="58">
        <f t="shared" si="9"/>
        <v>171.9194128119324</v>
      </c>
      <c r="D70" s="83">
        <f t="shared" si="5"/>
        <v>733.33333333333326</v>
      </c>
      <c r="E70">
        <f t="shared" si="0"/>
        <v>0</v>
      </c>
      <c r="G70">
        <v>20</v>
      </c>
      <c r="H70" s="13">
        <f t="shared" si="6"/>
        <v>-1.0275684203264746E-2</v>
      </c>
      <c r="I70">
        <f t="shared" si="7"/>
        <v>171.71389912786711</v>
      </c>
      <c r="J70">
        <f t="shared" si="1"/>
        <v>732.91764110652332</v>
      </c>
      <c r="K70" s="27">
        <f t="shared" si="2"/>
        <v>-5519.6143772363021</v>
      </c>
    </row>
    <row r="71" spans="1:11" x14ac:dyDescent="0.25">
      <c r="A71" s="26">
        <v>21</v>
      </c>
      <c r="B71" s="82">
        <f t="shared" si="3"/>
        <v>0</v>
      </c>
      <c r="C71" s="58">
        <f t="shared" si="9"/>
        <v>171.9194128119324</v>
      </c>
      <c r="D71" s="83">
        <f t="shared" si="5"/>
        <v>733.33333333333326</v>
      </c>
      <c r="E71">
        <f t="shared" si="0"/>
        <v>0</v>
      </c>
      <c r="G71">
        <v>21</v>
      </c>
      <c r="H71" s="13">
        <f t="shared" si="6"/>
        <v>-1.0275684203264746E-2</v>
      </c>
      <c r="I71">
        <f t="shared" si="7"/>
        <v>171.70362344366384</v>
      </c>
      <c r="J71">
        <f t="shared" si="1"/>
        <v>732.89677906117959</v>
      </c>
      <c r="K71" s="27">
        <f t="shared" si="2"/>
        <v>-5519.3000965609253</v>
      </c>
    </row>
    <row r="72" spans="1:11" x14ac:dyDescent="0.25">
      <c r="A72" s="26">
        <v>22</v>
      </c>
      <c r="B72" s="82">
        <f t="shared" si="3"/>
        <v>0</v>
      </c>
      <c r="C72" s="58">
        <f t="shared" si="9"/>
        <v>171.9194128119324</v>
      </c>
      <c r="D72" s="83">
        <f t="shared" si="5"/>
        <v>733.33333333333326</v>
      </c>
      <c r="E72">
        <f t="shared" si="0"/>
        <v>0</v>
      </c>
      <c r="G72">
        <v>22</v>
      </c>
      <c r="H72" s="13">
        <f t="shared" si="6"/>
        <v>-1.0275684203264746E-2</v>
      </c>
      <c r="I72">
        <f t="shared" si="7"/>
        <v>171.69334775946058</v>
      </c>
      <c r="J72">
        <f t="shared" si="1"/>
        <v>732.87590959480201</v>
      </c>
      <c r="K72" s="27">
        <f t="shared" si="2"/>
        <v>-5518.9857130141027</v>
      </c>
    </row>
    <row r="73" spans="1:11" x14ac:dyDescent="0.25">
      <c r="A73" s="26">
        <v>23</v>
      </c>
      <c r="B73" s="82">
        <f t="shared" si="3"/>
        <v>0</v>
      </c>
      <c r="C73" s="58">
        <f t="shared" si="9"/>
        <v>171.9194128119324</v>
      </c>
      <c r="D73" s="83">
        <f t="shared" si="5"/>
        <v>733.33333333333326</v>
      </c>
      <c r="E73">
        <f t="shared" si="0"/>
        <v>0</v>
      </c>
      <c r="G73">
        <v>23</v>
      </c>
      <c r="H73" s="13">
        <f t="shared" si="6"/>
        <v>-1.0275684203264746E-2</v>
      </c>
      <c r="I73">
        <f t="shared" si="7"/>
        <v>171.68307207525731</v>
      </c>
      <c r="J73">
        <f t="shared" si="1"/>
        <v>732.85503270101333</v>
      </c>
      <c r="K73" s="27">
        <f t="shared" si="2"/>
        <v>-5518.6712265092656</v>
      </c>
    </row>
    <row r="74" spans="1:11" x14ac:dyDescent="0.25">
      <c r="A74" s="26">
        <v>24</v>
      </c>
      <c r="B74" s="82">
        <f t="shared" si="3"/>
        <v>0</v>
      </c>
      <c r="C74" s="58">
        <f t="shared" si="9"/>
        <v>171.9194128119324</v>
      </c>
      <c r="D74" s="83">
        <f t="shared" si="5"/>
        <v>733.33333333333326</v>
      </c>
      <c r="E74">
        <f t="shared" si="0"/>
        <v>0</v>
      </c>
      <c r="G74">
        <v>24</v>
      </c>
      <c r="H74" s="13">
        <f t="shared" si="6"/>
        <v>-1.0275684203264746E-2</v>
      </c>
      <c r="I74">
        <f t="shared" si="7"/>
        <v>171.67279639105405</v>
      </c>
      <c r="J74">
        <f t="shared" si="1"/>
        <v>732.83414837342639</v>
      </c>
      <c r="K74" s="27">
        <f t="shared" si="2"/>
        <v>-5518.3566369597165</v>
      </c>
    </row>
    <row r="75" spans="1:11" x14ac:dyDescent="0.25">
      <c r="A75" s="26">
        <v>25</v>
      </c>
      <c r="B75" s="82">
        <f t="shared" si="3"/>
        <v>0</v>
      </c>
      <c r="C75" s="58">
        <f t="shared" si="9"/>
        <v>171.9194128119324</v>
      </c>
      <c r="D75" s="83">
        <f t="shared" si="5"/>
        <v>733.33333333333326</v>
      </c>
      <c r="E75">
        <f t="shared" si="0"/>
        <v>0</v>
      </c>
      <c r="G75">
        <v>25</v>
      </c>
      <c r="H75" s="13">
        <f t="shared" si="6"/>
        <v>-1.0275684203264746E-2</v>
      </c>
      <c r="I75">
        <f t="shared" si="7"/>
        <v>171.66252070685078</v>
      </c>
      <c r="J75">
        <f t="shared" si="1"/>
        <v>732.81325660564505</v>
      </c>
      <c r="K75" s="27">
        <f t="shared" si="2"/>
        <v>-5518.0419442786297</v>
      </c>
    </row>
    <row r="76" spans="1:11" x14ac:dyDescent="0.25">
      <c r="A76" s="26">
        <v>26</v>
      </c>
      <c r="B76" s="82">
        <f t="shared" si="3"/>
        <v>0</v>
      </c>
      <c r="C76" s="58">
        <f t="shared" si="9"/>
        <v>171.9194128119324</v>
      </c>
      <c r="D76" s="83">
        <f t="shared" si="5"/>
        <v>733.33333333333326</v>
      </c>
      <c r="E76">
        <f t="shared" si="0"/>
        <v>0</v>
      </c>
      <c r="G76">
        <v>26</v>
      </c>
      <c r="H76" s="13">
        <f t="shared" si="6"/>
        <v>-1.0275684203264746E-2</v>
      </c>
      <c r="I76">
        <f t="shared" si="7"/>
        <v>171.65224502264752</v>
      </c>
      <c r="J76">
        <f t="shared" si="1"/>
        <v>732.79235739126284</v>
      </c>
      <c r="K76" s="27">
        <f t="shared" si="2"/>
        <v>-5517.7271483790464</v>
      </c>
    </row>
    <row r="77" spans="1:11" x14ac:dyDescent="0.25">
      <c r="A77" s="26">
        <v>27</v>
      </c>
      <c r="B77" s="82">
        <f t="shared" si="3"/>
        <v>0</v>
      </c>
      <c r="C77" s="58">
        <f t="shared" si="9"/>
        <v>171.9194128119324</v>
      </c>
      <c r="D77" s="83">
        <f t="shared" si="5"/>
        <v>733.33333333333326</v>
      </c>
      <c r="E77">
        <f t="shared" si="0"/>
        <v>0</v>
      </c>
      <c r="G77">
        <v>27</v>
      </c>
      <c r="H77" s="13">
        <f t="shared" si="6"/>
        <v>-1.0275684203264746E-2</v>
      </c>
      <c r="I77">
        <f t="shared" si="7"/>
        <v>171.64196933844426</v>
      </c>
      <c r="J77">
        <f t="shared" si="1"/>
        <v>732.77145072386429</v>
      </c>
      <c r="K77" s="27">
        <f t="shared" si="2"/>
        <v>-5517.4122491738817</v>
      </c>
    </row>
    <row r="78" spans="1:11" x14ac:dyDescent="0.25">
      <c r="A78" s="26">
        <v>28</v>
      </c>
      <c r="B78" s="82">
        <f t="shared" si="3"/>
        <v>0</v>
      </c>
      <c r="C78" s="58">
        <f t="shared" si="9"/>
        <v>171.9194128119324</v>
      </c>
      <c r="D78" s="83">
        <f t="shared" si="5"/>
        <v>733.33333333333326</v>
      </c>
      <c r="E78">
        <f t="shared" si="0"/>
        <v>0</v>
      </c>
      <c r="G78">
        <v>28</v>
      </c>
      <c r="H78" s="13">
        <f t="shared" si="6"/>
        <v>-1.0275684203264746E-2</v>
      </c>
      <c r="I78">
        <f t="shared" si="7"/>
        <v>171.63169365424099</v>
      </c>
      <c r="J78">
        <f t="shared" si="1"/>
        <v>732.75053659702382</v>
      </c>
      <c r="K78" s="27">
        <f t="shared" si="2"/>
        <v>-5517.0972465759141</v>
      </c>
    </row>
    <row r="79" spans="1:11" x14ac:dyDescent="0.25">
      <c r="A79" s="26">
        <v>29</v>
      </c>
      <c r="B79" s="82">
        <f t="shared" si="3"/>
        <v>0</v>
      </c>
      <c r="C79" s="58">
        <f t="shared" si="9"/>
        <v>171.9194128119324</v>
      </c>
      <c r="D79" s="83">
        <f t="shared" si="5"/>
        <v>733.33333333333326</v>
      </c>
      <c r="E79">
        <f t="shared" si="0"/>
        <v>0</v>
      </c>
      <c r="G79">
        <v>29</v>
      </c>
      <c r="H79" s="13">
        <f t="shared" si="6"/>
        <v>-1.0275684203264746E-2</v>
      </c>
      <c r="I79">
        <f t="shared" si="7"/>
        <v>171.62141797003773</v>
      </c>
      <c r="J79">
        <f t="shared" si="1"/>
        <v>732.72961500430642</v>
      </c>
      <c r="K79" s="27">
        <f t="shared" si="2"/>
        <v>-5516.7821404977904</v>
      </c>
    </row>
    <row r="80" spans="1:11" x14ac:dyDescent="0.25">
      <c r="A80" s="26">
        <v>30</v>
      </c>
      <c r="B80" s="82">
        <f t="shared" si="3"/>
        <v>0</v>
      </c>
      <c r="C80" s="58">
        <f t="shared" ref="C80:C143" si="10">($C$37-$C$36)/2000+C79</f>
        <v>171.9194128119324</v>
      </c>
      <c r="D80" s="83">
        <f t="shared" si="5"/>
        <v>733.33333333333326</v>
      </c>
      <c r="E80">
        <f t="shared" si="0"/>
        <v>0</v>
      </c>
      <c r="G80">
        <v>30</v>
      </c>
      <c r="H80" s="13">
        <f t="shared" si="6"/>
        <v>-1.0275684203264746E-2</v>
      </c>
      <c r="I80">
        <f t="shared" si="7"/>
        <v>171.61114228583446</v>
      </c>
      <c r="J80">
        <f t="shared" si="1"/>
        <v>732.70868593926707</v>
      </c>
      <c r="K80" s="27">
        <f t="shared" si="2"/>
        <v>-5516.4669308520315</v>
      </c>
    </row>
    <row r="81" spans="1:11" x14ac:dyDescent="0.25">
      <c r="A81" s="26">
        <v>31</v>
      </c>
      <c r="B81" s="82">
        <f t="shared" si="3"/>
        <v>0</v>
      </c>
      <c r="C81" s="58">
        <f t="shared" si="10"/>
        <v>171.9194128119324</v>
      </c>
      <c r="D81" s="83">
        <f t="shared" si="5"/>
        <v>733.33333333333326</v>
      </c>
      <c r="E81">
        <f t="shared" si="0"/>
        <v>0</v>
      </c>
      <c r="G81">
        <v>31</v>
      </c>
      <c r="H81" s="13">
        <f t="shared" si="6"/>
        <v>-1.0275684203264746E-2</v>
      </c>
      <c r="I81">
        <f t="shared" si="7"/>
        <v>171.6008666016312</v>
      </c>
      <c r="J81">
        <f t="shared" si="1"/>
        <v>732.68774939545153</v>
      </c>
      <c r="K81" s="27">
        <f t="shared" si="2"/>
        <v>-5516.1516175510196</v>
      </c>
    </row>
    <row r="82" spans="1:11" x14ac:dyDescent="0.25">
      <c r="A82" s="26">
        <v>32</v>
      </c>
      <c r="B82" s="82">
        <f t="shared" si="3"/>
        <v>0</v>
      </c>
      <c r="C82" s="58">
        <f t="shared" si="10"/>
        <v>171.9194128119324</v>
      </c>
      <c r="D82" s="83">
        <f t="shared" si="5"/>
        <v>733.33333333333326</v>
      </c>
      <c r="E82">
        <f t="shared" si="0"/>
        <v>0</v>
      </c>
      <c r="G82">
        <v>32</v>
      </c>
      <c r="H82" s="13">
        <f t="shared" si="6"/>
        <v>-1.0275684203264746E-2</v>
      </c>
      <c r="I82">
        <f t="shared" si="7"/>
        <v>171.59059091742793</v>
      </c>
      <c r="J82">
        <f t="shared" si="1"/>
        <v>732.66680536639524</v>
      </c>
      <c r="K82" s="27">
        <f t="shared" si="2"/>
        <v>-5515.8362005070085</v>
      </c>
    </row>
    <row r="83" spans="1:11" x14ac:dyDescent="0.25">
      <c r="A83" s="26">
        <v>33</v>
      </c>
      <c r="B83" s="82">
        <f t="shared" si="3"/>
        <v>0</v>
      </c>
      <c r="C83" s="58">
        <f t="shared" si="10"/>
        <v>171.9194128119324</v>
      </c>
      <c r="D83" s="83">
        <f t="shared" si="5"/>
        <v>733.33333333333326</v>
      </c>
      <c r="E83">
        <f t="shared" si="0"/>
        <v>0</v>
      </c>
      <c r="G83">
        <v>33</v>
      </c>
      <c r="H83" s="13">
        <f t="shared" si="6"/>
        <v>-1.0275684203264746E-2</v>
      </c>
      <c r="I83">
        <f t="shared" si="7"/>
        <v>171.58031523322467</v>
      </c>
      <c r="J83">
        <f t="shared" si="1"/>
        <v>732.64585384562429</v>
      </c>
      <c r="K83" s="27">
        <f t="shared" si="2"/>
        <v>-5515.5206796321208</v>
      </c>
    </row>
    <row r="84" spans="1:11" x14ac:dyDescent="0.25">
      <c r="A84" s="26">
        <v>34</v>
      </c>
      <c r="B84" s="82">
        <f t="shared" si="3"/>
        <v>0</v>
      </c>
      <c r="C84" s="58">
        <f t="shared" si="10"/>
        <v>171.9194128119324</v>
      </c>
      <c r="D84" s="83">
        <f t="shared" si="5"/>
        <v>733.33333333333326</v>
      </c>
      <c r="E84">
        <f t="shared" si="0"/>
        <v>0</v>
      </c>
      <c r="G84">
        <v>34</v>
      </c>
      <c r="H84" s="13">
        <f t="shared" si="6"/>
        <v>-1.0275684203264746E-2</v>
      </c>
      <c r="I84">
        <f t="shared" si="7"/>
        <v>171.5700395490214</v>
      </c>
      <c r="J84">
        <f t="shared" si="1"/>
        <v>732.62489482665478</v>
      </c>
      <c r="K84" s="27">
        <f t="shared" si="2"/>
        <v>-5515.2050548383386</v>
      </c>
    </row>
    <row r="85" spans="1:11" x14ac:dyDescent="0.25">
      <c r="A85" s="26">
        <v>35</v>
      </c>
      <c r="B85" s="82">
        <f t="shared" si="3"/>
        <v>0</v>
      </c>
      <c r="C85" s="58">
        <f t="shared" si="10"/>
        <v>171.9194128119324</v>
      </c>
      <c r="D85" s="83">
        <f t="shared" si="5"/>
        <v>733.33333333333326</v>
      </c>
      <c r="E85">
        <f t="shared" si="0"/>
        <v>0</v>
      </c>
      <c r="G85">
        <v>35</v>
      </c>
      <c r="H85" s="13">
        <f t="shared" si="6"/>
        <v>-1.0275684203264746E-2</v>
      </c>
      <c r="I85">
        <f t="shared" si="7"/>
        <v>171.55976386481814</v>
      </c>
      <c r="J85">
        <f t="shared" si="1"/>
        <v>732.60392830299304</v>
      </c>
      <c r="K85" s="27">
        <f t="shared" si="2"/>
        <v>-5514.8893260375198</v>
      </c>
    </row>
    <row r="86" spans="1:11" x14ac:dyDescent="0.25">
      <c r="A86" s="26">
        <v>36</v>
      </c>
      <c r="B86" s="82">
        <f t="shared" si="3"/>
        <v>0</v>
      </c>
      <c r="C86" s="58">
        <f t="shared" si="10"/>
        <v>171.9194128119324</v>
      </c>
      <c r="D86" s="83">
        <f t="shared" si="5"/>
        <v>733.33333333333326</v>
      </c>
      <c r="E86">
        <f t="shared" si="0"/>
        <v>0</v>
      </c>
      <c r="G86">
        <v>36</v>
      </c>
      <c r="H86" s="13">
        <f t="shared" si="6"/>
        <v>-1.0275684203264746E-2</v>
      </c>
      <c r="I86">
        <f t="shared" si="7"/>
        <v>171.54948818061487</v>
      </c>
      <c r="J86">
        <f t="shared" si="1"/>
        <v>732.58295426813572</v>
      </c>
      <c r="K86" s="27">
        <f t="shared" si="2"/>
        <v>-5514.5734931413854</v>
      </c>
    </row>
    <row r="87" spans="1:11" x14ac:dyDescent="0.25">
      <c r="A87" s="26">
        <v>37</v>
      </c>
      <c r="B87" s="82">
        <f t="shared" si="3"/>
        <v>0</v>
      </c>
      <c r="C87" s="58">
        <f t="shared" si="10"/>
        <v>171.9194128119324</v>
      </c>
      <c r="D87" s="83">
        <f t="shared" si="5"/>
        <v>733.33333333333326</v>
      </c>
      <c r="E87">
        <f t="shared" si="0"/>
        <v>0</v>
      </c>
      <c r="G87">
        <v>37</v>
      </c>
      <c r="H87" s="13">
        <f t="shared" si="6"/>
        <v>-1.0275684203264746E-2</v>
      </c>
      <c r="I87">
        <f t="shared" si="7"/>
        <v>171.53921249641161</v>
      </c>
      <c r="J87">
        <f t="shared" si="1"/>
        <v>732.56197271556937</v>
      </c>
      <c r="K87" s="27">
        <f t="shared" si="2"/>
        <v>-5514.2575560615196</v>
      </c>
    </row>
    <row r="88" spans="1:11" x14ac:dyDescent="0.25">
      <c r="A88" s="26">
        <v>38</v>
      </c>
      <c r="B88" s="82">
        <f t="shared" si="3"/>
        <v>0</v>
      </c>
      <c r="C88" s="58">
        <f t="shared" si="10"/>
        <v>171.9194128119324</v>
      </c>
      <c r="D88" s="83">
        <f t="shared" si="5"/>
        <v>733.33333333333326</v>
      </c>
      <c r="E88">
        <f t="shared" si="0"/>
        <v>0</v>
      </c>
      <c r="G88">
        <v>38</v>
      </c>
      <c r="H88" s="13">
        <f t="shared" si="6"/>
        <v>-1.0275684203264746E-2</v>
      </c>
      <c r="I88">
        <f t="shared" si="7"/>
        <v>171.52893681220834</v>
      </c>
      <c r="J88">
        <f t="shared" si="1"/>
        <v>732.54098363877074</v>
      </c>
      <c r="K88" s="27">
        <f t="shared" si="2"/>
        <v>-5513.9415147093778</v>
      </c>
    </row>
    <row r="89" spans="1:11" x14ac:dyDescent="0.25">
      <c r="A89" s="26">
        <v>39</v>
      </c>
      <c r="B89" s="82">
        <f t="shared" si="3"/>
        <v>0</v>
      </c>
      <c r="C89" s="58">
        <f t="shared" si="10"/>
        <v>171.9194128119324</v>
      </c>
      <c r="D89" s="83">
        <f t="shared" si="5"/>
        <v>733.33333333333326</v>
      </c>
      <c r="E89">
        <f t="shared" si="0"/>
        <v>0</v>
      </c>
      <c r="G89">
        <v>39</v>
      </c>
      <c r="H89" s="13">
        <f t="shared" si="6"/>
        <v>-1.0275684203264746E-2</v>
      </c>
      <c r="I89">
        <f t="shared" si="7"/>
        <v>171.51866112800508</v>
      </c>
      <c r="J89">
        <f t="shared" si="1"/>
        <v>732.51998703120682</v>
      </c>
      <c r="K89" s="27">
        <f t="shared" si="2"/>
        <v>-5513.625368996275</v>
      </c>
    </row>
    <row r="90" spans="1:11" x14ac:dyDescent="0.25">
      <c r="A90" s="26">
        <v>40</v>
      </c>
      <c r="B90" s="82">
        <f t="shared" si="3"/>
        <v>0</v>
      </c>
      <c r="C90" s="58">
        <f t="shared" si="10"/>
        <v>171.9194128119324</v>
      </c>
      <c r="D90" s="83">
        <f t="shared" si="5"/>
        <v>733.33333333333326</v>
      </c>
      <c r="E90">
        <f t="shared" si="0"/>
        <v>0</v>
      </c>
      <c r="G90">
        <v>40</v>
      </c>
      <c r="H90" s="13">
        <f t="shared" si="6"/>
        <v>-1.0275684203264746E-2</v>
      </c>
      <c r="I90">
        <f t="shared" si="7"/>
        <v>171.50838544380181</v>
      </c>
      <c r="J90">
        <f t="shared" si="1"/>
        <v>732.49898288633472</v>
      </c>
      <c r="K90" s="27">
        <f t="shared" si="2"/>
        <v>-5513.3091188333992</v>
      </c>
    </row>
    <row r="91" spans="1:11" x14ac:dyDescent="0.25">
      <c r="A91" s="26">
        <v>41</v>
      </c>
      <c r="B91" s="82">
        <f t="shared" si="3"/>
        <v>0</v>
      </c>
      <c r="C91" s="58">
        <f t="shared" si="10"/>
        <v>171.9194128119324</v>
      </c>
      <c r="D91" s="83">
        <f t="shared" si="5"/>
        <v>733.33333333333326</v>
      </c>
      <c r="E91">
        <f t="shared" si="0"/>
        <v>0</v>
      </c>
      <c r="G91">
        <v>41</v>
      </c>
      <c r="H91" s="13">
        <f t="shared" si="6"/>
        <v>-1.0275684203264746E-2</v>
      </c>
      <c r="I91">
        <f t="shared" si="7"/>
        <v>171.49810975959855</v>
      </c>
      <c r="J91">
        <f t="shared" si="1"/>
        <v>732.47797119760116</v>
      </c>
      <c r="K91" s="27">
        <f t="shared" si="2"/>
        <v>-5512.9927641317963</v>
      </c>
    </row>
    <row r="92" spans="1:11" x14ac:dyDescent="0.25">
      <c r="A92" s="26">
        <v>42</v>
      </c>
      <c r="B92" s="82">
        <f t="shared" si="3"/>
        <v>0</v>
      </c>
      <c r="C92" s="58">
        <f t="shared" si="10"/>
        <v>171.9194128119324</v>
      </c>
      <c r="D92" s="83">
        <f t="shared" si="5"/>
        <v>733.33333333333326</v>
      </c>
      <c r="E92">
        <f t="shared" si="0"/>
        <v>0</v>
      </c>
      <c r="G92">
        <v>42</v>
      </c>
      <c r="H92" s="13">
        <f t="shared" si="6"/>
        <v>-1.0275684203264746E-2</v>
      </c>
      <c r="I92">
        <f t="shared" si="7"/>
        <v>171.48783407539528</v>
      </c>
      <c r="J92">
        <f t="shared" si="1"/>
        <v>732.4569519584436</v>
      </c>
      <c r="K92" s="27">
        <f t="shared" si="2"/>
        <v>-5512.6763048023813</v>
      </c>
    </row>
    <row r="93" spans="1:11" x14ac:dyDescent="0.25">
      <c r="A93" s="26">
        <v>43</v>
      </c>
      <c r="B93" s="82">
        <f t="shared" si="3"/>
        <v>0</v>
      </c>
      <c r="C93" s="58">
        <f t="shared" si="10"/>
        <v>171.9194128119324</v>
      </c>
      <c r="D93" s="83">
        <f t="shared" si="5"/>
        <v>733.33333333333326</v>
      </c>
      <c r="E93">
        <f t="shared" si="0"/>
        <v>0</v>
      </c>
      <c r="G93">
        <v>43</v>
      </c>
      <c r="H93" s="13">
        <f t="shared" si="6"/>
        <v>-1.0275684203264746E-2</v>
      </c>
      <c r="I93">
        <f t="shared" si="7"/>
        <v>171.47755839119202</v>
      </c>
      <c r="J93">
        <f t="shared" si="1"/>
        <v>732.43592516228887</v>
      </c>
      <c r="K93" s="27">
        <f t="shared" si="2"/>
        <v>-5512.3597407559319</v>
      </c>
    </row>
    <row r="94" spans="1:11" x14ac:dyDescent="0.25">
      <c r="A94" s="26">
        <v>44</v>
      </c>
      <c r="B94" s="82">
        <f t="shared" si="3"/>
        <v>0</v>
      </c>
      <c r="C94" s="58">
        <f t="shared" si="10"/>
        <v>171.9194128119324</v>
      </c>
      <c r="D94" s="83">
        <f t="shared" si="5"/>
        <v>733.33333333333326</v>
      </c>
      <c r="E94">
        <f t="shared" si="0"/>
        <v>0</v>
      </c>
      <c r="G94">
        <v>44</v>
      </c>
      <c r="H94" s="13">
        <f t="shared" si="6"/>
        <v>-1.0275684203264746E-2</v>
      </c>
      <c r="I94">
        <f t="shared" si="7"/>
        <v>171.46728270698875</v>
      </c>
      <c r="J94">
        <f t="shared" si="1"/>
        <v>732.41489080255428</v>
      </c>
      <c r="K94" s="27">
        <f t="shared" si="2"/>
        <v>-5512.0430719030919</v>
      </c>
    </row>
    <row r="95" spans="1:11" x14ac:dyDescent="0.25">
      <c r="A95" s="26">
        <v>45</v>
      </c>
      <c r="B95" s="82">
        <f t="shared" si="3"/>
        <v>0</v>
      </c>
      <c r="C95" s="58">
        <f t="shared" si="10"/>
        <v>171.9194128119324</v>
      </c>
      <c r="D95" s="83">
        <f t="shared" si="5"/>
        <v>733.33333333333326</v>
      </c>
      <c r="E95">
        <f t="shared" si="0"/>
        <v>0</v>
      </c>
      <c r="G95">
        <v>45</v>
      </c>
      <c r="H95" s="13">
        <f t="shared" si="6"/>
        <v>-1.0275684203264746E-2</v>
      </c>
      <c r="I95">
        <f t="shared" si="7"/>
        <v>171.45700702278549</v>
      </c>
      <c r="J95">
        <f t="shared" si="1"/>
        <v>732.39384887264691</v>
      </c>
      <c r="K95" s="27">
        <f t="shared" si="2"/>
        <v>-5511.7262981543672</v>
      </c>
    </row>
    <row r="96" spans="1:11" x14ac:dyDescent="0.25">
      <c r="A96" s="26">
        <v>46</v>
      </c>
      <c r="B96" s="82">
        <f t="shared" si="3"/>
        <v>0</v>
      </c>
      <c r="C96" s="58">
        <f t="shared" si="10"/>
        <v>171.9194128119324</v>
      </c>
      <c r="D96" s="83">
        <f t="shared" si="5"/>
        <v>733.33333333333326</v>
      </c>
      <c r="E96">
        <f t="shared" si="0"/>
        <v>0</v>
      </c>
      <c r="G96">
        <v>46</v>
      </c>
      <c r="H96" s="13">
        <f t="shared" si="6"/>
        <v>-1.0275684203264746E-2</v>
      </c>
      <c r="I96">
        <f t="shared" si="7"/>
        <v>171.44673133858223</v>
      </c>
      <c r="J96">
        <f t="shared" si="1"/>
        <v>732.37279936596371</v>
      </c>
      <c r="K96" s="27">
        <f t="shared" si="2"/>
        <v>-5511.409419420128</v>
      </c>
    </row>
    <row r="97" spans="1:11" x14ac:dyDescent="0.25">
      <c r="A97" s="26">
        <v>47</v>
      </c>
      <c r="B97" s="82">
        <f t="shared" si="3"/>
        <v>0</v>
      </c>
      <c r="C97" s="58">
        <f t="shared" si="10"/>
        <v>171.9194128119324</v>
      </c>
      <c r="D97" s="83">
        <f t="shared" si="5"/>
        <v>733.33333333333326</v>
      </c>
      <c r="E97">
        <f t="shared" si="0"/>
        <v>0</v>
      </c>
      <c r="G97">
        <v>47</v>
      </c>
      <c r="H97" s="13">
        <f t="shared" si="6"/>
        <v>-1.0275684203264746E-2</v>
      </c>
      <c r="I97">
        <f t="shared" si="7"/>
        <v>171.43645565437896</v>
      </c>
      <c r="J97">
        <f t="shared" si="1"/>
        <v>732.35174227589187</v>
      </c>
      <c r="K97" s="27">
        <f t="shared" si="2"/>
        <v>-5511.092435610607</v>
      </c>
    </row>
    <row r="98" spans="1:11" x14ac:dyDescent="0.25">
      <c r="A98" s="26">
        <v>48</v>
      </c>
      <c r="B98" s="82">
        <f t="shared" si="3"/>
        <v>0</v>
      </c>
      <c r="C98" s="58">
        <f t="shared" si="10"/>
        <v>171.9194128119324</v>
      </c>
      <c r="D98" s="83">
        <f t="shared" si="5"/>
        <v>733.33333333333326</v>
      </c>
      <c r="E98">
        <f t="shared" si="0"/>
        <v>0</v>
      </c>
      <c r="G98">
        <v>48</v>
      </c>
      <c r="H98" s="13">
        <f t="shared" si="6"/>
        <v>-1.0275684203264746E-2</v>
      </c>
      <c r="I98">
        <f t="shared" si="7"/>
        <v>171.4261799701757</v>
      </c>
      <c r="J98">
        <f t="shared" si="1"/>
        <v>732.33067759580808</v>
      </c>
      <c r="K98" s="27">
        <f t="shared" si="2"/>
        <v>-5510.7753466359</v>
      </c>
    </row>
    <row r="99" spans="1:11" x14ac:dyDescent="0.25">
      <c r="A99" s="26">
        <v>49</v>
      </c>
      <c r="B99" s="82">
        <f t="shared" si="3"/>
        <v>0</v>
      </c>
      <c r="C99" s="58">
        <f t="shared" si="10"/>
        <v>171.9194128119324</v>
      </c>
      <c r="D99" s="83">
        <f t="shared" si="5"/>
        <v>733.33333333333326</v>
      </c>
      <c r="E99">
        <f t="shared" si="0"/>
        <v>0</v>
      </c>
      <c r="G99">
        <v>49</v>
      </c>
      <c r="H99" s="13">
        <f t="shared" si="6"/>
        <v>-1.0275684203264746E-2</v>
      </c>
      <c r="I99">
        <f t="shared" si="7"/>
        <v>171.41590428597243</v>
      </c>
      <c r="J99">
        <f t="shared" si="1"/>
        <v>732.30960531907931</v>
      </c>
      <c r="K99" s="27">
        <f t="shared" si="2"/>
        <v>-5510.4581524059695</v>
      </c>
    </row>
    <row r="100" spans="1:11" x14ac:dyDescent="0.25">
      <c r="A100" s="26">
        <v>50</v>
      </c>
      <c r="B100" s="82">
        <f t="shared" si="3"/>
        <v>0</v>
      </c>
      <c r="C100" s="58">
        <f t="shared" si="10"/>
        <v>171.9194128119324</v>
      </c>
      <c r="D100" s="83">
        <f t="shared" si="5"/>
        <v>733.33333333333326</v>
      </c>
      <c r="E100">
        <f t="shared" si="0"/>
        <v>0</v>
      </c>
      <c r="G100">
        <v>50</v>
      </c>
      <c r="H100" s="13">
        <f t="shared" si="6"/>
        <v>-1.0275684203264746E-2</v>
      </c>
      <c r="I100">
        <f t="shared" si="7"/>
        <v>171.40562860176917</v>
      </c>
      <c r="J100">
        <f t="shared" si="1"/>
        <v>732.28852543906225</v>
      </c>
      <c r="K100" s="27">
        <f t="shared" si="2"/>
        <v>-5510.1408528306356</v>
      </c>
    </row>
    <row r="101" spans="1:11" x14ac:dyDescent="0.25">
      <c r="A101" s="26">
        <v>51</v>
      </c>
      <c r="B101" s="82">
        <f t="shared" si="3"/>
        <v>0</v>
      </c>
      <c r="C101" s="58">
        <f t="shared" si="10"/>
        <v>171.9194128119324</v>
      </c>
      <c r="D101" s="83">
        <f t="shared" si="5"/>
        <v>733.33333333333326</v>
      </c>
      <c r="E101">
        <f t="shared" si="0"/>
        <v>0</v>
      </c>
      <c r="G101">
        <v>51</v>
      </c>
      <c r="H101" s="13">
        <f t="shared" si="6"/>
        <v>-1.0275684203264746E-2</v>
      </c>
      <c r="I101">
        <f t="shared" si="7"/>
        <v>171.3953529175659</v>
      </c>
      <c r="J101">
        <f t="shared" si="1"/>
        <v>732.26743794910328</v>
      </c>
      <c r="K101" s="27">
        <f t="shared" si="2"/>
        <v>-5509.8234478195818</v>
      </c>
    </row>
    <row r="102" spans="1:11" x14ac:dyDescent="0.25">
      <c r="A102" s="26">
        <v>52</v>
      </c>
      <c r="B102" s="82">
        <f t="shared" si="3"/>
        <v>0</v>
      </c>
      <c r="C102" s="58">
        <f t="shared" si="10"/>
        <v>171.9194128119324</v>
      </c>
      <c r="D102" s="83">
        <f t="shared" si="5"/>
        <v>733.33333333333326</v>
      </c>
      <c r="E102">
        <f t="shared" si="0"/>
        <v>0</v>
      </c>
      <c r="G102">
        <v>52</v>
      </c>
      <c r="H102" s="13">
        <f t="shared" si="6"/>
        <v>-1.0275684203264746E-2</v>
      </c>
      <c r="I102">
        <f t="shared" si="7"/>
        <v>171.38507723336264</v>
      </c>
      <c r="J102">
        <f t="shared" si="1"/>
        <v>732.24634284253887</v>
      </c>
      <c r="K102" s="27">
        <f t="shared" si="2"/>
        <v>-5509.5059372823534</v>
      </c>
    </row>
    <row r="103" spans="1:11" x14ac:dyDescent="0.25">
      <c r="A103" s="26">
        <v>53</v>
      </c>
      <c r="B103" s="82">
        <f t="shared" si="3"/>
        <v>0</v>
      </c>
      <c r="C103" s="58">
        <f t="shared" si="10"/>
        <v>171.9194128119324</v>
      </c>
      <c r="D103" s="83">
        <f t="shared" si="5"/>
        <v>733.33333333333326</v>
      </c>
      <c r="E103">
        <f t="shared" si="0"/>
        <v>0</v>
      </c>
      <c r="G103">
        <v>53</v>
      </c>
      <c r="H103" s="13">
        <f t="shared" si="6"/>
        <v>-1.0275684203264746E-2</v>
      </c>
      <c r="I103">
        <f t="shared" si="7"/>
        <v>171.37480154915937</v>
      </c>
      <c r="J103">
        <f t="shared" si="1"/>
        <v>732.22524011269513</v>
      </c>
      <c r="K103" s="27">
        <f t="shared" si="2"/>
        <v>-5509.1883211283593</v>
      </c>
    </row>
    <row r="104" spans="1:11" x14ac:dyDescent="0.25">
      <c r="A104" s="26">
        <v>54</v>
      </c>
      <c r="B104" s="82">
        <f t="shared" si="3"/>
        <v>0</v>
      </c>
      <c r="C104" s="58">
        <f t="shared" si="10"/>
        <v>171.9194128119324</v>
      </c>
      <c r="D104" s="83">
        <f t="shared" si="5"/>
        <v>733.33333333333326</v>
      </c>
      <c r="E104">
        <f t="shared" si="0"/>
        <v>0</v>
      </c>
      <c r="G104">
        <v>54</v>
      </c>
      <c r="H104" s="13">
        <f t="shared" si="6"/>
        <v>-1.0275684203264746E-2</v>
      </c>
      <c r="I104">
        <f t="shared" si="7"/>
        <v>171.36452586495611</v>
      </c>
      <c r="J104">
        <f t="shared" si="1"/>
        <v>732.20412975288809</v>
      </c>
      <c r="K104" s="27">
        <f t="shared" si="2"/>
        <v>-5508.8705992668692</v>
      </c>
    </row>
    <row r="105" spans="1:11" x14ac:dyDescent="0.25">
      <c r="A105" s="26">
        <v>55</v>
      </c>
      <c r="B105" s="82">
        <f t="shared" si="3"/>
        <v>0</v>
      </c>
      <c r="C105" s="58">
        <f t="shared" si="10"/>
        <v>171.9194128119324</v>
      </c>
      <c r="D105" s="83">
        <f t="shared" si="5"/>
        <v>733.33333333333326</v>
      </c>
      <c r="E105">
        <f t="shared" si="0"/>
        <v>0</v>
      </c>
      <c r="G105">
        <v>55</v>
      </c>
      <c r="H105" s="13">
        <f t="shared" si="6"/>
        <v>-1.0275684203264746E-2</v>
      </c>
      <c r="I105">
        <f t="shared" si="7"/>
        <v>171.35425018075284</v>
      </c>
      <c r="J105">
        <f t="shared" si="1"/>
        <v>732.18301175642341</v>
      </c>
      <c r="K105" s="27">
        <f t="shared" si="2"/>
        <v>-5508.5527716070101</v>
      </c>
    </row>
    <row r="106" spans="1:11" x14ac:dyDescent="0.25">
      <c r="A106" s="26">
        <v>56</v>
      </c>
      <c r="B106" s="82">
        <f t="shared" si="3"/>
        <v>0</v>
      </c>
      <c r="C106" s="58">
        <f t="shared" si="10"/>
        <v>171.9194128119324</v>
      </c>
      <c r="D106" s="83">
        <f t="shared" si="5"/>
        <v>733.33333333333326</v>
      </c>
      <c r="E106">
        <f t="shared" si="0"/>
        <v>0</v>
      </c>
      <c r="G106">
        <v>56</v>
      </c>
      <c r="H106" s="13">
        <f t="shared" si="6"/>
        <v>-1.0275684203264746E-2</v>
      </c>
      <c r="I106">
        <f t="shared" si="7"/>
        <v>171.34397449654958</v>
      </c>
      <c r="J106">
        <f t="shared" si="1"/>
        <v>732.16188611659652</v>
      </c>
      <c r="K106" s="27">
        <f t="shared" si="2"/>
        <v>-5508.2348380577751</v>
      </c>
    </row>
    <row r="107" spans="1:11" x14ac:dyDescent="0.25">
      <c r="A107" s="26">
        <v>57</v>
      </c>
      <c r="B107" s="82">
        <f t="shared" si="3"/>
        <v>0</v>
      </c>
      <c r="C107" s="58">
        <f t="shared" si="10"/>
        <v>171.9194128119324</v>
      </c>
      <c r="D107" s="83">
        <f t="shared" si="5"/>
        <v>733.33333333333326</v>
      </c>
      <c r="E107">
        <f t="shared" si="0"/>
        <v>0</v>
      </c>
      <c r="G107">
        <v>57</v>
      </c>
      <c r="H107" s="13">
        <f t="shared" si="6"/>
        <v>-1.0275684203264746E-2</v>
      </c>
      <c r="I107">
        <f t="shared" si="7"/>
        <v>171.33369881234631</v>
      </c>
      <c r="J107">
        <f t="shared" si="1"/>
        <v>732.14075282669262</v>
      </c>
      <c r="K107" s="27">
        <f t="shared" si="2"/>
        <v>-5507.916798528011</v>
      </c>
    </row>
    <row r="108" spans="1:11" x14ac:dyDescent="0.25">
      <c r="A108" s="26">
        <v>58</v>
      </c>
      <c r="B108" s="82">
        <f t="shared" si="3"/>
        <v>0</v>
      </c>
      <c r="C108" s="58">
        <f t="shared" si="10"/>
        <v>171.9194128119324</v>
      </c>
      <c r="D108" s="83">
        <f t="shared" si="5"/>
        <v>733.33333333333326</v>
      </c>
      <c r="E108">
        <f t="shared" si="0"/>
        <v>0</v>
      </c>
      <c r="G108">
        <v>58</v>
      </c>
      <c r="H108" s="13">
        <f t="shared" si="6"/>
        <v>-1.0275684203264746E-2</v>
      </c>
      <c r="I108">
        <f t="shared" si="7"/>
        <v>171.32342312814305</v>
      </c>
      <c r="J108">
        <f t="shared" si="1"/>
        <v>732.11961187998656</v>
      </c>
      <c r="K108" s="27">
        <f t="shared" si="2"/>
        <v>-5507.5986529264337</v>
      </c>
    </row>
    <row r="109" spans="1:11" x14ac:dyDescent="0.25">
      <c r="A109" s="26">
        <v>59</v>
      </c>
      <c r="B109" s="82">
        <f t="shared" si="3"/>
        <v>0</v>
      </c>
      <c r="C109" s="58">
        <f t="shared" si="10"/>
        <v>171.9194128119324</v>
      </c>
      <c r="D109" s="83">
        <f t="shared" si="5"/>
        <v>733.33333333333326</v>
      </c>
      <c r="E109">
        <f t="shared" si="0"/>
        <v>0</v>
      </c>
      <c r="G109">
        <v>59</v>
      </c>
      <c r="H109" s="13">
        <f t="shared" si="6"/>
        <v>-1.0275684203264746E-2</v>
      </c>
      <c r="I109">
        <f t="shared" si="7"/>
        <v>171.31314744393978</v>
      </c>
      <c r="J109">
        <f t="shared" si="1"/>
        <v>732.09846326974298</v>
      </c>
      <c r="K109" s="27">
        <f t="shared" si="2"/>
        <v>-5507.2804011616099</v>
      </c>
    </row>
    <row r="110" spans="1:11" x14ac:dyDescent="0.25">
      <c r="A110" s="26">
        <v>60</v>
      </c>
      <c r="B110" s="82">
        <f t="shared" si="3"/>
        <v>0</v>
      </c>
      <c r="C110" s="58">
        <f t="shared" si="10"/>
        <v>171.9194128119324</v>
      </c>
      <c r="D110" s="83">
        <f t="shared" si="5"/>
        <v>733.33333333333326</v>
      </c>
      <c r="E110">
        <f t="shared" si="0"/>
        <v>0</v>
      </c>
      <c r="G110">
        <v>60</v>
      </c>
      <c r="H110" s="13">
        <f t="shared" si="6"/>
        <v>-1.0275684203264746E-2</v>
      </c>
      <c r="I110">
        <f t="shared" si="7"/>
        <v>171.30287175973652</v>
      </c>
      <c r="J110">
        <f t="shared" si="1"/>
        <v>732.07730698921591</v>
      </c>
      <c r="K110" s="27">
        <f t="shared" si="2"/>
        <v>-5506.9620431419726</v>
      </c>
    </row>
    <row r="111" spans="1:11" x14ac:dyDescent="0.25">
      <c r="A111" s="26">
        <v>61</v>
      </c>
      <c r="B111" s="82">
        <f t="shared" si="3"/>
        <v>0</v>
      </c>
      <c r="C111" s="58">
        <f t="shared" si="10"/>
        <v>171.9194128119324</v>
      </c>
      <c r="D111" s="83">
        <f t="shared" si="5"/>
        <v>733.33333333333326</v>
      </c>
      <c r="E111">
        <f t="shared" si="0"/>
        <v>0</v>
      </c>
      <c r="G111">
        <v>61</v>
      </c>
      <c r="H111" s="13">
        <f t="shared" si="6"/>
        <v>-1.0275684203264746E-2</v>
      </c>
      <c r="I111">
        <f t="shared" si="7"/>
        <v>171.29259607553325</v>
      </c>
      <c r="J111">
        <f t="shared" si="1"/>
        <v>732.0561430316493</v>
      </c>
      <c r="K111" s="27">
        <f t="shared" si="2"/>
        <v>-5506.6435787758101</v>
      </c>
    </row>
    <row r="112" spans="1:11" x14ac:dyDescent="0.25">
      <c r="A112" s="26">
        <v>62</v>
      </c>
      <c r="B112" s="82">
        <f t="shared" si="3"/>
        <v>0</v>
      </c>
      <c r="C112" s="58">
        <f t="shared" si="10"/>
        <v>171.9194128119324</v>
      </c>
      <c r="D112" s="83">
        <f t="shared" si="5"/>
        <v>733.33333333333326</v>
      </c>
      <c r="E112">
        <f t="shared" si="0"/>
        <v>0</v>
      </c>
      <c r="G112">
        <v>62</v>
      </c>
      <c r="H112" s="13">
        <f t="shared" si="6"/>
        <v>-1.0275684203264746E-2</v>
      </c>
      <c r="I112">
        <f t="shared" si="7"/>
        <v>171.28232039132999</v>
      </c>
      <c r="J112">
        <f t="shared" si="1"/>
        <v>732.0349713902765</v>
      </c>
      <c r="K112" s="27">
        <f t="shared" si="2"/>
        <v>-5506.3250079712698</v>
      </c>
    </row>
    <row r="113" spans="1:11" x14ac:dyDescent="0.25">
      <c r="A113" s="26">
        <v>63</v>
      </c>
      <c r="B113" s="82">
        <f t="shared" si="3"/>
        <v>0</v>
      </c>
      <c r="C113" s="58">
        <f t="shared" si="10"/>
        <v>171.9194128119324</v>
      </c>
      <c r="D113" s="83">
        <f t="shared" si="5"/>
        <v>733.33333333333326</v>
      </c>
      <c r="E113">
        <f t="shared" si="0"/>
        <v>0</v>
      </c>
      <c r="G113">
        <v>63</v>
      </c>
      <c r="H113" s="13">
        <f t="shared" si="6"/>
        <v>-1.0275684203264746E-2</v>
      </c>
      <c r="I113">
        <f t="shared" si="7"/>
        <v>171.27204470712672</v>
      </c>
      <c r="J113">
        <f t="shared" si="1"/>
        <v>732.01379205832063</v>
      </c>
      <c r="K113" s="27">
        <f t="shared" si="2"/>
        <v>-5506.0063306363618</v>
      </c>
    </row>
    <row r="114" spans="1:11" x14ac:dyDescent="0.25">
      <c r="A114" s="26">
        <v>64</v>
      </c>
      <c r="B114" s="82">
        <f t="shared" si="3"/>
        <v>0</v>
      </c>
      <c r="C114" s="58">
        <f t="shared" si="10"/>
        <v>171.9194128119324</v>
      </c>
      <c r="D114" s="83">
        <f t="shared" si="5"/>
        <v>733.33333333333326</v>
      </c>
      <c r="E114">
        <f t="shared" si="0"/>
        <v>0</v>
      </c>
      <c r="G114">
        <v>64</v>
      </c>
      <c r="H114" s="13">
        <f t="shared" si="6"/>
        <v>-1.0275684203264746E-2</v>
      </c>
      <c r="I114">
        <f t="shared" si="7"/>
        <v>171.26176902292346</v>
      </c>
      <c r="J114">
        <f t="shared" si="1"/>
        <v>731.99260502899415</v>
      </c>
      <c r="K114" s="27">
        <f t="shared" si="2"/>
        <v>-5505.687546678947</v>
      </c>
    </row>
    <row r="115" spans="1:11" x14ac:dyDescent="0.25">
      <c r="A115" s="26">
        <v>65</v>
      </c>
      <c r="B115" s="82">
        <f t="shared" si="3"/>
        <v>0</v>
      </c>
      <c r="C115" s="58">
        <f t="shared" si="10"/>
        <v>171.9194128119324</v>
      </c>
      <c r="D115" s="83">
        <f t="shared" si="5"/>
        <v>733.33333333333326</v>
      </c>
      <c r="E115">
        <f t="shared" ref="E115:E178" si="11">((D115^2)+(D115*D116)+(D116^2))*B116/3</f>
        <v>0</v>
      </c>
      <c r="G115">
        <v>65</v>
      </c>
      <c r="H115" s="13">
        <f t="shared" si="6"/>
        <v>-1.0275684203264746E-2</v>
      </c>
      <c r="I115">
        <f t="shared" si="7"/>
        <v>171.25149333872019</v>
      </c>
      <c r="J115">
        <f t="shared" ref="J115:J178" si="12">IF($G$28&lt;$C$14,0,((($C$11^2)-((I115-$C$13)^2))^0.5)+$C$16)</f>
        <v>731.97141029549925</v>
      </c>
      <c r="K115" s="27">
        <f t="shared" ref="K115:K178" si="13">((J115^2)+(J115*J116)+(J116^2))*H116/3</f>
        <v>-5505.3686560067517</v>
      </c>
    </row>
    <row r="116" spans="1:11" x14ac:dyDescent="0.25">
      <c r="A116" s="26">
        <v>66</v>
      </c>
      <c r="B116" s="82">
        <f t="shared" ref="B116:B179" si="14">C116-C115</f>
        <v>0</v>
      </c>
      <c r="C116" s="58">
        <f t="shared" si="10"/>
        <v>171.9194128119324</v>
      </c>
      <c r="D116" s="83">
        <f t="shared" ref="D116:D179" si="15">IF($G$28&lt;$C$14,0,((($C$11^2)-((C116-$C$13)^2))^0.5)+$C$16)</f>
        <v>733.33333333333326</v>
      </c>
      <c r="E116">
        <f t="shared" si="11"/>
        <v>0</v>
      </c>
      <c r="G116">
        <v>66</v>
      </c>
      <c r="H116" s="13">
        <f t="shared" ref="H116:H179" si="16">I116-I115</f>
        <v>-1.0275684203264746E-2</v>
      </c>
      <c r="I116">
        <f t="shared" ref="I116:I179" si="17">($G$27-$C$14)/2000+I115</f>
        <v>171.24121765451693</v>
      </c>
      <c r="J116">
        <f t="shared" si="12"/>
        <v>731.95020785102759</v>
      </c>
      <c r="K116" s="27">
        <f t="shared" si="13"/>
        <v>-5505.0496585273549</v>
      </c>
    </row>
    <row r="117" spans="1:11" x14ac:dyDescent="0.25">
      <c r="A117" s="26">
        <v>67</v>
      </c>
      <c r="B117" s="82">
        <f t="shared" si="14"/>
        <v>0</v>
      </c>
      <c r="C117" s="58">
        <f t="shared" si="10"/>
        <v>171.9194128119324</v>
      </c>
      <c r="D117" s="83">
        <f t="shared" si="15"/>
        <v>733.33333333333326</v>
      </c>
      <c r="E117">
        <f t="shared" si="11"/>
        <v>0</v>
      </c>
      <c r="G117">
        <v>67</v>
      </c>
      <c r="H117" s="13">
        <f t="shared" si="16"/>
        <v>-1.0275684203264746E-2</v>
      </c>
      <c r="I117">
        <f t="shared" si="17"/>
        <v>171.23094197031367</v>
      </c>
      <c r="J117">
        <f t="shared" si="12"/>
        <v>731.92899768876021</v>
      </c>
      <c r="K117" s="27">
        <f t="shared" si="13"/>
        <v>-5504.7305541481946</v>
      </c>
    </row>
    <row r="118" spans="1:11" x14ac:dyDescent="0.25">
      <c r="A118" s="26">
        <v>68</v>
      </c>
      <c r="B118" s="82">
        <f t="shared" si="14"/>
        <v>0</v>
      </c>
      <c r="C118" s="58">
        <f t="shared" si="10"/>
        <v>171.9194128119324</v>
      </c>
      <c r="D118" s="83">
        <f t="shared" si="15"/>
        <v>733.33333333333326</v>
      </c>
      <c r="E118">
        <f t="shared" si="11"/>
        <v>0</v>
      </c>
      <c r="G118">
        <v>68</v>
      </c>
      <c r="H118" s="13">
        <f t="shared" si="16"/>
        <v>-1.0275684203264746E-2</v>
      </c>
      <c r="I118">
        <f t="shared" si="17"/>
        <v>171.2206662861104</v>
      </c>
      <c r="J118">
        <f t="shared" si="12"/>
        <v>731.90777980186772</v>
      </c>
      <c r="K118" s="27">
        <f t="shared" si="13"/>
        <v>-5504.411342776566</v>
      </c>
    </row>
    <row r="119" spans="1:11" x14ac:dyDescent="0.25">
      <c r="A119" s="26">
        <v>69</v>
      </c>
      <c r="B119" s="82">
        <f t="shared" si="14"/>
        <v>0</v>
      </c>
      <c r="C119" s="58">
        <f t="shared" si="10"/>
        <v>171.9194128119324</v>
      </c>
      <c r="D119" s="83">
        <f t="shared" si="15"/>
        <v>733.33333333333326</v>
      </c>
      <c r="E119">
        <f t="shared" si="11"/>
        <v>0</v>
      </c>
      <c r="G119">
        <v>69</v>
      </c>
      <c r="H119" s="13">
        <f t="shared" si="16"/>
        <v>-1.0275684203264746E-2</v>
      </c>
      <c r="I119">
        <f t="shared" si="17"/>
        <v>171.21039060190714</v>
      </c>
      <c r="J119">
        <f t="shared" si="12"/>
        <v>731.88655418351016</v>
      </c>
      <c r="K119" s="27">
        <f t="shared" si="13"/>
        <v>-5504.0920243196224</v>
      </c>
    </row>
    <row r="120" spans="1:11" x14ac:dyDescent="0.25">
      <c r="A120" s="26">
        <v>70</v>
      </c>
      <c r="B120" s="82">
        <f t="shared" si="14"/>
        <v>0</v>
      </c>
      <c r="C120" s="58">
        <f t="shared" si="10"/>
        <v>171.9194128119324</v>
      </c>
      <c r="D120" s="83">
        <f t="shared" si="15"/>
        <v>733.33333333333326</v>
      </c>
      <c r="E120">
        <f t="shared" si="11"/>
        <v>0</v>
      </c>
      <c r="G120">
        <v>70</v>
      </c>
      <c r="H120" s="13">
        <f t="shared" si="16"/>
        <v>-1.0275684203264746E-2</v>
      </c>
      <c r="I120">
        <f t="shared" si="17"/>
        <v>171.20011491770387</v>
      </c>
      <c r="J120">
        <f t="shared" si="12"/>
        <v>731.86532082683709</v>
      </c>
      <c r="K120" s="27">
        <f t="shared" si="13"/>
        <v>-5503.7725986843698</v>
      </c>
    </row>
    <row r="121" spans="1:11" x14ac:dyDescent="0.25">
      <c r="A121" s="26">
        <v>71</v>
      </c>
      <c r="B121" s="82">
        <f t="shared" si="14"/>
        <v>0</v>
      </c>
      <c r="C121" s="58">
        <f t="shared" si="10"/>
        <v>171.9194128119324</v>
      </c>
      <c r="D121" s="83">
        <f t="shared" si="15"/>
        <v>733.33333333333326</v>
      </c>
      <c r="E121">
        <f t="shared" si="11"/>
        <v>0</v>
      </c>
      <c r="G121">
        <v>71</v>
      </c>
      <c r="H121" s="13">
        <f t="shared" si="16"/>
        <v>-1.0275684203264746E-2</v>
      </c>
      <c r="I121">
        <f t="shared" si="17"/>
        <v>171.18983923350061</v>
      </c>
      <c r="J121">
        <f t="shared" si="12"/>
        <v>731.84407972498741</v>
      </c>
      <c r="K121" s="27">
        <f t="shared" si="13"/>
        <v>-5503.4530657776741</v>
      </c>
    </row>
    <row r="122" spans="1:11" x14ac:dyDescent="0.25">
      <c r="A122" s="26">
        <v>72</v>
      </c>
      <c r="B122" s="82">
        <f t="shared" si="14"/>
        <v>0</v>
      </c>
      <c r="C122" s="58">
        <f t="shared" si="10"/>
        <v>171.9194128119324</v>
      </c>
      <c r="D122" s="83">
        <f t="shared" si="15"/>
        <v>733.33333333333326</v>
      </c>
      <c r="E122">
        <f t="shared" si="11"/>
        <v>0</v>
      </c>
      <c r="G122">
        <v>72</v>
      </c>
      <c r="H122" s="13">
        <f t="shared" si="16"/>
        <v>-1.0275684203264746E-2</v>
      </c>
      <c r="I122">
        <f t="shared" si="17"/>
        <v>171.17956354929734</v>
      </c>
      <c r="J122">
        <f t="shared" si="12"/>
        <v>731.8228308710892</v>
      </c>
      <c r="K122" s="27">
        <f t="shared" si="13"/>
        <v>-5503.1334255062548</v>
      </c>
    </row>
    <row r="123" spans="1:11" x14ac:dyDescent="0.25">
      <c r="A123" s="26">
        <v>73</v>
      </c>
      <c r="B123" s="82">
        <f t="shared" si="14"/>
        <v>0</v>
      </c>
      <c r="C123" s="58">
        <f t="shared" si="10"/>
        <v>171.9194128119324</v>
      </c>
      <c r="D123" s="83">
        <f t="shared" si="15"/>
        <v>733.33333333333326</v>
      </c>
      <c r="E123">
        <f t="shared" si="11"/>
        <v>0</v>
      </c>
      <c r="G123">
        <v>73</v>
      </c>
      <c r="H123" s="13">
        <f t="shared" si="16"/>
        <v>-1.0275684203264746E-2</v>
      </c>
      <c r="I123">
        <f t="shared" si="17"/>
        <v>171.16928786509408</v>
      </c>
      <c r="J123">
        <f t="shared" si="12"/>
        <v>731.80157425826019</v>
      </c>
      <c r="K123" s="27">
        <f t="shared" si="13"/>
        <v>-5502.8136777766886</v>
      </c>
    </row>
    <row r="124" spans="1:11" x14ac:dyDescent="0.25">
      <c r="A124" s="26">
        <v>74</v>
      </c>
      <c r="B124" s="82">
        <f t="shared" si="14"/>
        <v>0</v>
      </c>
      <c r="C124" s="58">
        <f t="shared" si="10"/>
        <v>171.9194128119324</v>
      </c>
      <c r="D124" s="83">
        <f t="shared" si="15"/>
        <v>733.33333333333326</v>
      </c>
      <c r="E124">
        <f t="shared" si="11"/>
        <v>0</v>
      </c>
      <c r="G124">
        <v>74</v>
      </c>
      <c r="H124" s="13">
        <f t="shared" si="16"/>
        <v>-1.0275684203264746E-2</v>
      </c>
      <c r="I124">
        <f t="shared" si="17"/>
        <v>171.15901218089081</v>
      </c>
      <c r="J124">
        <f t="shared" si="12"/>
        <v>731.78030987960733</v>
      </c>
      <c r="K124" s="27">
        <f t="shared" si="13"/>
        <v>-5502.4938224954058</v>
      </c>
    </row>
    <row r="125" spans="1:11" x14ac:dyDescent="0.25">
      <c r="A125" s="26">
        <v>75</v>
      </c>
      <c r="B125" s="82">
        <f t="shared" si="14"/>
        <v>0</v>
      </c>
      <c r="C125" s="58">
        <f t="shared" si="10"/>
        <v>171.9194128119324</v>
      </c>
      <c r="D125" s="83">
        <f t="shared" si="15"/>
        <v>733.33333333333326</v>
      </c>
      <c r="E125">
        <f t="shared" si="11"/>
        <v>0</v>
      </c>
      <c r="G125">
        <v>75</v>
      </c>
      <c r="H125" s="13">
        <f t="shared" si="16"/>
        <v>-1.0275684203264746E-2</v>
      </c>
      <c r="I125">
        <f t="shared" si="17"/>
        <v>171.14873649668755</v>
      </c>
      <c r="J125">
        <f t="shared" si="12"/>
        <v>731.75903772822676</v>
      </c>
      <c r="K125" s="27">
        <f t="shared" si="13"/>
        <v>-5502.1738595686902</v>
      </c>
    </row>
    <row r="126" spans="1:11" x14ac:dyDescent="0.25">
      <c r="A126" s="26">
        <v>76</v>
      </c>
      <c r="B126" s="82">
        <f t="shared" si="14"/>
        <v>0</v>
      </c>
      <c r="C126" s="58">
        <f t="shared" si="10"/>
        <v>171.9194128119324</v>
      </c>
      <c r="D126" s="83">
        <f t="shared" si="15"/>
        <v>733.33333333333326</v>
      </c>
      <c r="E126">
        <f t="shared" si="11"/>
        <v>0</v>
      </c>
      <c r="G126">
        <v>76</v>
      </c>
      <c r="H126" s="13">
        <f t="shared" si="16"/>
        <v>-1.0275684203264746E-2</v>
      </c>
      <c r="I126">
        <f t="shared" si="17"/>
        <v>171.13846081248428</v>
      </c>
      <c r="J126">
        <f t="shared" si="12"/>
        <v>731.73775779720415</v>
      </c>
      <c r="K126" s="27">
        <f t="shared" si="13"/>
        <v>-5501.853788902682</v>
      </c>
    </row>
    <row r="127" spans="1:11" x14ac:dyDescent="0.25">
      <c r="A127" s="26">
        <v>77</v>
      </c>
      <c r="B127" s="82">
        <f t="shared" si="14"/>
        <v>0</v>
      </c>
      <c r="C127" s="58">
        <f t="shared" si="10"/>
        <v>171.9194128119324</v>
      </c>
      <c r="D127" s="83">
        <f t="shared" si="15"/>
        <v>733.33333333333326</v>
      </c>
      <c r="E127">
        <f t="shared" si="11"/>
        <v>0</v>
      </c>
      <c r="G127">
        <v>77</v>
      </c>
      <c r="H127" s="13">
        <f t="shared" si="16"/>
        <v>-1.0275684203264746E-2</v>
      </c>
      <c r="I127">
        <f t="shared" si="17"/>
        <v>171.12818512828102</v>
      </c>
      <c r="J127">
        <f t="shared" si="12"/>
        <v>731.71647007961428</v>
      </c>
      <c r="K127" s="27">
        <f t="shared" si="13"/>
        <v>-5501.5336104033786</v>
      </c>
    </row>
    <row r="128" spans="1:11" x14ac:dyDescent="0.25">
      <c r="A128" s="26">
        <v>78</v>
      </c>
      <c r="B128" s="82">
        <f t="shared" si="14"/>
        <v>0</v>
      </c>
      <c r="C128" s="58">
        <f t="shared" si="10"/>
        <v>171.9194128119324</v>
      </c>
      <c r="D128" s="83">
        <f t="shared" si="15"/>
        <v>733.33333333333326</v>
      </c>
      <c r="E128">
        <f t="shared" si="11"/>
        <v>0</v>
      </c>
      <c r="G128">
        <v>78</v>
      </c>
      <c r="H128" s="13">
        <f t="shared" si="16"/>
        <v>-1.0275684203264746E-2</v>
      </c>
      <c r="I128">
        <f t="shared" si="17"/>
        <v>171.11790944407775</v>
      </c>
      <c r="J128">
        <f t="shared" si="12"/>
        <v>731.69517456852111</v>
      </c>
      <c r="K128" s="27">
        <f t="shared" si="13"/>
        <v>-5501.2133239766254</v>
      </c>
    </row>
    <row r="129" spans="1:11" x14ac:dyDescent="0.25">
      <c r="A129" s="26">
        <v>79</v>
      </c>
      <c r="B129" s="82">
        <f t="shared" si="14"/>
        <v>0</v>
      </c>
      <c r="C129" s="58">
        <f t="shared" si="10"/>
        <v>171.9194128119324</v>
      </c>
      <c r="D129" s="83">
        <f t="shared" si="15"/>
        <v>733.33333333333326</v>
      </c>
      <c r="E129">
        <f t="shared" si="11"/>
        <v>0</v>
      </c>
      <c r="G129">
        <v>79</v>
      </c>
      <c r="H129" s="13">
        <f t="shared" si="16"/>
        <v>-1.0275684203264746E-2</v>
      </c>
      <c r="I129">
        <f t="shared" si="17"/>
        <v>171.10763375987449</v>
      </c>
      <c r="J129">
        <f t="shared" si="12"/>
        <v>731.67387125697803</v>
      </c>
      <c r="K129" s="27">
        <f t="shared" si="13"/>
        <v>-5500.8929295281259</v>
      </c>
    </row>
    <row r="130" spans="1:11" x14ac:dyDescent="0.25">
      <c r="A130" s="26">
        <v>80</v>
      </c>
      <c r="B130" s="82">
        <f t="shared" si="14"/>
        <v>0</v>
      </c>
      <c r="C130" s="58">
        <f t="shared" si="10"/>
        <v>171.9194128119324</v>
      </c>
      <c r="D130" s="83">
        <f t="shared" si="15"/>
        <v>733.33333333333326</v>
      </c>
      <c r="E130">
        <f t="shared" si="11"/>
        <v>0</v>
      </c>
      <c r="G130">
        <v>80</v>
      </c>
      <c r="H130" s="13">
        <f t="shared" si="16"/>
        <v>-1.0275684203264746E-2</v>
      </c>
      <c r="I130">
        <f t="shared" si="17"/>
        <v>171.09735807567122</v>
      </c>
      <c r="J130">
        <f t="shared" si="12"/>
        <v>731.6525601380273</v>
      </c>
      <c r="K130" s="27">
        <f t="shared" si="13"/>
        <v>-5500.5724269634329</v>
      </c>
    </row>
    <row r="131" spans="1:11" x14ac:dyDescent="0.25">
      <c r="A131" s="26">
        <v>81</v>
      </c>
      <c r="B131" s="82">
        <f t="shared" si="14"/>
        <v>0</v>
      </c>
      <c r="C131" s="58">
        <f t="shared" si="10"/>
        <v>171.9194128119324</v>
      </c>
      <c r="D131" s="83">
        <f t="shared" si="15"/>
        <v>733.33333333333326</v>
      </c>
      <c r="E131">
        <f t="shared" si="11"/>
        <v>0</v>
      </c>
      <c r="G131">
        <v>81</v>
      </c>
      <c r="H131" s="13">
        <f t="shared" si="16"/>
        <v>-1.0275684203264746E-2</v>
      </c>
      <c r="I131">
        <f t="shared" si="17"/>
        <v>171.08708239146796</v>
      </c>
      <c r="J131">
        <f t="shared" si="12"/>
        <v>731.6312412047007</v>
      </c>
      <c r="K131" s="27">
        <f t="shared" si="13"/>
        <v>-5500.251816187957</v>
      </c>
    </row>
    <row r="132" spans="1:11" x14ac:dyDescent="0.25">
      <c r="A132" s="26">
        <v>82</v>
      </c>
      <c r="B132" s="82">
        <f t="shared" si="14"/>
        <v>0</v>
      </c>
      <c r="C132" s="58">
        <f t="shared" si="10"/>
        <v>171.9194128119324</v>
      </c>
      <c r="D132" s="83">
        <f t="shared" si="15"/>
        <v>733.33333333333326</v>
      </c>
      <c r="E132">
        <f t="shared" si="11"/>
        <v>0</v>
      </c>
      <c r="G132">
        <v>82</v>
      </c>
      <c r="H132" s="13">
        <f t="shared" si="16"/>
        <v>-1.0275684203264746E-2</v>
      </c>
      <c r="I132">
        <f t="shared" si="17"/>
        <v>171.07680670726469</v>
      </c>
      <c r="J132">
        <f t="shared" si="12"/>
        <v>731.60991445001901</v>
      </c>
      <c r="K132" s="27">
        <f t="shared" si="13"/>
        <v>-5499.9310971069563</v>
      </c>
    </row>
    <row r="133" spans="1:11" x14ac:dyDescent="0.25">
      <c r="A133" s="26">
        <v>83</v>
      </c>
      <c r="B133" s="82">
        <f t="shared" si="14"/>
        <v>0</v>
      </c>
      <c r="C133" s="58">
        <f t="shared" si="10"/>
        <v>171.9194128119324</v>
      </c>
      <c r="D133" s="83">
        <f t="shared" si="15"/>
        <v>733.33333333333326</v>
      </c>
      <c r="E133">
        <f t="shared" si="11"/>
        <v>0</v>
      </c>
      <c r="G133">
        <v>83</v>
      </c>
      <c r="H133" s="13">
        <f t="shared" si="16"/>
        <v>-1.0275684203264746E-2</v>
      </c>
      <c r="I133">
        <f t="shared" si="17"/>
        <v>171.06653102306143</v>
      </c>
      <c r="J133">
        <f t="shared" si="12"/>
        <v>731.58857986699195</v>
      </c>
      <c r="K133" s="27">
        <f t="shared" si="13"/>
        <v>-5499.6102696255448</v>
      </c>
    </row>
    <row r="134" spans="1:11" x14ac:dyDescent="0.25">
      <c r="A134" s="26">
        <v>84</v>
      </c>
      <c r="B134" s="82">
        <f t="shared" si="14"/>
        <v>0</v>
      </c>
      <c r="C134" s="58">
        <f t="shared" si="10"/>
        <v>171.9194128119324</v>
      </c>
      <c r="D134" s="83">
        <f t="shared" si="15"/>
        <v>733.33333333333326</v>
      </c>
      <c r="E134">
        <f t="shared" si="11"/>
        <v>0</v>
      </c>
      <c r="G134">
        <v>84</v>
      </c>
      <c r="H134" s="13">
        <f t="shared" si="16"/>
        <v>-1.0275684203264746E-2</v>
      </c>
      <c r="I134">
        <f t="shared" si="17"/>
        <v>171.05625533885816</v>
      </c>
      <c r="J134">
        <f t="shared" si="12"/>
        <v>731.5672374486187</v>
      </c>
      <c r="K134" s="27">
        <f t="shared" si="13"/>
        <v>-5499.2893336486886</v>
      </c>
    </row>
    <row r="135" spans="1:11" x14ac:dyDescent="0.25">
      <c r="A135" s="26">
        <v>85</v>
      </c>
      <c r="B135" s="82">
        <f t="shared" si="14"/>
        <v>0</v>
      </c>
      <c r="C135" s="58">
        <f t="shared" si="10"/>
        <v>171.9194128119324</v>
      </c>
      <c r="D135" s="83">
        <f t="shared" si="15"/>
        <v>733.33333333333326</v>
      </c>
      <c r="E135">
        <f t="shared" si="11"/>
        <v>0</v>
      </c>
      <c r="G135">
        <v>85</v>
      </c>
      <c r="H135" s="13">
        <f t="shared" si="16"/>
        <v>-1.0275684203264746E-2</v>
      </c>
      <c r="I135">
        <f t="shared" si="17"/>
        <v>171.0459796546549</v>
      </c>
      <c r="J135">
        <f t="shared" si="12"/>
        <v>731.54588718788716</v>
      </c>
      <c r="K135" s="27">
        <f t="shared" si="13"/>
        <v>-5498.968289081201</v>
      </c>
    </row>
    <row r="136" spans="1:11" x14ac:dyDescent="0.25">
      <c r="A136" s="26">
        <v>86</v>
      </c>
      <c r="B136" s="82">
        <f t="shared" si="14"/>
        <v>0</v>
      </c>
      <c r="C136" s="58">
        <f t="shared" si="10"/>
        <v>171.9194128119324</v>
      </c>
      <c r="D136" s="83">
        <f t="shared" si="15"/>
        <v>733.33333333333326</v>
      </c>
      <c r="E136">
        <f t="shared" si="11"/>
        <v>0</v>
      </c>
      <c r="G136">
        <v>86</v>
      </c>
      <c r="H136" s="13">
        <f t="shared" si="16"/>
        <v>-1.0275684203264746E-2</v>
      </c>
      <c r="I136">
        <f t="shared" si="17"/>
        <v>171.03570397045164</v>
      </c>
      <c r="J136">
        <f t="shared" si="12"/>
        <v>731.52452907777456</v>
      </c>
      <c r="K136" s="27">
        <f t="shared" si="13"/>
        <v>-5498.6471358277549</v>
      </c>
    </row>
    <row r="137" spans="1:11" x14ac:dyDescent="0.25">
      <c r="A137" s="26">
        <v>87</v>
      </c>
      <c r="B137" s="82">
        <f t="shared" si="14"/>
        <v>0</v>
      </c>
      <c r="C137" s="58">
        <f t="shared" si="10"/>
        <v>171.9194128119324</v>
      </c>
      <c r="D137" s="83">
        <f t="shared" si="15"/>
        <v>733.33333333333326</v>
      </c>
      <c r="E137">
        <f t="shared" si="11"/>
        <v>0</v>
      </c>
      <c r="G137">
        <v>87</v>
      </c>
      <c r="H137" s="13">
        <f t="shared" si="16"/>
        <v>-1.0275684203264746E-2</v>
      </c>
      <c r="I137">
        <f t="shared" si="17"/>
        <v>171.02542828624837</v>
      </c>
      <c r="J137">
        <f t="shared" si="12"/>
        <v>731.50316311124698</v>
      </c>
      <c r="K137" s="27">
        <f t="shared" si="13"/>
        <v>-5498.3258737928618</v>
      </c>
    </row>
    <row r="138" spans="1:11" x14ac:dyDescent="0.25">
      <c r="A138" s="26">
        <v>88</v>
      </c>
      <c r="B138" s="82">
        <f t="shared" si="14"/>
        <v>0</v>
      </c>
      <c r="C138" s="58">
        <f t="shared" si="10"/>
        <v>171.9194128119324</v>
      </c>
      <c r="D138" s="83">
        <f t="shared" si="15"/>
        <v>733.33333333333326</v>
      </c>
      <c r="E138">
        <f t="shared" si="11"/>
        <v>0</v>
      </c>
      <c r="G138">
        <v>88</v>
      </c>
      <c r="H138" s="13">
        <f t="shared" si="16"/>
        <v>-1.0275684203264746E-2</v>
      </c>
      <c r="I138">
        <f t="shared" si="17"/>
        <v>171.01515260204511</v>
      </c>
      <c r="J138">
        <f t="shared" si="12"/>
        <v>731.48178928125935</v>
      </c>
      <c r="K138" s="27">
        <f t="shared" si="13"/>
        <v>-5498.0045028808954</v>
      </c>
    </row>
    <row r="139" spans="1:11" x14ac:dyDescent="0.25">
      <c r="A139" s="26">
        <v>89</v>
      </c>
      <c r="B139" s="82">
        <f t="shared" si="14"/>
        <v>0</v>
      </c>
      <c r="C139" s="58">
        <f t="shared" si="10"/>
        <v>171.9194128119324</v>
      </c>
      <c r="D139" s="83">
        <f t="shared" si="15"/>
        <v>733.33333333333326</v>
      </c>
      <c r="E139">
        <f t="shared" si="11"/>
        <v>0</v>
      </c>
      <c r="G139">
        <v>89</v>
      </c>
      <c r="H139" s="13">
        <f t="shared" si="16"/>
        <v>-1.0275684203264746E-2</v>
      </c>
      <c r="I139">
        <f t="shared" si="17"/>
        <v>171.00487691784184</v>
      </c>
      <c r="J139">
        <f t="shared" si="12"/>
        <v>731.46040758075617</v>
      </c>
      <c r="K139" s="27">
        <f t="shared" si="13"/>
        <v>-5497.683022996076</v>
      </c>
    </row>
    <row r="140" spans="1:11" x14ac:dyDescent="0.25">
      <c r="A140" s="26">
        <v>90</v>
      </c>
      <c r="B140" s="82">
        <f t="shared" si="14"/>
        <v>0</v>
      </c>
      <c r="C140" s="58">
        <f t="shared" si="10"/>
        <v>171.9194128119324</v>
      </c>
      <c r="D140" s="83">
        <f t="shared" si="15"/>
        <v>733.33333333333326</v>
      </c>
      <c r="E140">
        <f t="shared" si="11"/>
        <v>0</v>
      </c>
      <c r="G140">
        <v>90</v>
      </c>
      <c r="H140" s="13">
        <f t="shared" si="16"/>
        <v>-1.0275684203264746E-2</v>
      </c>
      <c r="I140">
        <f t="shared" si="17"/>
        <v>170.99460123363858</v>
      </c>
      <c r="J140">
        <f t="shared" si="12"/>
        <v>731.4390180026702</v>
      </c>
      <c r="K140" s="27">
        <f t="shared" si="13"/>
        <v>-5497.361434042471</v>
      </c>
    </row>
    <row r="141" spans="1:11" x14ac:dyDescent="0.25">
      <c r="A141" s="26">
        <v>91</v>
      </c>
      <c r="B141" s="82">
        <f t="shared" si="14"/>
        <v>0</v>
      </c>
      <c r="C141" s="58">
        <f t="shared" si="10"/>
        <v>171.9194128119324</v>
      </c>
      <c r="D141" s="83">
        <f t="shared" si="15"/>
        <v>733.33333333333326</v>
      </c>
      <c r="E141">
        <f t="shared" si="11"/>
        <v>0</v>
      </c>
      <c r="G141">
        <v>91</v>
      </c>
      <c r="H141" s="13">
        <f t="shared" si="16"/>
        <v>-1.0275684203264746E-2</v>
      </c>
      <c r="I141">
        <f t="shared" si="17"/>
        <v>170.98432554943531</v>
      </c>
      <c r="J141">
        <f t="shared" si="12"/>
        <v>731.41762053992363</v>
      </c>
      <c r="K141" s="27">
        <f t="shared" si="13"/>
        <v>-5497.0397359240014</v>
      </c>
    </row>
    <row r="142" spans="1:11" x14ac:dyDescent="0.25">
      <c r="A142" s="26">
        <v>92</v>
      </c>
      <c r="B142" s="82">
        <f t="shared" si="14"/>
        <v>0</v>
      </c>
      <c r="C142" s="58">
        <f t="shared" si="10"/>
        <v>171.9194128119324</v>
      </c>
      <c r="D142" s="83">
        <f t="shared" si="15"/>
        <v>733.33333333333326</v>
      </c>
      <c r="E142">
        <f t="shared" si="11"/>
        <v>0</v>
      </c>
      <c r="G142">
        <v>92</v>
      </c>
      <c r="H142" s="13">
        <f t="shared" si="16"/>
        <v>-1.0275684203264746E-2</v>
      </c>
      <c r="I142">
        <f t="shared" si="17"/>
        <v>170.97404986523205</v>
      </c>
      <c r="J142">
        <f t="shared" si="12"/>
        <v>731.3962151854272</v>
      </c>
      <c r="K142" s="27">
        <f t="shared" si="13"/>
        <v>-5496.7179285444354</v>
      </c>
    </row>
    <row r="143" spans="1:11" x14ac:dyDescent="0.25">
      <c r="A143" s="26">
        <v>93</v>
      </c>
      <c r="B143" s="82">
        <f t="shared" si="14"/>
        <v>0</v>
      </c>
      <c r="C143" s="58">
        <f t="shared" si="10"/>
        <v>171.9194128119324</v>
      </c>
      <c r="D143" s="83">
        <f t="shared" si="15"/>
        <v>733.33333333333326</v>
      </c>
      <c r="E143">
        <f t="shared" si="11"/>
        <v>0</v>
      </c>
      <c r="G143">
        <v>93</v>
      </c>
      <c r="H143" s="13">
        <f t="shared" si="16"/>
        <v>-1.0275684203264746E-2</v>
      </c>
      <c r="I143">
        <f t="shared" si="17"/>
        <v>170.96377418102878</v>
      </c>
      <c r="J143">
        <f t="shared" si="12"/>
        <v>731.3748019320808</v>
      </c>
      <c r="K143" s="27">
        <f t="shared" si="13"/>
        <v>-5496.396011807391</v>
      </c>
    </row>
    <row r="144" spans="1:11" x14ac:dyDescent="0.25">
      <c r="A144" s="26">
        <v>94</v>
      </c>
      <c r="B144" s="82">
        <f t="shared" si="14"/>
        <v>0</v>
      </c>
      <c r="C144" s="58">
        <f t="shared" ref="C144:C207" si="18">($C$37-$C$36)/2000+C143</f>
        <v>171.9194128119324</v>
      </c>
      <c r="D144" s="83">
        <f t="shared" si="15"/>
        <v>733.33333333333326</v>
      </c>
      <c r="E144">
        <f t="shared" si="11"/>
        <v>0</v>
      </c>
      <c r="G144">
        <v>94</v>
      </c>
      <c r="H144" s="13">
        <f t="shared" si="16"/>
        <v>-1.0275684203264746E-2</v>
      </c>
      <c r="I144">
        <f t="shared" si="17"/>
        <v>170.95349849682552</v>
      </c>
      <c r="J144">
        <f t="shared" si="12"/>
        <v>731.35338077277299</v>
      </c>
      <c r="K144" s="27">
        <f t="shared" si="13"/>
        <v>-5496.0739856163318</v>
      </c>
    </row>
    <row r="145" spans="1:11" x14ac:dyDescent="0.25">
      <c r="A145" s="26">
        <v>95</v>
      </c>
      <c r="B145" s="82">
        <f t="shared" si="14"/>
        <v>0</v>
      </c>
      <c r="C145" s="58">
        <f t="shared" si="18"/>
        <v>171.9194128119324</v>
      </c>
      <c r="D145" s="83">
        <f t="shared" si="15"/>
        <v>733.33333333333326</v>
      </c>
      <c r="E145">
        <f t="shared" si="11"/>
        <v>0</v>
      </c>
      <c r="G145">
        <v>95</v>
      </c>
      <c r="H145" s="13">
        <f t="shared" si="16"/>
        <v>-1.0275684203264746E-2</v>
      </c>
      <c r="I145">
        <f t="shared" si="17"/>
        <v>170.94322281262225</v>
      </c>
      <c r="J145">
        <f t="shared" si="12"/>
        <v>731.33195170038118</v>
      </c>
      <c r="K145" s="27">
        <f t="shared" si="13"/>
        <v>-5495.7518498745767</v>
      </c>
    </row>
    <row r="146" spans="1:11" x14ac:dyDescent="0.25">
      <c r="A146" s="26">
        <v>96</v>
      </c>
      <c r="B146" s="82">
        <f t="shared" si="14"/>
        <v>0</v>
      </c>
      <c r="C146" s="58">
        <f t="shared" si="18"/>
        <v>171.9194128119324</v>
      </c>
      <c r="D146" s="83">
        <f t="shared" si="15"/>
        <v>733.33333333333326</v>
      </c>
      <c r="E146">
        <f t="shared" si="11"/>
        <v>0</v>
      </c>
      <c r="G146">
        <v>96</v>
      </c>
      <c r="H146" s="13">
        <f t="shared" si="16"/>
        <v>-1.0275684203264746E-2</v>
      </c>
      <c r="I146">
        <f t="shared" si="17"/>
        <v>170.93294712841899</v>
      </c>
      <c r="J146">
        <f t="shared" si="12"/>
        <v>731.31051470777174</v>
      </c>
      <c r="K146" s="27">
        <f t="shared" si="13"/>
        <v>-5495.4296044852854</v>
      </c>
    </row>
    <row r="147" spans="1:11" x14ac:dyDescent="0.25">
      <c r="A147" s="26">
        <v>97</v>
      </c>
      <c r="B147" s="82">
        <f t="shared" si="14"/>
        <v>0</v>
      </c>
      <c r="C147" s="58">
        <f t="shared" si="18"/>
        <v>171.9194128119324</v>
      </c>
      <c r="D147" s="83">
        <f t="shared" si="15"/>
        <v>733.33333333333326</v>
      </c>
      <c r="E147">
        <f t="shared" si="11"/>
        <v>0</v>
      </c>
      <c r="G147">
        <v>97</v>
      </c>
      <c r="H147" s="13">
        <f t="shared" si="16"/>
        <v>-1.0275684203264746E-2</v>
      </c>
      <c r="I147">
        <f t="shared" si="17"/>
        <v>170.92267144421572</v>
      </c>
      <c r="J147">
        <f t="shared" si="12"/>
        <v>731.2890697877998</v>
      </c>
      <c r="K147" s="27">
        <f t="shared" si="13"/>
        <v>-5495.1072493514703</v>
      </c>
    </row>
    <row r="148" spans="1:11" x14ac:dyDescent="0.25">
      <c r="A148" s="26">
        <v>98</v>
      </c>
      <c r="B148" s="82">
        <f t="shared" si="14"/>
        <v>0</v>
      </c>
      <c r="C148" s="58">
        <f t="shared" si="18"/>
        <v>171.9194128119324</v>
      </c>
      <c r="D148" s="83">
        <f t="shared" si="15"/>
        <v>733.33333333333326</v>
      </c>
      <c r="E148">
        <f t="shared" si="11"/>
        <v>0</v>
      </c>
      <c r="G148">
        <v>98</v>
      </c>
      <c r="H148" s="13">
        <f t="shared" si="16"/>
        <v>-1.0275684203264746E-2</v>
      </c>
      <c r="I148">
        <f t="shared" si="17"/>
        <v>170.91239576001246</v>
      </c>
      <c r="J148">
        <f t="shared" si="12"/>
        <v>731.26761693330889</v>
      </c>
      <c r="K148" s="27">
        <f t="shared" si="13"/>
        <v>-5494.7847843759873</v>
      </c>
    </row>
    <row r="149" spans="1:11" x14ac:dyDescent="0.25">
      <c r="A149" s="26">
        <v>99</v>
      </c>
      <c r="B149" s="82">
        <f t="shared" si="14"/>
        <v>0</v>
      </c>
      <c r="C149" s="58">
        <f t="shared" si="18"/>
        <v>171.9194128119324</v>
      </c>
      <c r="D149" s="83">
        <f t="shared" si="15"/>
        <v>733.33333333333326</v>
      </c>
      <c r="E149">
        <f t="shared" si="11"/>
        <v>0</v>
      </c>
      <c r="G149">
        <v>99</v>
      </c>
      <c r="H149" s="13">
        <f t="shared" si="16"/>
        <v>-1.0275684203264746E-2</v>
      </c>
      <c r="I149">
        <f t="shared" si="17"/>
        <v>170.90212007580919</v>
      </c>
      <c r="J149">
        <f t="shared" si="12"/>
        <v>731.24615613713183</v>
      </c>
      <c r="K149" s="27">
        <f t="shared" si="13"/>
        <v>-5494.4622094615406</v>
      </c>
    </row>
    <row r="150" spans="1:11" x14ac:dyDescent="0.25">
      <c r="A150" s="26">
        <v>100</v>
      </c>
      <c r="B150" s="82">
        <f t="shared" si="14"/>
        <v>0</v>
      </c>
      <c r="C150" s="58">
        <f t="shared" si="18"/>
        <v>171.9194128119324</v>
      </c>
      <c r="D150" s="83">
        <f t="shared" si="15"/>
        <v>733.33333333333326</v>
      </c>
      <c r="E150">
        <f t="shared" si="11"/>
        <v>0</v>
      </c>
      <c r="G150">
        <v>100</v>
      </c>
      <c r="H150" s="13">
        <f t="shared" si="16"/>
        <v>-1.0275684203264746E-2</v>
      </c>
      <c r="I150">
        <f t="shared" si="17"/>
        <v>170.89184439160593</v>
      </c>
      <c r="J150">
        <f t="shared" si="12"/>
        <v>731.22468739208966</v>
      </c>
      <c r="K150" s="27">
        <f t="shared" si="13"/>
        <v>-5494.1395245106833</v>
      </c>
    </row>
    <row r="151" spans="1:11" x14ac:dyDescent="0.25">
      <c r="A151" s="26">
        <v>101</v>
      </c>
      <c r="B151" s="82">
        <f t="shared" si="14"/>
        <v>0</v>
      </c>
      <c r="C151" s="58">
        <f t="shared" si="18"/>
        <v>171.9194128119324</v>
      </c>
      <c r="D151" s="83">
        <f t="shared" si="15"/>
        <v>733.33333333333326</v>
      </c>
      <c r="E151">
        <f t="shared" si="11"/>
        <v>0</v>
      </c>
      <c r="G151">
        <v>101</v>
      </c>
      <c r="H151" s="13">
        <f t="shared" si="16"/>
        <v>-1.0275684203264746E-2</v>
      </c>
      <c r="I151">
        <f t="shared" si="17"/>
        <v>170.88156870740266</v>
      </c>
      <c r="J151">
        <f t="shared" si="12"/>
        <v>731.20321069099248</v>
      </c>
      <c r="K151" s="27">
        <f t="shared" si="13"/>
        <v>-5493.8167294258128</v>
      </c>
    </row>
    <row r="152" spans="1:11" x14ac:dyDescent="0.25">
      <c r="A152" s="26">
        <v>102</v>
      </c>
      <c r="B152" s="82">
        <f t="shared" si="14"/>
        <v>0</v>
      </c>
      <c r="C152" s="58">
        <f t="shared" si="18"/>
        <v>171.9194128119324</v>
      </c>
      <c r="D152" s="83">
        <f t="shared" si="15"/>
        <v>733.33333333333326</v>
      </c>
      <c r="E152">
        <f t="shared" si="11"/>
        <v>0</v>
      </c>
      <c r="G152">
        <v>102</v>
      </c>
      <c r="H152" s="13">
        <f t="shared" si="16"/>
        <v>-1.0275684203264746E-2</v>
      </c>
      <c r="I152">
        <f t="shared" si="17"/>
        <v>170.8712930231994</v>
      </c>
      <c r="J152">
        <f t="shared" si="12"/>
        <v>731.18172602663867</v>
      </c>
      <c r="K152" s="27">
        <f t="shared" si="13"/>
        <v>-5493.4938241091704</v>
      </c>
    </row>
    <row r="153" spans="1:11" x14ac:dyDescent="0.25">
      <c r="A153" s="26">
        <v>103</v>
      </c>
      <c r="B153" s="82">
        <f t="shared" si="14"/>
        <v>0</v>
      </c>
      <c r="C153" s="58">
        <f t="shared" si="18"/>
        <v>171.9194128119324</v>
      </c>
      <c r="D153" s="83">
        <f t="shared" si="15"/>
        <v>733.33333333333326</v>
      </c>
      <c r="E153">
        <f t="shared" si="11"/>
        <v>0</v>
      </c>
      <c r="G153">
        <v>103</v>
      </c>
      <c r="H153" s="13">
        <f t="shared" si="16"/>
        <v>-1.0275684203264746E-2</v>
      </c>
      <c r="I153">
        <f t="shared" si="17"/>
        <v>170.86101733899613</v>
      </c>
      <c r="J153">
        <f t="shared" si="12"/>
        <v>731.16023339181561</v>
      </c>
      <c r="K153" s="27">
        <f t="shared" si="13"/>
        <v>-5493.170808462849</v>
      </c>
    </row>
    <row r="154" spans="1:11" x14ac:dyDescent="0.25">
      <c r="A154" s="26">
        <v>104</v>
      </c>
      <c r="B154" s="82">
        <f t="shared" si="14"/>
        <v>0</v>
      </c>
      <c r="C154" s="58">
        <f t="shared" si="18"/>
        <v>171.9194128119324</v>
      </c>
      <c r="D154" s="83">
        <f t="shared" si="15"/>
        <v>733.33333333333326</v>
      </c>
      <c r="E154">
        <f t="shared" si="11"/>
        <v>0</v>
      </c>
      <c r="G154">
        <v>104</v>
      </c>
      <c r="H154" s="13">
        <f t="shared" si="16"/>
        <v>-1.0275684203264746E-2</v>
      </c>
      <c r="I154">
        <f t="shared" si="17"/>
        <v>170.85074165479287</v>
      </c>
      <c r="J154">
        <f t="shared" si="12"/>
        <v>731.13873277929906</v>
      </c>
      <c r="K154" s="27">
        <f t="shared" si="13"/>
        <v>-5492.8476823887795</v>
      </c>
    </row>
    <row r="155" spans="1:11" x14ac:dyDescent="0.25">
      <c r="A155" s="26">
        <v>105</v>
      </c>
      <c r="B155" s="82">
        <f t="shared" si="14"/>
        <v>0</v>
      </c>
      <c r="C155" s="58">
        <f t="shared" si="18"/>
        <v>171.9194128119324</v>
      </c>
      <c r="D155" s="83">
        <f t="shared" si="15"/>
        <v>733.33333333333326</v>
      </c>
      <c r="E155">
        <f t="shared" si="11"/>
        <v>0</v>
      </c>
      <c r="G155">
        <v>105</v>
      </c>
      <c r="H155" s="13">
        <f t="shared" si="16"/>
        <v>-1.0275684203264746E-2</v>
      </c>
      <c r="I155">
        <f t="shared" si="17"/>
        <v>170.84046597058961</v>
      </c>
      <c r="J155">
        <f t="shared" si="12"/>
        <v>731.11722418185332</v>
      </c>
      <c r="K155" s="27">
        <f t="shared" si="13"/>
        <v>-5492.524445788742</v>
      </c>
    </row>
    <row r="156" spans="1:11" x14ac:dyDescent="0.25">
      <c r="A156" s="26">
        <v>106</v>
      </c>
      <c r="B156" s="82">
        <f t="shared" si="14"/>
        <v>0</v>
      </c>
      <c r="C156" s="58">
        <f t="shared" si="18"/>
        <v>171.9194128119324</v>
      </c>
      <c r="D156" s="83">
        <f t="shared" si="15"/>
        <v>733.33333333333326</v>
      </c>
      <c r="E156">
        <f t="shared" si="11"/>
        <v>0</v>
      </c>
      <c r="G156">
        <v>106</v>
      </c>
      <c r="H156" s="13">
        <f t="shared" si="16"/>
        <v>-1.0275684203264746E-2</v>
      </c>
      <c r="I156">
        <f t="shared" si="17"/>
        <v>170.83019028638634</v>
      </c>
      <c r="J156">
        <f t="shared" si="12"/>
        <v>731.09570759223152</v>
      </c>
      <c r="K156" s="27">
        <f t="shared" si="13"/>
        <v>-5492.2010985643637</v>
      </c>
    </row>
    <row r="157" spans="1:11" x14ac:dyDescent="0.25">
      <c r="A157" s="26">
        <v>107</v>
      </c>
      <c r="B157" s="82">
        <f t="shared" si="14"/>
        <v>0</v>
      </c>
      <c r="C157" s="58">
        <f t="shared" si="18"/>
        <v>171.9194128119324</v>
      </c>
      <c r="D157" s="83">
        <f t="shared" si="15"/>
        <v>733.33333333333326</v>
      </c>
      <c r="E157">
        <f t="shared" si="11"/>
        <v>0</v>
      </c>
      <c r="G157">
        <v>107</v>
      </c>
      <c r="H157" s="13">
        <f t="shared" si="16"/>
        <v>-1.0275684203264746E-2</v>
      </c>
      <c r="I157">
        <f t="shared" si="17"/>
        <v>170.81991460218308</v>
      </c>
      <c r="J157">
        <f t="shared" si="12"/>
        <v>731.07418300317511</v>
      </c>
      <c r="K157" s="27">
        <f t="shared" si="13"/>
        <v>-5491.8776406171091</v>
      </c>
    </row>
    <row r="158" spans="1:11" x14ac:dyDescent="0.25">
      <c r="A158" s="26">
        <v>108</v>
      </c>
      <c r="B158" s="82">
        <f t="shared" si="14"/>
        <v>0</v>
      </c>
      <c r="C158" s="58">
        <f t="shared" si="18"/>
        <v>171.9194128119324</v>
      </c>
      <c r="D158" s="83">
        <f t="shared" si="15"/>
        <v>733.33333333333326</v>
      </c>
      <c r="E158">
        <f t="shared" si="11"/>
        <v>0</v>
      </c>
      <c r="G158">
        <v>108</v>
      </c>
      <c r="H158" s="13">
        <f t="shared" si="16"/>
        <v>-1.0275684203264746E-2</v>
      </c>
      <c r="I158">
        <f t="shared" si="17"/>
        <v>170.80963891797981</v>
      </c>
      <c r="J158">
        <f t="shared" si="12"/>
        <v>731.05265040741392</v>
      </c>
      <c r="K158" s="27">
        <f t="shared" si="13"/>
        <v>-5491.5540718482889</v>
      </c>
    </row>
    <row r="159" spans="1:11" x14ac:dyDescent="0.25">
      <c r="A159" s="26">
        <v>109</v>
      </c>
      <c r="B159" s="82">
        <f t="shared" si="14"/>
        <v>0</v>
      </c>
      <c r="C159" s="58">
        <f t="shared" si="18"/>
        <v>171.9194128119324</v>
      </c>
      <c r="D159" s="83">
        <f t="shared" si="15"/>
        <v>733.33333333333326</v>
      </c>
      <c r="E159">
        <f t="shared" si="11"/>
        <v>0</v>
      </c>
      <c r="G159">
        <v>109</v>
      </c>
      <c r="H159" s="13">
        <f t="shared" si="16"/>
        <v>-1.0275684203264746E-2</v>
      </c>
      <c r="I159">
        <f t="shared" si="17"/>
        <v>170.79936323377655</v>
      </c>
      <c r="J159">
        <f t="shared" si="12"/>
        <v>731.03110979766655</v>
      </c>
      <c r="K159" s="27">
        <f t="shared" si="13"/>
        <v>-5491.2303921590637</v>
      </c>
    </row>
    <row r="160" spans="1:11" x14ac:dyDescent="0.25">
      <c r="A160" s="26">
        <v>110</v>
      </c>
      <c r="B160" s="82">
        <f t="shared" si="14"/>
        <v>0</v>
      </c>
      <c r="C160" s="58">
        <f t="shared" si="18"/>
        <v>171.9194128119324</v>
      </c>
      <c r="D160" s="83">
        <f t="shared" si="15"/>
        <v>733.33333333333326</v>
      </c>
      <c r="E160">
        <f t="shared" si="11"/>
        <v>0</v>
      </c>
      <c r="G160">
        <v>110</v>
      </c>
      <c r="H160" s="13">
        <f t="shared" si="16"/>
        <v>-1.0275684203264746E-2</v>
      </c>
      <c r="I160">
        <f t="shared" si="17"/>
        <v>170.78908754957328</v>
      </c>
      <c r="J160">
        <f t="shared" si="12"/>
        <v>731.00956116663997</v>
      </c>
      <c r="K160" s="27">
        <f t="shared" si="13"/>
        <v>-5490.9066014504306</v>
      </c>
    </row>
    <row r="161" spans="1:11" x14ac:dyDescent="0.25">
      <c r="A161" s="26">
        <v>111</v>
      </c>
      <c r="B161" s="82">
        <f t="shared" si="14"/>
        <v>0</v>
      </c>
      <c r="C161" s="58">
        <f t="shared" si="18"/>
        <v>171.9194128119324</v>
      </c>
      <c r="D161" s="83">
        <f t="shared" si="15"/>
        <v>733.33333333333326</v>
      </c>
      <c r="E161">
        <f t="shared" si="11"/>
        <v>0</v>
      </c>
      <c r="G161">
        <v>111</v>
      </c>
      <c r="H161" s="13">
        <f t="shared" si="16"/>
        <v>-1.0275684203264746E-2</v>
      </c>
      <c r="I161">
        <f t="shared" si="17"/>
        <v>170.77881186537002</v>
      </c>
      <c r="J161">
        <f t="shared" si="12"/>
        <v>730.98800450702936</v>
      </c>
      <c r="K161" s="27">
        <f t="shared" si="13"/>
        <v>-5490.582699623229</v>
      </c>
    </row>
    <row r="162" spans="1:11" x14ac:dyDescent="0.25">
      <c r="A162" s="26">
        <v>112</v>
      </c>
      <c r="B162" s="82">
        <f t="shared" si="14"/>
        <v>0</v>
      </c>
      <c r="C162" s="58">
        <f t="shared" si="18"/>
        <v>171.9194128119324</v>
      </c>
      <c r="D162" s="83">
        <f t="shared" si="15"/>
        <v>733.33333333333326</v>
      </c>
      <c r="E162">
        <f t="shared" si="11"/>
        <v>0</v>
      </c>
      <c r="G162">
        <v>112</v>
      </c>
      <c r="H162" s="13">
        <f t="shared" si="16"/>
        <v>-1.0275684203264746E-2</v>
      </c>
      <c r="I162">
        <f t="shared" si="17"/>
        <v>170.76853618116675</v>
      </c>
      <c r="J162">
        <f t="shared" si="12"/>
        <v>730.96643981151863</v>
      </c>
      <c r="K162" s="27">
        <f t="shared" si="13"/>
        <v>-5490.2586865781477</v>
      </c>
    </row>
    <row r="163" spans="1:11" x14ac:dyDescent="0.25">
      <c r="A163" s="26">
        <v>113</v>
      </c>
      <c r="B163" s="82">
        <f t="shared" si="14"/>
        <v>0</v>
      </c>
      <c r="C163" s="58">
        <f t="shared" si="18"/>
        <v>171.9194128119324</v>
      </c>
      <c r="D163" s="83">
        <f t="shared" si="15"/>
        <v>733.33333333333326</v>
      </c>
      <c r="E163">
        <f t="shared" si="11"/>
        <v>0</v>
      </c>
      <c r="G163">
        <v>113</v>
      </c>
      <c r="H163" s="13">
        <f t="shared" si="16"/>
        <v>-1.0275684203264746E-2</v>
      </c>
      <c r="I163">
        <f t="shared" si="17"/>
        <v>170.75826049696349</v>
      </c>
      <c r="J163">
        <f t="shared" si="12"/>
        <v>730.94486707277986</v>
      </c>
      <c r="K163" s="27">
        <f t="shared" si="13"/>
        <v>-5489.9345622157089</v>
      </c>
    </row>
    <row r="164" spans="1:11" x14ac:dyDescent="0.25">
      <c r="A164" s="26">
        <v>114</v>
      </c>
      <c r="B164" s="82">
        <f t="shared" si="14"/>
        <v>0</v>
      </c>
      <c r="C164" s="58">
        <f t="shared" si="18"/>
        <v>171.9194128119324</v>
      </c>
      <c r="D164" s="83">
        <f t="shared" si="15"/>
        <v>733.33333333333326</v>
      </c>
      <c r="E164">
        <f t="shared" si="11"/>
        <v>0</v>
      </c>
      <c r="G164">
        <v>114</v>
      </c>
      <c r="H164" s="13">
        <f t="shared" si="16"/>
        <v>-1.0275684203264746E-2</v>
      </c>
      <c r="I164">
        <f t="shared" si="17"/>
        <v>170.74798481276022</v>
      </c>
      <c r="J164">
        <f t="shared" si="12"/>
        <v>730.92328628347343</v>
      </c>
      <c r="K164" s="27">
        <f t="shared" si="13"/>
        <v>-5489.6103264362828</v>
      </c>
    </row>
    <row r="165" spans="1:11" x14ac:dyDescent="0.25">
      <c r="A165" s="26">
        <v>115</v>
      </c>
      <c r="B165" s="82">
        <f t="shared" si="14"/>
        <v>0</v>
      </c>
      <c r="C165" s="58">
        <f t="shared" si="18"/>
        <v>171.9194128119324</v>
      </c>
      <c r="D165" s="83">
        <f t="shared" si="15"/>
        <v>733.33333333333326</v>
      </c>
      <c r="E165">
        <f t="shared" si="11"/>
        <v>0</v>
      </c>
      <c r="G165">
        <v>115</v>
      </c>
      <c r="H165" s="13">
        <f t="shared" si="16"/>
        <v>-1.0275684203264746E-2</v>
      </c>
      <c r="I165">
        <f t="shared" si="17"/>
        <v>170.73770912855696</v>
      </c>
      <c r="J165">
        <f t="shared" si="12"/>
        <v>730.90169743624824</v>
      </c>
      <c r="K165" s="27">
        <f t="shared" si="13"/>
        <v>-5489.2859791400761</v>
      </c>
    </row>
    <row r="166" spans="1:11" x14ac:dyDescent="0.25">
      <c r="A166" s="26">
        <v>116</v>
      </c>
      <c r="B166" s="82">
        <f t="shared" si="14"/>
        <v>0</v>
      </c>
      <c r="C166" s="58">
        <f t="shared" si="18"/>
        <v>171.9194128119324</v>
      </c>
      <c r="D166" s="83">
        <f t="shared" si="15"/>
        <v>733.33333333333326</v>
      </c>
      <c r="E166">
        <f t="shared" si="11"/>
        <v>0</v>
      </c>
      <c r="G166">
        <v>116</v>
      </c>
      <c r="H166" s="13">
        <f t="shared" si="16"/>
        <v>-1.0275684203264746E-2</v>
      </c>
      <c r="I166">
        <f t="shared" si="17"/>
        <v>170.72743344435369</v>
      </c>
      <c r="J166">
        <f t="shared" si="12"/>
        <v>730.88010052374125</v>
      </c>
      <c r="K166" s="27">
        <f t="shared" si="13"/>
        <v>-5488.9615202271425</v>
      </c>
    </row>
    <row r="167" spans="1:11" x14ac:dyDescent="0.25">
      <c r="A167" s="26">
        <v>117</v>
      </c>
      <c r="B167" s="82">
        <f t="shared" si="14"/>
        <v>0</v>
      </c>
      <c r="C167" s="58">
        <f t="shared" si="18"/>
        <v>171.9194128119324</v>
      </c>
      <c r="D167" s="83">
        <f t="shared" si="15"/>
        <v>733.33333333333326</v>
      </c>
      <c r="E167">
        <f t="shared" si="11"/>
        <v>0</v>
      </c>
      <c r="G167">
        <v>117</v>
      </c>
      <c r="H167" s="13">
        <f t="shared" si="16"/>
        <v>-1.0275684203264746E-2</v>
      </c>
      <c r="I167">
        <f t="shared" si="17"/>
        <v>170.71715776015043</v>
      </c>
      <c r="J167">
        <f t="shared" si="12"/>
        <v>730.85849553857804</v>
      </c>
      <c r="K167" s="27">
        <f t="shared" si="13"/>
        <v>-5488.636949597374</v>
      </c>
    </row>
    <row r="168" spans="1:11" x14ac:dyDescent="0.25">
      <c r="A168" s="26">
        <v>118</v>
      </c>
      <c r="B168" s="82">
        <f t="shared" si="14"/>
        <v>0</v>
      </c>
      <c r="C168" s="58">
        <f t="shared" si="18"/>
        <v>171.9194128119324</v>
      </c>
      <c r="D168" s="83">
        <f t="shared" si="15"/>
        <v>733.33333333333326</v>
      </c>
      <c r="E168">
        <f t="shared" si="11"/>
        <v>0</v>
      </c>
      <c r="G168">
        <v>118</v>
      </c>
      <c r="H168" s="13">
        <f t="shared" si="16"/>
        <v>-1.0275684203264746E-2</v>
      </c>
      <c r="I168">
        <f t="shared" si="17"/>
        <v>170.70688207594716</v>
      </c>
      <c r="J168">
        <f t="shared" si="12"/>
        <v>730.83688247337204</v>
      </c>
      <c r="K168" s="27">
        <f t="shared" si="13"/>
        <v>-5488.3122671505007</v>
      </c>
    </row>
    <row r="169" spans="1:11" x14ac:dyDescent="0.25">
      <c r="A169" s="26">
        <v>119</v>
      </c>
      <c r="B169" s="82">
        <f t="shared" si="14"/>
        <v>0</v>
      </c>
      <c r="C169" s="58">
        <f t="shared" si="18"/>
        <v>171.9194128119324</v>
      </c>
      <c r="D169" s="83">
        <f t="shared" si="15"/>
        <v>733.33333333333326</v>
      </c>
      <c r="E169">
        <f t="shared" si="11"/>
        <v>0</v>
      </c>
      <c r="G169">
        <v>119</v>
      </c>
      <c r="H169" s="13">
        <f t="shared" si="16"/>
        <v>-1.0275684203264746E-2</v>
      </c>
      <c r="I169">
        <f t="shared" si="17"/>
        <v>170.6966063917439</v>
      </c>
      <c r="J169">
        <f t="shared" si="12"/>
        <v>730.8152613207252</v>
      </c>
      <c r="K169" s="27">
        <f t="shared" si="13"/>
        <v>-5487.9874727860952</v>
      </c>
    </row>
    <row r="170" spans="1:11" x14ac:dyDescent="0.25">
      <c r="A170" s="26">
        <v>120</v>
      </c>
      <c r="B170" s="82">
        <f t="shared" si="14"/>
        <v>0</v>
      </c>
      <c r="C170" s="58">
        <f t="shared" si="18"/>
        <v>171.9194128119324</v>
      </c>
      <c r="D170" s="83">
        <f t="shared" si="15"/>
        <v>733.33333333333326</v>
      </c>
      <c r="E170">
        <f t="shared" si="11"/>
        <v>0</v>
      </c>
      <c r="G170">
        <v>120</v>
      </c>
      <c r="H170" s="13">
        <f t="shared" si="16"/>
        <v>-1.0275684203264746E-2</v>
      </c>
      <c r="I170">
        <f t="shared" si="17"/>
        <v>170.68633070754063</v>
      </c>
      <c r="J170">
        <f t="shared" si="12"/>
        <v>730.7936320732274</v>
      </c>
      <c r="K170" s="27">
        <f t="shared" si="13"/>
        <v>-5487.6625664035682</v>
      </c>
    </row>
    <row r="171" spans="1:11" x14ac:dyDescent="0.25">
      <c r="A171" s="26">
        <v>121</v>
      </c>
      <c r="B171" s="82">
        <f t="shared" si="14"/>
        <v>0</v>
      </c>
      <c r="C171" s="58">
        <f t="shared" si="18"/>
        <v>171.9194128119324</v>
      </c>
      <c r="D171" s="83">
        <f t="shared" si="15"/>
        <v>733.33333333333326</v>
      </c>
      <c r="E171">
        <f t="shared" si="11"/>
        <v>0</v>
      </c>
      <c r="G171">
        <v>121</v>
      </c>
      <c r="H171" s="13">
        <f t="shared" si="16"/>
        <v>-1.0275684203264746E-2</v>
      </c>
      <c r="I171">
        <f t="shared" si="17"/>
        <v>170.67605502333737</v>
      </c>
      <c r="J171">
        <f t="shared" si="12"/>
        <v>730.77199472345694</v>
      </c>
      <c r="K171" s="27">
        <f t="shared" si="13"/>
        <v>-5487.3375479021706</v>
      </c>
    </row>
    <row r="172" spans="1:11" x14ac:dyDescent="0.25">
      <c r="A172" s="26">
        <v>122</v>
      </c>
      <c r="B172" s="82">
        <f t="shared" si="14"/>
        <v>0</v>
      </c>
      <c r="C172" s="58">
        <f t="shared" si="18"/>
        <v>171.9194128119324</v>
      </c>
      <c r="D172" s="83">
        <f t="shared" si="15"/>
        <v>733.33333333333326</v>
      </c>
      <c r="E172">
        <f t="shared" si="11"/>
        <v>0</v>
      </c>
      <c r="G172">
        <v>122</v>
      </c>
      <c r="H172" s="13">
        <f t="shared" si="16"/>
        <v>-1.0275684203264746E-2</v>
      </c>
      <c r="I172">
        <f t="shared" si="17"/>
        <v>170.6657793391341</v>
      </c>
      <c r="J172">
        <f t="shared" si="12"/>
        <v>730.75034926398018</v>
      </c>
      <c r="K172" s="27">
        <f t="shared" si="13"/>
        <v>-5487.0124171809948</v>
      </c>
    </row>
    <row r="173" spans="1:11" x14ac:dyDescent="0.25">
      <c r="A173" s="26">
        <v>123</v>
      </c>
      <c r="B173" s="82">
        <f t="shared" si="14"/>
        <v>0</v>
      </c>
      <c r="C173" s="58">
        <f t="shared" si="18"/>
        <v>171.9194128119324</v>
      </c>
      <c r="D173" s="83">
        <f t="shared" si="15"/>
        <v>733.33333333333326</v>
      </c>
      <c r="E173">
        <f t="shared" si="11"/>
        <v>0</v>
      </c>
      <c r="G173">
        <v>123</v>
      </c>
      <c r="H173" s="13">
        <f t="shared" si="16"/>
        <v>-1.0275684203264746E-2</v>
      </c>
      <c r="I173">
        <f t="shared" si="17"/>
        <v>170.65550365493084</v>
      </c>
      <c r="J173">
        <f t="shared" si="12"/>
        <v>730.72869568735143</v>
      </c>
      <c r="K173" s="27">
        <f t="shared" si="13"/>
        <v>-5486.6871741389632</v>
      </c>
    </row>
    <row r="174" spans="1:11" x14ac:dyDescent="0.25">
      <c r="A174" s="26">
        <v>124</v>
      </c>
      <c r="B174" s="82">
        <f t="shared" si="14"/>
        <v>0</v>
      </c>
      <c r="C174" s="58">
        <f t="shared" si="18"/>
        <v>171.9194128119324</v>
      </c>
      <c r="D174" s="83">
        <f t="shared" si="15"/>
        <v>733.33333333333326</v>
      </c>
      <c r="E174">
        <f t="shared" si="11"/>
        <v>0</v>
      </c>
      <c r="G174">
        <v>124</v>
      </c>
      <c r="H174" s="13">
        <f t="shared" si="16"/>
        <v>-1.0275684203264746E-2</v>
      </c>
      <c r="I174">
        <f t="shared" si="17"/>
        <v>170.64522797072757</v>
      </c>
      <c r="J174">
        <f t="shared" si="12"/>
        <v>730.70703398611329</v>
      </c>
      <c r="K174" s="27">
        <f t="shared" si="13"/>
        <v>-5486.361818674849</v>
      </c>
    </row>
    <row r="175" spans="1:11" x14ac:dyDescent="0.25">
      <c r="A175" s="26">
        <v>125</v>
      </c>
      <c r="B175" s="82">
        <f t="shared" si="14"/>
        <v>0</v>
      </c>
      <c r="C175" s="58">
        <f t="shared" si="18"/>
        <v>171.9194128119324</v>
      </c>
      <c r="D175" s="83">
        <f t="shared" si="15"/>
        <v>733.33333333333326</v>
      </c>
      <c r="E175">
        <f t="shared" si="11"/>
        <v>0</v>
      </c>
      <c r="G175">
        <v>125</v>
      </c>
      <c r="H175" s="13">
        <f t="shared" si="16"/>
        <v>-1.0275684203264746E-2</v>
      </c>
      <c r="I175">
        <f t="shared" si="17"/>
        <v>170.63495228652431</v>
      </c>
      <c r="J175">
        <f t="shared" si="12"/>
        <v>730.6853641527963</v>
      </c>
      <c r="K175" s="27">
        <f t="shared" si="13"/>
        <v>-5486.0363506872518</v>
      </c>
    </row>
    <row r="176" spans="1:11" x14ac:dyDescent="0.25">
      <c r="A176" s="26">
        <v>126</v>
      </c>
      <c r="B176" s="82">
        <f t="shared" si="14"/>
        <v>0</v>
      </c>
      <c r="C176" s="58">
        <f t="shared" si="18"/>
        <v>171.9194128119324</v>
      </c>
      <c r="D176" s="83">
        <f t="shared" si="15"/>
        <v>733.33333333333326</v>
      </c>
      <c r="E176">
        <f t="shared" si="11"/>
        <v>0</v>
      </c>
      <c r="G176">
        <v>126</v>
      </c>
      <c r="H176" s="13">
        <f t="shared" si="16"/>
        <v>-1.0275684203264746E-2</v>
      </c>
      <c r="I176">
        <f t="shared" si="17"/>
        <v>170.62467660232105</v>
      </c>
      <c r="J176">
        <f t="shared" si="12"/>
        <v>730.66368617991907</v>
      </c>
      <c r="K176" s="27">
        <f t="shared" si="13"/>
        <v>-5485.7107700746155</v>
      </c>
    </row>
    <row r="177" spans="1:11" x14ac:dyDescent="0.25">
      <c r="A177" s="26">
        <v>127</v>
      </c>
      <c r="B177" s="82">
        <f t="shared" si="14"/>
        <v>0</v>
      </c>
      <c r="C177" s="58">
        <f t="shared" si="18"/>
        <v>171.9194128119324</v>
      </c>
      <c r="D177" s="83">
        <f t="shared" si="15"/>
        <v>733.33333333333326</v>
      </c>
      <c r="E177">
        <f t="shared" si="11"/>
        <v>0</v>
      </c>
      <c r="G177">
        <v>127</v>
      </c>
      <c r="H177" s="13">
        <f t="shared" si="16"/>
        <v>-1.0275684203264746E-2</v>
      </c>
      <c r="I177">
        <f t="shared" si="17"/>
        <v>170.61440091811778</v>
      </c>
      <c r="J177">
        <f t="shared" si="12"/>
        <v>730.64200005998828</v>
      </c>
      <c r="K177" s="27">
        <f t="shared" si="13"/>
        <v>-5485.3850767352187</v>
      </c>
    </row>
    <row r="178" spans="1:11" x14ac:dyDescent="0.25">
      <c r="A178" s="26">
        <v>128</v>
      </c>
      <c r="B178" s="82">
        <f t="shared" si="14"/>
        <v>0</v>
      </c>
      <c r="C178" s="58">
        <f t="shared" si="18"/>
        <v>171.9194128119324</v>
      </c>
      <c r="D178" s="83">
        <f t="shared" si="15"/>
        <v>733.33333333333326</v>
      </c>
      <c r="E178">
        <f t="shared" si="11"/>
        <v>0</v>
      </c>
      <c r="G178">
        <v>128</v>
      </c>
      <c r="H178" s="13">
        <f t="shared" si="16"/>
        <v>-1.0275684203264746E-2</v>
      </c>
      <c r="I178">
        <f t="shared" si="17"/>
        <v>170.60412523391452</v>
      </c>
      <c r="J178">
        <f t="shared" si="12"/>
        <v>730.62030578549843</v>
      </c>
      <c r="K178" s="27">
        <f t="shared" si="13"/>
        <v>-5485.0592705671761</v>
      </c>
    </row>
    <row r="179" spans="1:11" x14ac:dyDescent="0.25">
      <c r="A179" s="26">
        <v>129</v>
      </c>
      <c r="B179" s="82">
        <f t="shared" si="14"/>
        <v>0</v>
      </c>
      <c r="C179" s="58">
        <f t="shared" si="18"/>
        <v>171.9194128119324</v>
      </c>
      <c r="D179" s="83">
        <f t="shared" si="15"/>
        <v>733.33333333333326</v>
      </c>
      <c r="E179">
        <f t="shared" ref="E179:E242" si="19">((D179^2)+(D179*D180)+(D180^2))*B180/3</f>
        <v>0</v>
      </c>
      <c r="G179">
        <v>129</v>
      </c>
      <c r="H179" s="13">
        <f t="shared" si="16"/>
        <v>-1.0275684203264746E-2</v>
      </c>
      <c r="I179">
        <f t="shared" si="17"/>
        <v>170.59384954971125</v>
      </c>
      <c r="J179">
        <f t="shared" ref="J179:J242" si="20">IF($G$28&lt;$C$14,0,((($C$11^2)-((I179-$C$13)^2))^0.5)+$C$16)</f>
        <v>730.59860334893222</v>
      </c>
      <c r="K179" s="27">
        <f t="shared" ref="K179:K242" si="21">((J179^2)+(J179*J180)+(J180^2))*H180/3</f>
        <v>-5484.7333514684424</v>
      </c>
    </row>
    <row r="180" spans="1:11" x14ac:dyDescent="0.25">
      <c r="A180" s="26">
        <v>130</v>
      </c>
      <c r="B180" s="82">
        <f t="shared" ref="B180:B243" si="22">C180-C179</f>
        <v>0</v>
      </c>
      <c r="C180" s="58">
        <f t="shared" si="18"/>
        <v>171.9194128119324</v>
      </c>
      <c r="D180" s="83">
        <f t="shared" ref="D180:D243" si="23">IF($G$28&lt;$C$14,0,((($C$11^2)-((C180-$C$13)^2))^0.5)+$C$16)</f>
        <v>733.33333333333326</v>
      </c>
      <c r="E180">
        <f t="shared" si="19"/>
        <v>0</v>
      </c>
      <c r="G180">
        <v>130</v>
      </c>
      <c r="H180" s="13">
        <f t="shared" ref="H180:H243" si="24">I180-I179</f>
        <v>-1.0275684203264746E-2</v>
      </c>
      <c r="I180">
        <f t="shared" ref="I180:I243" si="25">($G$27-$C$14)/2000+I179</f>
        <v>170.58357386550799</v>
      </c>
      <c r="J180">
        <f t="shared" si="20"/>
        <v>730.57689274275992</v>
      </c>
      <c r="K180" s="27">
        <f t="shared" si="21"/>
        <v>-5484.4073193368022</v>
      </c>
    </row>
    <row r="181" spans="1:11" x14ac:dyDescent="0.25">
      <c r="A181" s="26">
        <v>131</v>
      </c>
      <c r="B181" s="82">
        <f t="shared" si="22"/>
        <v>0</v>
      </c>
      <c r="C181" s="58">
        <f t="shared" si="18"/>
        <v>171.9194128119324</v>
      </c>
      <c r="D181" s="83">
        <f t="shared" si="23"/>
        <v>733.33333333333326</v>
      </c>
      <c r="E181">
        <f t="shared" si="19"/>
        <v>0</v>
      </c>
      <c r="G181">
        <v>131</v>
      </c>
      <c r="H181" s="13">
        <f t="shared" si="24"/>
        <v>-1.0275684203264746E-2</v>
      </c>
      <c r="I181">
        <f t="shared" si="25"/>
        <v>170.57329818130472</v>
      </c>
      <c r="J181">
        <f t="shared" si="20"/>
        <v>730.55517395944014</v>
      </c>
      <c r="K181" s="27">
        <f t="shared" si="21"/>
        <v>-5484.0811740698819</v>
      </c>
    </row>
    <row r="182" spans="1:11" x14ac:dyDescent="0.25">
      <c r="A182" s="26">
        <v>132</v>
      </c>
      <c r="B182" s="82">
        <f t="shared" si="22"/>
        <v>0</v>
      </c>
      <c r="C182" s="58">
        <f t="shared" si="18"/>
        <v>171.9194128119324</v>
      </c>
      <c r="D182" s="83">
        <f t="shared" si="23"/>
        <v>733.33333333333326</v>
      </c>
      <c r="E182">
        <f t="shared" si="19"/>
        <v>0</v>
      </c>
      <c r="G182">
        <v>132</v>
      </c>
      <c r="H182" s="13">
        <f t="shared" si="24"/>
        <v>-1.0275684203264746E-2</v>
      </c>
      <c r="I182">
        <f t="shared" si="25"/>
        <v>170.56302249710146</v>
      </c>
      <c r="J182">
        <f t="shared" si="20"/>
        <v>730.53344699141883</v>
      </c>
      <c r="K182" s="27">
        <f t="shared" si="21"/>
        <v>-5483.7549155651395</v>
      </c>
    </row>
    <row r="183" spans="1:11" x14ac:dyDescent="0.25">
      <c r="A183" s="26">
        <v>133</v>
      </c>
      <c r="B183" s="82">
        <f t="shared" si="22"/>
        <v>0</v>
      </c>
      <c r="C183" s="58">
        <f t="shared" si="18"/>
        <v>171.9194128119324</v>
      </c>
      <c r="D183" s="83">
        <f t="shared" si="23"/>
        <v>733.33333333333326</v>
      </c>
      <c r="E183">
        <f t="shared" si="19"/>
        <v>0</v>
      </c>
      <c r="G183">
        <v>133</v>
      </c>
      <c r="H183" s="13">
        <f t="shared" si="24"/>
        <v>-1.0275684203264746E-2</v>
      </c>
      <c r="I183">
        <f t="shared" si="25"/>
        <v>170.55274681289819</v>
      </c>
      <c r="J183">
        <f t="shared" si="20"/>
        <v>730.51171183113024</v>
      </c>
      <c r="K183" s="27">
        <f t="shared" si="21"/>
        <v>-5483.4285437198696</v>
      </c>
    </row>
    <row r="184" spans="1:11" x14ac:dyDescent="0.25">
      <c r="A184" s="26">
        <v>134</v>
      </c>
      <c r="B184" s="82">
        <f t="shared" si="22"/>
        <v>0</v>
      </c>
      <c r="C184" s="58">
        <f t="shared" si="18"/>
        <v>171.9194128119324</v>
      </c>
      <c r="D184" s="83">
        <f t="shared" si="23"/>
        <v>733.33333333333326</v>
      </c>
      <c r="E184">
        <f t="shared" si="19"/>
        <v>0</v>
      </c>
      <c r="G184">
        <v>134</v>
      </c>
      <c r="H184" s="13">
        <f t="shared" si="24"/>
        <v>-1.0275684203264746E-2</v>
      </c>
      <c r="I184">
        <f t="shared" si="25"/>
        <v>170.54247112869493</v>
      </c>
      <c r="J184">
        <f t="shared" si="20"/>
        <v>730.48996847099625</v>
      </c>
      <c r="K184" s="27">
        <f t="shared" si="21"/>
        <v>-5483.1020584312</v>
      </c>
    </row>
    <row r="185" spans="1:11" x14ac:dyDescent="0.25">
      <c r="A185" s="26">
        <v>135</v>
      </c>
      <c r="B185" s="82">
        <f t="shared" si="22"/>
        <v>0</v>
      </c>
      <c r="C185" s="58">
        <f t="shared" si="18"/>
        <v>171.9194128119324</v>
      </c>
      <c r="D185" s="83">
        <f t="shared" si="23"/>
        <v>733.33333333333326</v>
      </c>
      <c r="E185">
        <f t="shared" si="19"/>
        <v>0</v>
      </c>
      <c r="G185">
        <v>135</v>
      </c>
      <c r="H185" s="13">
        <f t="shared" si="24"/>
        <v>-1.0275684203264746E-2</v>
      </c>
      <c r="I185">
        <f t="shared" si="25"/>
        <v>170.53219544449166</v>
      </c>
      <c r="J185">
        <f t="shared" si="20"/>
        <v>730.46821690342654</v>
      </c>
      <c r="K185" s="27">
        <f t="shared" si="21"/>
        <v>-5482.7754595960942</v>
      </c>
    </row>
    <row r="186" spans="1:11" x14ac:dyDescent="0.25">
      <c r="A186" s="26">
        <v>136</v>
      </c>
      <c r="B186" s="82">
        <f t="shared" si="22"/>
        <v>0</v>
      </c>
      <c r="C186" s="58">
        <f t="shared" si="18"/>
        <v>171.9194128119324</v>
      </c>
      <c r="D186" s="83">
        <f t="shared" si="23"/>
        <v>733.33333333333326</v>
      </c>
      <c r="E186">
        <f t="shared" si="19"/>
        <v>0</v>
      </c>
      <c r="G186">
        <v>136</v>
      </c>
      <c r="H186" s="13">
        <f t="shared" si="24"/>
        <v>-1.0275684203264746E-2</v>
      </c>
      <c r="I186">
        <f t="shared" si="25"/>
        <v>170.5219197602884</v>
      </c>
      <c r="J186">
        <f t="shared" si="20"/>
        <v>730.44645712081854</v>
      </c>
      <c r="K186" s="27">
        <f t="shared" si="21"/>
        <v>-5482.4487471113462</v>
      </c>
    </row>
    <row r="187" spans="1:11" x14ac:dyDescent="0.25">
      <c r="A187" s="26">
        <v>137</v>
      </c>
      <c r="B187" s="82">
        <f t="shared" si="22"/>
        <v>0</v>
      </c>
      <c r="C187" s="58">
        <f t="shared" si="18"/>
        <v>171.9194128119324</v>
      </c>
      <c r="D187" s="83">
        <f t="shared" si="23"/>
        <v>733.33333333333326</v>
      </c>
      <c r="E187">
        <f t="shared" si="19"/>
        <v>0</v>
      </c>
      <c r="G187">
        <v>137</v>
      </c>
      <c r="H187" s="13">
        <f t="shared" si="24"/>
        <v>-1.0275684203264746E-2</v>
      </c>
      <c r="I187">
        <f t="shared" si="25"/>
        <v>170.51164407608513</v>
      </c>
      <c r="J187">
        <f t="shared" si="20"/>
        <v>730.42468911555738</v>
      </c>
      <c r="K187" s="27">
        <f t="shared" si="21"/>
        <v>-5482.1219208735884</v>
      </c>
    </row>
    <row r="188" spans="1:11" x14ac:dyDescent="0.25">
      <c r="A188" s="26">
        <v>138</v>
      </c>
      <c r="B188" s="82">
        <f t="shared" si="22"/>
        <v>0</v>
      </c>
      <c r="C188" s="58">
        <f t="shared" si="18"/>
        <v>171.9194128119324</v>
      </c>
      <c r="D188" s="83">
        <f t="shared" si="23"/>
        <v>733.33333333333326</v>
      </c>
      <c r="E188">
        <f t="shared" si="19"/>
        <v>0</v>
      </c>
      <c r="G188">
        <v>138</v>
      </c>
      <c r="H188" s="13">
        <f t="shared" si="24"/>
        <v>-1.0275684203264746E-2</v>
      </c>
      <c r="I188">
        <f t="shared" si="25"/>
        <v>170.50136839188187</v>
      </c>
      <c r="J188">
        <f t="shared" si="20"/>
        <v>730.40291288001595</v>
      </c>
      <c r="K188" s="27">
        <f t="shared" si="21"/>
        <v>-5481.794980779282</v>
      </c>
    </row>
    <row r="189" spans="1:11" x14ac:dyDescent="0.25">
      <c r="A189" s="26">
        <v>139</v>
      </c>
      <c r="B189" s="82">
        <f t="shared" si="22"/>
        <v>0</v>
      </c>
      <c r="C189" s="58">
        <f t="shared" si="18"/>
        <v>171.9194128119324</v>
      </c>
      <c r="D189" s="83">
        <f t="shared" si="23"/>
        <v>733.33333333333326</v>
      </c>
      <c r="E189">
        <f t="shared" si="19"/>
        <v>0</v>
      </c>
      <c r="G189">
        <v>139</v>
      </c>
      <c r="H189" s="13">
        <f t="shared" si="24"/>
        <v>-1.0275684203264746E-2</v>
      </c>
      <c r="I189">
        <f t="shared" si="25"/>
        <v>170.4910927076786</v>
      </c>
      <c r="J189">
        <f t="shared" si="20"/>
        <v>730.38112840655481</v>
      </c>
      <c r="K189" s="27">
        <f t="shared" si="21"/>
        <v>-5481.4679267247202</v>
      </c>
    </row>
    <row r="190" spans="1:11" x14ac:dyDescent="0.25">
      <c r="A190" s="26">
        <v>140</v>
      </c>
      <c r="B190" s="82">
        <f t="shared" si="22"/>
        <v>0</v>
      </c>
      <c r="C190" s="58">
        <f t="shared" si="18"/>
        <v>171.9194128119324</v>
      </c>
      <c r="D190" s="83">
        <f t="shared" si="23"/>
        <v>733.33333333333326</v>
      </c>
      <c r="E190">
        <f t="shared" si="19"/>
        <v>0</v>
      </c>
      <c r="G190">
        <v>140</v>
      </c>
      <c r="H190" s="13">
        <f t="shared" si="24"/>
        <v>-1.0275684203264746E-2</v>
      </c>
      <c r="I190">
        <f t="shared" si="25"/>
        <v>170.48081702347534</v>
      </c>
      <c r="J190">
        <f t="shared" si="20"/>
        <v>730.35933568752205</v>
      </c>
      <c r="K190" s="27">
        <f t="shared" si="21"/>
        <v>-5481.1407586060368</v>
      </c>
    </row>
    <row r="191" spans="1:11" x14ac:dyDescent="0.25">
      <c r="A191" s="26">
        <v>141</v>
      </c>
      <c r="B191" s="82">
        <f t="shared" si="22"/>
        <v>0</v>
      </c>
      <c r="C191" s="58">
        <f t="shared" si="18"/>
        <v>171.9194128119324</v>
      </c>
      <c r="D191" s="83">
        <f t="shared" si="23"/>
        <v>733.33333333333326</v>
      </c>
      <c r="E191">
        <f t="shared" si="19"/>
        <v>0</v>
      </c>
      <c r="G191">
        <v>141</v>
      </c>
      <c r="H191" s="13">
        <f t="shared" si="24"/>
        <v>-1.0275684203264746E-2</v>
      </c>
      <c r="I191">
        <f t="shared" si="25"/>
        <v>170.47054133927207</v>
      </c>
      <c r="J191">
        <f t="shared" si="20"/>
        <v>730.33753471525358</v>
      </c>
      <c r="K191" s="27">
        <f t="shared" si="21"/>
        <v>-5480.8134763191847</v>
      </c>
    </row>
    <row r="192" spans="1:11" x14ac:dyDescent="0.25">
      <c r="A192" s="26">
        <v>142</v>
      </c>
      <c r="B192" s="82">
        <f t="shared" si="22"/>
        <v>0</v>
      </c>
      <c r="C192" s="58">
        <f t="shared" si="18"/>
        <v>171.9194128119324</v>
      </c>
      <c r="D192" s="83">
        <f t="shared" si="23"/>
        <v>733.33333333333326</v>
      </c>
      <c r="E192">
        <f t="shared" si="19"/>
        <v>0</v>
      </c>
      <c r="G192">
        <v>142</v>
      </c>
      <c r="H192" s="13">
        <f t="shared" si="24"/>
        <v>-1.0275684203264746E-2</v>
      </c>
      <c r="I192">
        <f t="shared" si="25"/>
        <v>170.46026565506881</v>
      </c>
      <c r="J192">
        <f t="shared" si="20"/>
        <v>730.31572548207282</v>
      </c>
      <c r="K192" s="27">
        <f t="shared" si="21"/>
        <v>-5480.4860797599586</v>
      </c>
    </row>
    <row r="193" spans="1:11" x14ac:dyDescent="0.25">
      <c r="A193" s="26">
        <v>143</v>
      </c>
      <c r="B193" s="82">
        <f t="shared" si="22"/>
        <v>0</v>
      </c>
      <c r="C193" s="58">
        <f t="shared" si="18"/>
        <v>171.9194128119324</v>
      </c>
      <c r="D193" s="83">
        <f t="shared" si="23"/>
        <v>733.33333333333326</v>
      </c>
      <c r="E193">
        <f t="shared" si="19"/>
        <v>0</v>
      </c>
      <c r="G193">
        <v>143</v>
      </c>
      <c r="H193" s="13">
        <f t="shared" si="24"/>
        <v>-1.0275684203264746E-2</v>
      </c>
      <c r="I193">
        <f t="shared" si="25"/>
        <v>170.44998997086554</v>
      </c>
      <c r="J193">
        <f t="shared" si="20"/>
        <v>730.29390798029067</v>
      </c>
      <c r="K193" s="27">
        <f t="shared" si="21"/>
        <v>-5480.1585688239802</v>
      </c>
    </row>
    <row r="194" spans="1:11" x14ac:dyDescent="0.25">
      <c r="A194" s="26">
        <v>144</v>
      </c>
      <c r="B194" s="82">
        <f t="shared" si="22"/>
        <v>0</v>
      </c>
      <c r="C194" s="58">
        <f t="shared" si="18"/>
        <v>171.9194128119324</v>
      </c>
      <c r="D194" s="83">
        <f t="shared" si="23"/>
        <v>733.33333333333326</v>
      </c>
      <c r="E194">
        <f t="shared" si="19"/>
        <v>0</v>
      </c>
      <c r="G194">
        <v>144</v>
      </c>
      <c r="H194" s="13">
        <f t="shared" si="24"/>
        <v>-1.0275684203264746E-2</v>
      </c>
      <c r="I194">
        <f t="shared" si="25"/>
        <v>170.43971428666228</v>
      </c>
      <c r="J194">
        <f t="shared" si="20"/>
        <v>730.27208220220575</v>
      </c>
      <c r="K194" s="27">
        <f t="shared" si="21"/>
        <v>-5479.8309434067041</v>
      </c>
    </row>
    <row r="195" spans="1:11" x14ac:dyDescent="0.25">
      <c r="A195" s="26">
        <v>145</v>
      </c>
      <c r="B195" s="82">
        <f t="shared" si="22"/>
        <v>0</v>
      </c>
      <c r="C195" s="58">
        <f t="shared" si="18"/>
        <v>171.9194128119324</v>
      </c>
      <c r="D195" s="83">
        <f t="shared" si="23"/>
        <v>733.33333333333326</v>
      </c>
      <c r="E195">
        <f t="shared" si="19"/>
        <v>0</v>
      </c>
      <c r="G195">
        <v>145</v>
      </c>
      <c r="H195" s="13">
        <f t="shared" si="24"/>
        <v>-1.0275684203264746E-2</v>
      </c>
      <c r="I195">
        <f t="shared" si="25"/>
        <v>170.42943860245902</v>
      </c>
      <c r="J195">
        <f t="shared" si="20"/>
        <v>730.25024814010385</v>
      </c>
      <c r="K195" s="27">
        <f t="shared" si="21"/>
        <v>-5479.5032034034093</v>
      </c>
    </row>
    <row r="196" spans="1:11" x14ac:dyDescent="0.25">
      <c r="A196" s="26">
        <v>146</v>
      </c>
      <c r="B196" s="82">
        <f t="shared" si="22"/>
        <v>0</v>
      </c>
      <c r="C196" s="58">
        <f t="shared" si="18"/>
        <v>171.9194128119324</v>
      </c>
      <c r="D196" s="83">
        <f t="shared" si="23"/>
        <v>733.33333333333326</v>
      </c>
      <c r="E196">
        <f t="shared" si="19"/>
        <v>0</v>
      </c>
      <c r="G196">
        <v>146</v>
      </c>
      <c r="H196" s="13">
        <f t="shared" si="24"/>
        <v>-1.0275684203264746E-2</v>
      </c>
      <c r="I196">
        <f t="shared" si="25"/>
        <v>170.41916291825575</v>
      </c>
      <c r="J196">
        <f t="shared" si="20"/>
        <v>730.22840578625858</v>
      </c>
      <c r="K196" s="27">
        <f t="shared" si="21"/>
        <v>-5479.175348709211</v>
      </c>
    </row>
    <row r="197" spans="1:11" x14ac:dyDescent="0.25">
      <c r="A197" s="26">
        <v>147</v>
      </c>
      <c r="B197" s="82">
        <f t="shared" si="22"/>
        <v>0</v>
      </c>
      <c r="C197" s="58">
        <f t="shared" si="18"/>
        <v>171.9194128119324</v>
      </c>
      <c r="D197" s="83">
        <f t="shared" si="23"/>
        <v>733.33333333333326</v>
      </c>
      <c r="E197">
        <f t="shared" si="19"/>
        <v>0</v>
      </c>
      <c r="G197">
        <v>147</v>
      </c>
      <c r="H197" s="13">
        <f t="shared" si="24"/>
        <v>-1.0275684203264746E-2</v>
      </c>
      <c r="I197">
        <f t="shared" si="25"/>
        <v>170.40888723405249</v>
      </c>
      <c r="J197">
        <f t="shared" si="20"/>
        <v>730.20655513293093</v>
      </c>
      <c r="K197" s="27">
        <f t="shared" si="21"/>
        <v>-5478.8473792190525</v>
      </c>
    </row>
    <row r="198" spans="1:11" x14ac:dyDescent="0.25">
      <c r="A198" s="26">
        <v>148</v>
      </c>
      <c r="B198" s="82">
        <f t="shared" si="22"/>
        <v>0</v>
      </c>
      <c r="C198" s="58">
        <f t="shared" si="18"/>
        <v>171.9194128119324</v>
      </c>
      <c r="D198" s="83">
        <f t="shared" si="23"/>
        <v>733.33333333333326</v>
      </c>
      <c r="E198">
        <f t="shared" si="19"/>
        <v>0</v>
      </c>
      <c r="G198">
        <v>148</v>
      </c>
      <c r="H198" s="13">
        <f t="shared" si="24"/>
        <v>-1.0275684203264746E-2</v>
      </c>
      <c r="I198">
        <f t="shared" si="25"/>
        <v>170.39861154984922</v>
      </c>
      <c r="J198">
        <f t="shared" si="20"/>
        <v>730.18469617236906</v>
      </c>
      <c r="K198" s="27">
        <f t="shared" si="21"/>
        <v>-5478.5192948277036</v>
      </c>
    </row>
    <row r="199" spans="1:11" x14ac:dyDescent="0.25">
      <c r="A199" s="26">
        <v>149</v>
      </c>
      <c r="B199" s="82">
        <f t="shared" si="22"/>
        <v>0</v>
      </c>
      <c r="C199" s="58">
        <f t="shared" si="18"/>
        <v>171.9194128119324</v>
      </c>
      <c r="D199" s="83">
        <f t="shared" si="23"/>
        <v>733.33333333333326</v>
      </c>
      <c r="E199">
        <f t="shared" si="19"/>
        <v>0</v>
      </c>
      <c r="G199">
        <v>149</v>
      </c>
      <c r="H199" s="13">
        <f t="shared" si="24"/>
        <v>-1.0275684203264746E-2</v>
      </c>
      <c r="I199">
        <f t="shared" si="25"/>
        <v>170.38833586564596</v>
      </c>
      <c r="J199">
        <f t="shared" si="20"/>
        <v>730.16282889680883</v>
      </c>
      <c r="K199" s="27">
        <f t="shared" si="21"/>
        <v>-5478.1910954297664</v>
      </c>
    </row>
    <row r="200" spans="1:11" x14ac:dyDescent="0.25">
      <c r="A200" s="26">
        <v>150</v>
      </c>
      <c r="B200" s="82">
        <f t="shared" si="22"/>
        <v>0</v>
      </c>
      <c r="C200" s="58">
        <f t="shared" si="18"/>
        <v>171.9194128119324</v>
      </c>
      <c r="D200" s="83">
        <f t="shared" si="23"/>
        <v>733.33333333333326</v>
      </c>
      <c r="E200">
        <f t="shared" si="19"/>
        <v>0</v>
      </c>
      <c r="G200">
        <v>150</v>
      </c>
      <c r="H200" s="13">
        <f t="shared" si="24"/>
        <v>-1.0275684203264746E-2</v>
      </c>
      <c r="I200">
        <f t="shared" si="25"/>
        <v>170.37806018144269</v>
      </c>
      <c r="J200">
        <f t="shared" si="20"/>
        <v>730.14095329847339</v>
      </c>
      <c r="K200" s="27">
        <f t="shared" si="21"/>
        <v>-5477.8627809196696</v>
      </c>
    </row>
    <row r="201" spans="1:11" x14ac:dyDescent="0.25">
      <c r="A201" s="26">
        <v>151</v>
      </c>
      <c r="B201" s="82">
        <f t="shared" si="22"/>
        <v>0</v>
      </c>
      <c r="C201" s="58">
        <f t="shared" si="18"/>
        <v>171.9194128119324</v>
      </c>
      <c r="D201" s="83">
        <f t="shared" si="23"/>
        <v>733.33333333333326</v>
      </c>
      <c r="E201">
        <f t="shared" si="19"/>
        <v>0</v>
      </c>
      <c r="G201">
        <v>151</v>
      </c>
      <c r="H201" s="13">
        <f t="shared" si="24"/>
        <v>-1.0275684203264746E-2</v>
      </c>
      <c r="I201">
        <f t="shared" si="25"/>
        <v>170.36778449723943</v>
      </c>
      <c r="J201">
        <f t="shared" si="20"/>
        <v>730.11906936957303</v>
      </c>
      <c r="K201" s="27">
        <f t="shared" si="21"/>
        <v>-5477.5343511916699</v>
      </c>
    </row>
    <row r="202" spans="1:11" x14ac:dyDescent="0.25">
      <c r="A202" s="26">
        <v>152</v>
      </c>
      <c r="B202" s="82">
        <f t="shared" si="22"/>
        <v>0</v>
      </c>
      <c r="C202" s="58">
        <f t="shared" si="18"/>
        <v>171.9194128119324</v>
      </c>
      <c r="D202" s="83">
        <f t="shared" si="23"/>
        <v>733.33333333333326</v>
      </c>
      <c r="E202">
        <f t="shared" si="19"/>
        <v>0</v>
      </c>
      <c r="G202">
        <v>152</v>
      </c>
      <c r="H202" s="13">
        <f t="shared" si="24"/>
        <v>-1.0275684203264746E-2</v>
      </c>
      <c r="I202">
        <f t="shared" si="25"/>
        <v>170.35750881303616</v>
      </c>
      <c r="J202">
        <f t="shared" si="20"/>
        <v>730.09717710230564</v>
      </c>
      <c r="K202" s="27">
        <f t="shared" si="21"/>
        <v>-5477.2058061398538</v>
      </c>
    </row>
    <row r="203" spans="1:11" x14ac:dyDescent="0.25">
      <c r="A203" s="26">
        <v>153</v>
      </c>
      <c r="B203" s="82">
        <f t="shared" si="22"/>
        <v>0</v>
      </c>
      <c r="C203" s="58">
        <f t="shared" si="18"/>
        <v>171.9194128119324</v>
      </c>
      <c r="D203" s="83">
        <f t="shared" si="23"/>
        <v>733.33333333333326</v>
      </c>
      <c r="E203">
        <f t="shared" si="19"/>
        <v>0</v>
      </c>
      <c r="G203">
        <v>153</v>
      </c>
      <c r="H203" s="13">
        <f t="shared" si="24"/>
        <v>-1.0275684203264746E-2</v>
      </c>
      <c r="I203">
        <f t="shared" si="25"/>
        <v>170.3472331288329</v>
      </c>
      <c r="J203">
        <f t="shared" si="20"/>
        <v>730.07527648885616</v>
      </c>
      <c r="K203" s="27">
        <f t="shared" si="21"/>
        <v>-5476.8771456581308</v>
      </c>
    </row>
    <row r="204" spans="1:11" x14ac:dyDescent="0.25">
      <c r="A204" s="26">
        <v>154</v>
      </c>
      <c r="B204" s="82">
        <f t="shared" si="22"/>
        <v>0</v>
      </c>
      <c r="C204" s="58">
        <f t="shared" si="18"/>
        <v>171.9194128119324</v>
      </c>
      <c r="D204" s="83">
        <f t="shared" si="23"/>
        <v>733.33333333333326</v>
      </c>
      <c r="E204">
        <f t="shared" si="19"/>
        <v>0</v>
      </c>
      <c r="G204">
        <v>154</v>
      </c>
      <c r="H204" s="13">
        <f t="shared" si="24"/>
        <v>-1.0275684203264746E-2</v>
      </c>
      <c r="I204">
        <f t="shared" si="25"/>
        <v>170.33695744462963</v>
      </c>
      <c r="J204">
        <f t="shared" si="20"/>
        <v>730.05336752139681</v>
      </c>
      <c r="K204" s="27">
        <f t="shared" si="21"/>
        <v>-5476.5483696402398</v>
      </c>
    </row>
    <row r="205" spans="1:11" x14ac:dyDescent="0.25">
      <c r="A205" s="26">
        <v>155</v>
      </c>
      <c r="B205" s="82">
        <f t="shared" si="22"/>
        <v>0</v>
      </c>
      <c r="C205" s="58">
        <f t="shared" si="18"/>
        <v>171.9194128119324</v>
      </c>
      <c r="D205" s="83">
        <f t="shared" si="23"/>
        <v>733.33333333333326</v>
      </c>
      <c r="E205">
        <f t="shared" si="19"/>
        <v>0</v>
      </c>
      <c r="G205">
        <v>155</v>
      </c>
      <c r="H205" s="13">
        <f t="shared" si="24"/>
        <v>-1.0275684203264746E-2</v>
      </c>
      <c r="I205">
        <f t="shared" si="25"/>
        <v>170.32668176042637</v>
      </c>
      <c r="J205">
        <f t="shared" si="20"/>
        <v>730.03145019208716</v>
      </c>
      <c r="K205" s="27">
        <f t="shared" si="21"/>
        <v>-5476.2194779797474</v>
      </c>
    </row>
    <row r="206" spans="1:11" x14ac:dyDescent="0.25">
      <c r="A206" s="26">
        <v>156</v>
      </c>
      <c r="B206" s="82">
        <f t="shared" si="22"/>
        <v>0</v>
      </c>
      <c r="C206" s="58">
        <f t="shared" si="18"/>
        <v>171.9194128119324</v>
      </c>
      <c r="D206" s="83">
        <f t="shared" si="23"/>
        <v>733.33333333333326</v>
      </c>
      <c r="E206">
        <f t="shared" si="19"/>
        <v>0</v>
      </c>
      <c r="G206">
        <v>156</v>
      </c>
      <c r="H206" s="13">
        <f t="shared" si="24"/>
        <v>-1.0275684203264746E-2</v>
      </c>
      <c r="I206">
        <f t="shared" si="25"/>
        <v>170.3164060762231</v>
      </c>
      <c r="J206">
        <f t="shared" si="20"/>
        <v>730.00952449307385</v>
      </c>
      <c r="K206" s="27">
        <f t="shared" si="21"/>
        <v>-5475.8904705700434</v>
      </c>
    </row>
    <row r="207" spans="1:11" x14ac:dyDescent="0.25">
      <c r="A207" s="26">
        <v>157</v>
      </c>
      <c r="B207" s="82">
        <f t="shared" si="22"/>
        <v>0</v>
      </c>
      <c r="C207" s="58">
        <f t="shared" si="18"/>
        <v>171.9194128119324</v>
      </c>
      <c r="D207" s="83">
        <f t="shared" si="23"/>
        <v>733.33333333333326</v>
      </c>
      <c r="E207">
        <f t="shared" si="19"/>
        <v>0</v>
      </c>
      <c r="G207">
        <v>157</v>
      </c>
      <c r="H207" s="13">
        <f t="shared" si="24"/>
        <v>-1.0275684203264746E-2</v>
      </c>
      <c r="I207">
        <f t="shared" si="25"/>
        <v>170.30613039201984</v>
      </c>
      <c r="J207">
        <f t="shared" si="20"/>
        <v>729.98759041649066</v>
      </c>
      <c r="K207" s="27">
        <f t="shared" si="21"/>
        <v>-5475.5613473043422</v>
      </c>
    </row>
    <row r="208" spans="1:11" x14ac:dyDescent="0.25">
      <c r="A208" s="26">
        <v>158</v>
      </c>
      <c r="B208" s="82">
        <f t="shared" si="22"/>
        <v>0</v>
      </c>
      <c r="C208" s="58">
        <f t="shared" ref="C208:C271" si="26">($C$37-$C$36)/2000+C207</f>
        <v>171.9194128119324</v>
      </c>
      <c r="D208" s="83">
        <f t="shared" si="23"/>
        <v>733.33333333333326</v>
      </c>
      <c r="E208">
        <f t="shared" si="19"/>
        <v>0</v>
      </c>
      <c r="G208">
        <v>158</v>
      </c>
      <c r="H208" s="13">
        <f t="shared" si="24"/>
        <v>-1.0275684203264746E-2</v>
      </c>
      <c r="I208">
        <f t="shared" si="25"/>
        <v>170.29585470781657</v>
      </c>
      <c r="J208">
        <f t="shared" si="20"/>
        <v>729.96564795445852</v>
      </c>
      <c r="K208" s="27">
        <f t="shared" si="21"/>
        <v>-5475.232108075691</v>
      </c>
    </row>
    <row r="209" spans="1:11" x14ac:dyDescent="0.25">
      <c r="A209" s="26">
        <v>159</v>
      </c>
      <c r="B209" s="82">
        <f t="shared" si="22"/>
        <v>0</v>
      </c>
      <c r="C209" s="58">
        <f t="shared" si="26"/>
        <v>171.9194128119324</v>
      </c>
      <c r="D209" s="83">
        <f t="shared" si="23"/>
        <v>733.33333333333326</v>
      </c>
      <c r="E209">
        <f t="shared" si="19"/>
        <v>0</v>
      </c>
      <c r="G209">
        <v>159</v>
      </c>
      <c r="H209" s="13">
        <f t="shared" si="24"/>
        <v>-1.0275684203264746E-2</v>
      </c>
      <c r="I209">
        <f t="shared" si="25"/>
        <v>170.28557902361331</v>
      </c>
      <c r="J209">
        <f t="shared" si="20"/>
        <v>729.94369709908563</v>
      </c>
      <c r="K209" s="27">
        <f t="shared" si="21"/>
        <v>-5474.9027527769531</v>
      </c>
    </row>
    <row r="210" spans="1:11" x14ac:dyDescent="0.25">
      <c r="A210" s="26">
        <v>160</v>
      </c>
      <c r="B210" s="82">
        <f t="shared" si="22"/>
        <v>0</v>
      </c>
      <c r="C210" s="58">
        <f t="shared" si="26"/>
        <v>171.9194128119324</v>
      </c>
      <c r="D210" s="83">
        <f t="shared" si="23"/>
        <v>733.33333333333326</v>
      </c>
      <c r="E210">
        <f t="shared" si="19"/>
        <v>0</v>
      </c>
      <c r="G210">
        <v>160</v>
      </c>
      <c r="H210" s="13">
        <f t="shared" si="24"/>
        <v>-1.0275684203264746E-2</v>
      </c>
      <c r="I210">
        <f t="shared" si="25"/>
        <v>170.27530333941004</v>
      </c>
      <c r="J210">
        <f t="shared" si="20"/>
        <v>729.92173784246688</v>
      </c>
      <c r="K210" s="27">
        <f t="shared" si="21"/>
        <v>-5474.5732813008181</v>
      </c>
    </row>
    <row r="211" spans="1:11" x14ac:dyDescent="0.25">
      <c r="A211" s="26">
        <v>161</v>
      </c>
      <c r="B211" s="82">
        <f t="shared" si="22"/>
        <v>0</v>
      </c>
      <c r="C211" s="58">
        <f t="shared" si="26"/>
        <v>171.9194128119324</v>
      </c>
      <c r="D211" s="83">
        <f t="shared" si="23"/>
        <v>733.33333333333326</v>
      </c>
      <c r="E211">
        <f t="shared" si="19"/>
        <v>0</v>
      </c>
      <c r="G211">
        <v>161</v>
      </c>
      <c r="H211" s="13">
        <f t="shared" si="24"/>
        <v>-1.0275684203264746E-2</v>
      </c>
      <c r="I211">
        <f t="shared" si="25"/>
        <v>170.26502765520678</v>
      </c>
      <c r="J211">
        <f t="shared" si="20"/>
        <v>729.89977017668457</v>
      </c>
      <c r="K211" s="27">
        <f t="shared" si="21"/>
        <v>-5474.2436935398027</v>
      </c>
    </row>
    <row r="212" spans="1:11" x14ac:dyDescent="0.25">
      <c r="A212" s="26">
        <v>162</v>
      </c>
      <c r="B212" s="82">
        <f t="shared" si="22"/>
        <v>0</v>
      </c>
      <c r="C212" s="58">
        <f t="shared" si="26"/>
        <v>171.9194128119324</v>
      </c>
      <c r="D212" s="83">
        <f t="shared" si="23"/>
        <v>733.33333333333326</v>
      </c>
      <c r="E212">
        <f t="shared" si="19"/>
        <v>0</v>
      </c>
      <c r="G212">
        <v>162</v>
      </c>
      <c r="H212" s="13">
        <f t="shared" si="24"/>
        <v>-1.0275684203264746E-2</v>
      </c>
      <c r="I212">
        <f t="shared" si="25"/>
        <v>170.25475197100351</v>
      </c>
      <c r="J212">
        <f t="shared" si="20"/>
        <v>729.87779409380789</v>
      </c>
      <c r="K212" s="27">
        <f t="shared" si="21"/>
        <v>-5473.9139893862457</v>
      </c>
    </row>
    <row r="213" spans="1:11" x14ac:dyDescent="0.25">
      <c r="A213" s="26">
        <v>163</v>
      </c>
      <c r="B213" s="82">
        <f t="shared" si="22"/>
        <v>0</v>
      </c>
      <c r="C213" s="58">
        <f t="shared" si="26"/>
        <v>171.9194128119324</v>
      </c>
      <c r="D213" s="83">
        <f t="shared" si="23"/>
        <v>733.33333333333326</v>
      </c>
      <c r="E213">
        <f t="shared" si="19"/>
        <v>0</v>
      </c>
      <c r="G213">
        <v>163</v>
      </c>
      <c r="H213" s="13">
        <f t="shared" si="24"/>
        <v>-1.0275684203264746E-2</v>
      </c>
      <c r="I213">
        <f t="shared" si="25"/>
        <v>170.24447628680025</v>
      </c>
      <c r="J213">
        <f t="shared" si="20"/>
        <v>729.85580958589287</v>
      </c>
      <c r="K213" s="27">
        <f t="shared" si="21"/>
        <v>-5473.5841687323118</v>
      </c>
    </row>
    <row r="214" spans="1:11" x14ac:dyDescent="0.25">
      <c r="A214" s="26">
        <v>164</v>
      </c>
      <c r="B214" s="82">
        <f t="shared" si="22"/>
        <v>0</v>
      </c>
      <c r="C214" s="58">
        <f t="shared" si="26"/>
        <v>171.9194128119324</v>
      </c>
      <c r="D214" s="83">
        <f t="shared" si="23"/>
        <v>733.33333333333326</v>
      </c>
      <c r="E214">
        <f t="shared" si="19"/>
        <v>0</v>
      </c>
      <c r="G214">
        <v>164</v>
      </c>
      <c r="H214" s="13">
        <f t="shared" si="24"/>
        <v>-1.0275684203264746E-2</v>
      </c>
      <c r="I214">
        <f t="shared" si="25"/>
        <v>170.23420060259699</v>
      </c>
      <c r="J214">
        <f t="shared" si="20"/>
        <v>729.83381664498279</v>
      </c>
      <c r="K214" s="27">
        <f t="shared" si="21"/>
        <v>-5473.2542314699813</v>
      </c>
    </row>
    <row r="215" spans="1:11" x14ac:dyDescent="0.25">
      <c r="A215" s="26">
        <v>165</v>
      </c>
      <c r="B215" s="82">
        <f t="shared" si="22"/>
        <v>0</v>
      </c>
      <c r="C215" s="58">
        <f t="shared" si="26"/>
        <v>171.9194128119324</v>
      </c>
      <c r="D215" s="83">
        <f t="shared" si="23"/>
        <v>733.33333333333326</v>
      </c>
      <c r="E215">
        <f t="shared" si="19"/>
        <v>0</v>
      </c>
      <c r="G215">
        <v>165</v>
      </c>
      <c r="H215" s="13">
        <f t="shared" si="24"/>
        <v>-1.0275684203264746E-2</v>
      </c>
      <c r="I215">
        <f t="shared" si="25"/>
        <v>170.22392491839372</v>
      </c>
      <c r="J215">
        <f t="shared" si="20"/>
        <v>729.81181526310752</v>
      </c>
      <c r="K215" s="27">
        <f t="shared" si="21"/>
        <v>-5472.9241774910615</v>
      </c>
    </row>
    <row r="216" spans="1:11" x14ac:dyDescent="0.25">
      <c r="A216" s="26">
        <v>166</v>
      </c>
      <c r="B216" s="82">
        <f t="shared" si="22"/>
        <v>0</v>
      </c>
      <c r="C216" s="58">
        <f t="shared" si="26"/>
        <v>171.9194128119324</v>
      </c>
      <c r="D216" s="83">
        <f t="shared" si="23"/>
        <v>733.33333333333326</v>
      </c>
      <c r="E216">
        <f t="shared" si="19"/>
        <v>0</v>
      </c>
      <c r="G216">
        <v>166</v>
      </c>
      <c r="H216" s="13">
        <f t="shared" si="24"/>
        <v>-1.0275684203264746E-2</v>
      </c>
      <c r="I216">
        <f t="shared" si="25"/>
        <v>170.21364923419046</v>
      </c>
      <c r="J216">
        <f t="shared" si="20"/>
        <v>729.78980543228397</v>
      </c>
      <c r="K216" s="27">
        <f t="shared" si="21"/>
        <v>-5472.5940066871817</v>
      </c>
    </row>
    <row r="217" spans="1:11" x14ac:dyDescent="0.25">
      <c r="A217" s="26">
        <v>167</v>
      </c>
      <c r="B217" s="82">
        <f t="shared" si="22"/>
        <v>0</v>
      </c>
      <c r="C217" s="58">
        <f t="shared" si="26"/>
        <v>171.9194128119324</v>
      </c>
      <c r="D217" s="83">
        <f t="shared" si="23"/>
        <v>733.33333333333326</v>
      </c>
      <c r="E217">
        <f t="shared" si="19"/>
        <v>0</v>
      </c>
      <c r="G217">
        <v>167</v>
      </c>
      <c r="H217" s="13">
        <f t="shared" si="24"/>
        <v>-1.0275684203264746E-2</v>
      </c>
      <c r="I217">
        <f t="shared" si="25"/>
        <v>170.20337354998719</v>
      </c>
      <c r="J217">
        <f t="shared" si="20"/>
        <v>729.76778714451586</v>
      </c>
      <c r="K217" s="27">
        <f t="shared" si="21"/>
        <v>-5472.2637189497946</v>
      </c>
    </row>
    <row r="218" spans="1:11" x14ac:dyDescent="0.25">
      <c r="A218" s="26">
        <v>168</v>
      </c>
      <c r="B218" s="82">
        <f t="shared" si="22"/>
        <v>0</v>
      </c>
      <c r="C218" s="58">
        <f t="shared" si="26"/>
        <v>171.9194128119324</v>
      </c>
      <c r="D218" s="83">
        <f t="shared" si="23"/>
        <v>733.33333333333326</v>
      </c>
      <c r="E218">
        <f t="shared" si="19"/>
        <v>0</v>
      </c>
      <c r="G218">
        <v>168</v>
      </c>
      <c r="H218" s="13">
        <f t="shared" si="24"/>
        <v>-1.0275684203264746E-2</v>
      </c>
      <c r="I218">
        <f t="shared" si="25"/>
        <v>170.19309786578393</v>
      </c>
      <c r="J218">
        <f t="shared" si="20"/>
        <v>729.74576039179397</v>
      </c>
      <c r="K218" s="27">
        <f t="shared" si="21"/>
        <v>-5471.9333141701709</v>
      </c>
    </row>
    <row r="219" spans="1:11" x14ac:dyDescent="0.25">
      <c r="A219" s="26">
        <v>169</v>
      </c>
      <c r="B219" s="82">
        <f t="shared" si="22"/>
        <v>0</v>
      </c>
      <c r="C219" s="58">
        <f t="shared" si="26"/>
        <v>171.9194128119324</v>
      </c>
      <c r="D219" s="83">
        <f t="shared" si="23"/>
        <v>733.33333333333326</v>
      </c>
      <c r="E219">
        <f t="shared" si="19"/>
        <v>0</v>
      </c>
      <c r="G219">
        <v>169</v>
      </c>
      <c r="H219" s="13">
        <f t="shared" si="24"/>
        <v>-1.0275684203264746E-2</v>
      </c>
      <c r="I219">
        <f t="shared" si="25"/>
        <v>170.18282218158066</v>
      </c>
      <c r="J219">
        <f t="shared" si="20"/>
        <v>729.72372516609551</v>
      </c>
      <c r="K219" s="27">
        <f t="shared" si="21"/>
        <v>-5471.6027922393996</v>
      </c>
    </row>
    <row r="220" spans="1:11" x14ac:dyDescent="0.25">
      <c r="A220" s="26">
        <v>170</v>
      </c>
      <c r="B220" s="82">
        <f t="shared" si="22"/>
        <v>0</v>
      </c>
      <c r="C220" s="58">
        <f t="shared" si="26"/>
        <v>171.9194128119324</v>
      </c>
      <c r="D220" s="83">
        <f t="shared" si="23"/>
        <v>733.33333333333326</v>
      </c>
      <c r="E220">
        <f t="shared" si="19"/>
        <v>0</v>
      </c>
      <c r="G220">
        <v>170</v>
      </c>
      <c r="H220" s="13">
        <f t="shared" si="24"/>
        <v>-1.0275684203264746E-2</v>
      </c>
      <c r="I220">
        <f t="shared" si="25"/>
        <v>170.1725464973774</v>
      </c>
      <c r="J220">
        <f t="shared" si="20"/>
        <v>729.70168145938464</v>
      </c>
      <c r="K220" s="27">
        <f t="shared" si="21"/>
        <v>-5471.2721530483986</v>
      </c>
    </row>
    <row r="221" spans="1:11" x14ac:dyDescent="0.25">
      <c r="A221" s="26">
        <v>171</v>
      </c>
      <c r="B221" s="82">
        <f t="shared" si="22"/>
        <v>0</v>
      </c>
      <c r="C221" s="58">
        <f t="shared" si="26"/>
        <v>171.9194128119324</v>
      </c>
      <c r="D221" s="83">
        <f t="shared" si="23"/>
        <v>733.33333333333326</v>
      </c>
      <c r="E221">
        <f t="shared" si="19"/>
        <v>0</v>
      </c>
      <c r="G221">
        <v>171</v>
      </c>
      <c r="H221" s="13">
        <f t="shared" si="24"/>
        <v>-1.0275684203264746E-2</v>
      </c>
      <c r="I221">
        <f t="shared" si="25"/>
        <v>170.16227081317413</v>
      </c>
      <c r="J221">
        <f t="shared" si="20"/>
        <v>729.67962926361247</v>
      </c>
      <c r="K221" s="27">
        <f t="shared" si="21"/>
        <v>-5470.9413964878977</v>
      </c>
    </row>
    <row r="222" spans="1:11" x14ac:dyDescent="0.25">
      <c r="A222" s="26">
        <v>172</v>
      </c>
      <c r="B222" s="82">
        <f t="shared" si="22"/>
        <v>0</v>
      </c>
      <c r="C222" s="58">
        <f t="shared" si="26"/>
        <v>171.9194128119324</v>
      </c>
      <c r="D222" s="83">
        <f t="shared" si="23"/>
        <v>733.33333333333326</v>
      </c>
      <c r="E222">
        <f t="shared" si="19"/>
        <v>0</v>
      </c>
      <c r="G222">
        <v>172</v>
      </c>
      <c r="H222" s="13">
        <f t="shared" si="24"/>
        <v>-1.0275684203264746E-2</v>
      </c>
      <c r="I222">
        <f t="shared" si="25"/>
        <v>170.15199512897087</v>
      </c>
      <c r="J222">
        <f t="shared" si="20"/>
        <v>729.65756857071631</v>
      </c>
      <c r="K222" s="27">
        <f t="shared" si="21"/>
        <v>-5470.610522448449</v>
      </c>
    </row>
    <row r="223" spans="1:11" x14ac:dyDescent="0.25">
      <c r="A223" s="26">
        <v>173</v>
      </c>
      <c r="B223" s="82">
        <f t="shared" si="22"/>
        <v>0</v>
      </c>
      <c r="C223" s="58">
        <f t="shared" si="26"/>
        <v>171.9194128119324</v>
      </c>
      <c r="D223" s="83">
        <f t="shared" si="23"/>
        <v>733.33333333333326</v>
      </c>
      <c r="E223">
        <f t="shared" si="19"/>
        <v>0</v>
      </c>
      <c r="G223">
        <v>173</v>
      </c>
      <c r="H223" s="13">
        <f t="shared" si="24"/>
        <v>-1.0275684203264746E-2</v>
      </c>
      <c r="I223">
        <f t="shared" si="25"/>
        <v>170.1417194447676</v>
      </c>
      <c r="J223">
        <f t="shared" si="20"/>
        <v>729.63549937262064</v>
      </c>
      <c r="K223" s="27">
        <f t="shared" si="21"/>
        <v>-5470.2795308204231</v>
      </c>
    </row>
    <row r="224" spans="1:11" x14ac:dyDescent="0.25">
      <c r="A224" s="26">
        <v>174</v>
      </c>
      <c r="B224" s="82">
        <f t="shared" si="22"/>
        <v>0</v>
      </c>
      <c r="C224" s="58">
        <f t="shared" si="26"/>
        <v>171.9194128119324</v>
      </c>
      <c r="D224" s="83">
        <f t="shared" si="23"/>
        <v>733.33333333333326</v>
      </c>
      <c r="E224">
        <f t="shared" si="19"/>
        <v>0</v>
      </c>
      <c r="G224">
        <v>174</v>
      </c>
      <c r="H224" s="13">
        <f t="shared" si="24"/>
        <v>-1.0275684203264746E-2</v>
      </c>
      <c r="I224">
        <f t="shared" si="25"/>
        <v>170.13144376056434</v>
      </c>
      <c r="J224">
        <f t="shared" si="20"/>
        <v>729.6134216612362</v>
      </c>
      <c r="K224" s="27">
        <f t="shared" si="21"/>
        <v>-5469.9484214940103</v>
      </c>
    </row>
    <row r="225" spans="1:11" x14ac:dyDescent="0.25">
      <c r="A225" s="26">
        <v>175</v>
      </c>
      <c r="B225" s="82">
        <f t="shared" si="22"/>
        <v>0</v>
      </c>
      <c r="C225" s="58">
        <f t="shared" si="26"/>
        <v>171.9194128119324</v>
      </c>
      <c r="D225" s="83">
        <f t="shared" si="23"/>
        <v>733.33333333333326</v>
      </c>
      <c r="E225">
        <f t="shared" si="19"/>
        <v>0</v>
      </c>
      <c r="G225">
        <v>175</v>
      </c>
      <c r="H225" s="13">
        <f t="shared" si="24"/>
        <v>-1.0275684203264746E-2</v>
      </c>
      <c r="I225">
        <f t="shared" si="25"/>
        <v>170.12116807636107</v>
      </c>
      <c r="J225">
        <f t="shared" si="20"/>
        <v>729.59133542846075</v>
      </c>
      <c r="K225" s="27">
        <f t="shared" si="21"/>
        <v>-5469.617194359219</v>
      </c>
    </row>
    <row r="226" spans="1:11" x14ac:dyDescent="0.25">
      <c r="A226" s="26">
        <v>176</v>
      </c>
      <c r="B226" s="82">
        <f t="shared" si="22"/>
        <v>0</v>
      </c>
      <c r="C226" s="58">
        <f t="shared" si="26"/>
        <v>171.9194128119324</v>
      </c>
      <c r="D226" s="83">
        <f t="shared" si="23"/>
        <v>733.33333333333326</v>
      </c>
      <c r="E226">
        <f t="shared" si="19"/>
        <v>0</v>
      </c>
      <c r="G226">
        <v>176</v>
      </c>
      <c r="H226" s="13">
        <f t="shared" si="24"/>
        <v>-1.0275684203264746E-2</v>
      </c>
      <c r="I226">
        <f t="shared" si="25"/>
        <v>170.11089239215781</v>
      </c>
      <c r="J226">
        <f t="shared" si="20"/>
        <v>729.56924066617808</v>
      </c>
      <c r="K226" s="27">
        <f t="shared" si="21"/>
        <v>-5469.2858493058729</v>
      </c>
    </row>
    <row r="227" spans="1:11" x14ac:dyDescent="0.25">
      <c r="A227" s="26">
        <v>177</v>
      </c>
      <c r="B227" s="82">
        <f t="shared" si="22"/>
        <v>0</v>
      </c>
      <c r="C227" s="58">
        <f t="shared" si="26"/>
        <v>171.9194128119324</v>
      </c>
      <c r="D227" s="83">
        <f t="shared" si="23"/>
        <v>733.33333333333326</v>
      </c>
      <c r="E227">
        <f t="shared" si="19"/>
        <v>0</v>
      </c>
      <c r="G227">
        <v>177</v>
      </c>
      <c r="H227" s="13">
        <f t="shared" si="24"/>
        <v>-1.0275684203264746E-2</v>
      </c>
      <c r="I227">
        <f t="shared" si="25"/>
        <v>170.10061670795454</v>
      </c>
      <c r="J227">
        <f t="shared" si="20"/>
        <v>729.54713736625922</v>
      </c>
      <c r="K227" s="27">
        <f t="shared" si="21"/>
        <v>-5468.9543862236178</v>
      </c>
    </row>
    <row r="228" spans="1:11" x14ac:dyDescent="0.25">
      <c r="A228" s="26">
        <v>178</v>
      </c>
      <c r="B228" s="82">
        <f t="shared" si="22"/>
        <v>0</v>
      </c>
      <c r="C228" s="58">
        <f t="shared" si="26"/>
        <v>171.9194128119324</v>
      </c>
      <c r="D228" s="83">
        <f t="shared" si="23"/>
        <v>733.33333333333326</v>
      </c>
      <c r="E228">
        <f t="shared" si="19"/>
        <v>0</v>
      </c>
      <c r="G228">
        <v>178</v>
      </c>
      <c r="H228" s="13">
        <f t="shared" si="24"/>
        <v>-1.0275684203264746E-2</v>
      </c>
      <c r="I228">
        <f t="shared" si="25"/>
        <v>170.09034102375128</v>
      </c>
      <c r="J228">
        <f t="shared" si="20"/>
        <v>729.52502552056103</v>
      </c>
      <c r="K228" s="27">
        <f t="shared" si="21"/>
        <v>-5468.6228050019117</v>
      </c>
    </row>
    <row r="229" spans="1:11" x14ac:dyDescent="0.25">
      <c r="A229" s="26">
        <v>179</v>
      </c>
      <c r="B229" s="82">
        <f t="shared" si="22"/>
        <v>0</v>
      </c>
      <c r="C229" s="58">
        <f t="shared" si="26"/>
        <v>171.9194128119324</v>
      </c>
      <c r="D229" s="83">
        <f t="shared" si="23"/>
        <v>733.33333333333326</v>
      </c>
      <c r="E229">
        <f t="shared" si="19"/>
        <v>0</v>
      </c>
      <c r="G229">
        <v>179</v>
      </c>
      <c r="H229" s="13">
        <f t="shared" si="24"/>
        <v>-1.0275684203264746E-2</v>
      </c>
      <c r="I229">
        <f t="shared" si="25"/>
        <v>170.08006533954801</v>
      </c>
      <c r="J229">
        <f t="shared" si="20"/>
        <v>729.50290512092738</v>
      </c>
      <c r="K229" s="27">
        <f t="shared" si="21"/>
        <v>-5468.291105530031</v>
      </c>
    </row>
    <row r="230" spans="1:11" x14ac:dyDescent="0.25">
      <c r="A230" s="26">
        <v>180</v>
      </c>
      <c r="B230" s="82">
        <f t="shared" si="22"/>
        <v>0</v>
      </c>
      <c r="C230" s="58">
        <f t="shared" si="26"/>
        <v>171.9194128119324</v>
      </c>
      <c r="D230" s="83">
        <f t="shared" si="23"/>
        <v>733.33333333333326</v>
      </c>
      <c r="E230">
        <f t="shared" si="19"/>
        <v>0</v>
      </c>
      <c r="G230">
        <v>180</v>
      </c>
      <c r="H230" s="13">
        <f t="shared" si="24"/>
        <v>-1.0275684203264746E-2</v>
      </c>
      <c r="I230">
        <f t="shared" si="25"/>
        <v>170.06978965534475</v>
      </c>
      <c r="J230">
        <f t="shared" si="20"/>
        <v>729.48077615918828</v>
      </c>
      <c r="K230" s="27">
        <f t="shared" si="21"/>
        <v>-5467.9592876970682</v>
      </c>
    </row>
    <row r="231" spans="1:11" x14ac:dyDescent="0.25">
      <c r="A231" s="26">
        <v>181</v>
      </c>
      <c r="B231" s="82">
        <f t="shared" si="22"/>
        <v>0</v>
      </c>
      <c r="C231" s="58">
        <f t="shared" si="26"/>
        <v>171.9194128119324</v>
      </c>
      <c r="D231" s="83">
        <f t="shared" si="23"/>
        <v>733.33333333333326</v>
      </c>
      <c r="E231">
        <f t="shared" si="19"/>
        <v>0</v>
      </c>
      <c r="G231">
        <v>181</v>
      </c>
      <c r="H231" s="13">
        <f t="shared" si="24"/>
        <v>-1.0275684203264746E-2</v>
      </c>
      <c r="I231">
        <f t="shared" si="25"/>
        <v>170.05951397114148</v>
      </c>
      <c r="J231">
        <f t="shared" si="20"/>
        <v>729.45863862716044</v>
      </c>
      <c r="K231" s="27">
        <f t="shared" si="21"/>
        <v>-5467.6273513919332</v>
      </c>
    </row>
    <row r="232" spans="1:11" x14ac:dyDescent="0.25">
      <c r="A232" s="26">
        <v>182</v>
      </c>
      <c r="B232" s="82">
        <f t="shared" si="22"/>
        <v>0</v>
      </c>
      <c r="C232" s="58">
        <f t="shared" si="26"/>
        <v>171.9194128119324</v>
      </c>
      <c r="D232" s="83">
        <f t="shared" si="23"/>
        <v>733.33333333333326</v>
      </c>
      <c r="E232">
        <f t="shared" si="19"/>
        <v>0</v>
      </c>
      <c r="G232">
        <v>182</v>
      </c>
      <c r="H232" s="13">
        <f t="shared" si="24"/>
        <v>-1.0275684203264746E-2</v>
      </c>
      <c r="I232">
        <f t="shared" si="25"/>
        <v>170.04923828693822</v>
      </c>
      <c r="J232">
        <f t="shared" si="20"/>
        <v>729.43649251664658</v>
      </c>
      <c r="K232" s="27">
        <f t="shared" si="21"/>
        <v>-5467.2952965033464</v>
      </c>
    </row>
    <row r="233" spans="1:11" x14ac:dyDescent="0.25">
      <c r="A233" s="26">
        <v>183</v>
      </c>
      <c r="B233" s="82">
        <f t="shared" si="22"/>
        <v>0</v>
      </c>
      <c r="C233" s="58">
        <f t="shared" si="26"/>
        <v>171.9194128119324</v>
      </c>
      <c r="D233" s="83">
        <f t="shared" si="23"/>
        <v>733.33333333333326</v>
      </c>
      <c r="E233">
        <f t="shared" si="19"/>
        <v>0</v>
      </c>
      <c r="G233">
        <v>183</v>
      </c>
      <c r="H233" s="13">
        <f t="shared" si="24"/>
        <v>-1.0275684203264746E-2</v>
      </c>
      <c r="I233">
        <f t="shared" si="25"/>
        <v>170.03896260273495</v>
      </c>
      <c r="J233">
        <f t="shared" si="20"/>
        <v>729.41433781943601</v>
      </c>
      <c r="K233" s="27">
        <f t="shared" si="21"/>
        <v>-5466.9631229198494</v>
      </c>
    </row>
    <row r="234" spans="1:11" x14ac:dyDescent="0.25">
      <c r="A234" s="26">
        <v>184</v>
      </c>
      <c r="B234" s="82">
        <f t="shared" si="22"/>
        <v>0</v>
      </c>
      <c r="C234" s="58">
        <f t="shared" si="26"/>
        <v>171.9194128119324</v>
      </c>
      <c r="D234" s="83">
        <f t="shared" si="23"/>
        <v>733.33333333333326</v>
      </c>
      <c r="E234">
        <f t="shared" si="19"/>
        <v>0</v>
      </c>
      <c r="G234">
        <v>184</v>
      </c>
      <c r="H234" s="13">
        <f t="shared" si="24"/>
        <v>-1.0275684203264746E-2</v>
      </c>
      <c r="I234">
        <f t="shared" si="25"/>
        <v>170.02868691853169</v>
      </c>
      <c r="J234">
        <f t="shared" si="20"/>
        <v>729.39217452730463</v>
      </c>
      <c r="K234" s="27">
        <f t="shared" si="21"/>
        <v>-5466.6308305297907</v>
      </c>
    </row>
    <row r="235" spans="1:11" x14ac:dyDescent="0.25">
      <c r="A235" s="26">
        <v>185</v>
      </c>
      <c r="B235" s="82">
        <f t="shared" si="22"/>
        <v>0</v>
      </c>
      <c r="C235" s="58">
        <f t="shared" si="26"/>
        <v>171.9194128119324</v>
      </c>
      <c r="D235" s="83">
        <f t="shared" si="23"/>
        <v>733.33333333333326</v>
      </c>
      <c r="E235">
        <f t="shared" si="19"/>
        <v>0</v>
      </c>
      <c r="G235">
        <v>185</v>
      </c>
      <c r="H235" s="13">
        <f t="shared" si="24"/>
        <v>-1.0275684203264746E-2</v>
      </c>
      <c r="I235">
        <f t="shared" si="25"/>
        <v>170.01841123432843</v>
      </c>
      <c r="J235">
        <f t="shared" si="20"/>
        <v>729.37000263201412</v>
      </c>
      <c r="K235" s="27">
        <f t="shared" si="21"/>
        <v>-5466.2984192213416</v>
      </c>
    </row>
    <row r="236" spans="1:11" x14ac:dyDescent="0.25">
      <c r="A236" s="26">
        <v>186</v>
      </c>
      <c r="B236" s="82">
        <f t="shared" si="22"/>
        <v>0</v>
      </c>
      <c r="C236" s="58">
        <f t="shared" si="26"/>
        <v>171.9194128119324</v>
      </c>
      <c r="D236" s="83">
        <f t="shared" si="23"/>
        <v>733.33333333333326</v>
      </c>
      <c r="E236">
        <f t="shared" si="19"/>
        <v>0</v>
      </c>
      <c r="G236">
        <v>186</v>
      </c>
      <c r="H236" s="13">
        <f t="shared" si="24"/>
        <v>-1.0275684203264746E-2</v>
      </c>
      <c r="I236">
        <f t="shared" si="25"/>
        <v>170.00813555012516</v>
      </c>
      <c r="J236">
        <f t="shared" si="20"/>
        <v>729.34782212531275</v>
      </c>
      <c r="K236" s="27">
        <f t="shared" si="21"/>
        <v>-5465.9658888824779</v>
      </c>
    </row>
    <row r="237" spans="1:11" x14ac:dyDescent="0.25">
      <c r="A237" s="26">
        <v>187</v>
      </c>
      <c r="B237" s="82">
        <f t="shared" si="22"/>
        <v>0</v>
      </c>
      <c r="C237" s="58">
        <f t="shared" si="26"/>
        <v>171.9194128119324</v>
      </c>
      <c r="D237" s="83">
        <f t="shared" si="23"/>
        <v>733.33333333333326</v>
      </c>
      <c r="E237">
        <f t="shared" si="19"/>
        <v>0</v>
      </c>
      <c r="G237">
        <v>187</v>
      </c>
      <c r="H237" s="13">
        <f t="shared" si="24"/>
        <v>-1.0275684203264746E-2</v>
      </c>
      <c r="I237">
        <f t="shared" si="25"/>
        <v>169.9978598659219</v>
      </c>
      <c r="J237">
        <f t="shared" si="20"/>
        <v>729.32563299893491</v>
      </c>
      <c r="K237" s="27">
        <f t="shared" si="21"/>
        <v>-5465.6332394009942</v>
      </c>
    </row>
    <row r="238" spans="1:11" x14ac:dyDescent="0.25">
      <c r="A238" s="26">
        <v>188</v>
      </c>
      <c r="B238" s="82">
        <f t="shared" si="22"/>
        <v>0</v>
      </c>
      <c r="C238" s="58">
        <f t="shared" si="26"/>
        <v>171.9194128119324</v>
      </c>
      <c r="D238" s="83">
        <f t="shared" si="23"/>
        <v>733.33333333333326</v>
      </c>
      <c r="E238">
        <f t="shared" si="19"/>
        <v>0</v>
      </c>
      <c r="G238">
        <v>188</v>
      </c>
      <c r="H238" s="13">
        <f t="shared" si="24"/>
        <v>-1.0275684203264746E-2</v>
      </c>
      <c r="I238">
        <f t="shared" si="25"/>
        <v>169.98758418171863</v>
      </c>
      <c r="J238">
        <f t="shared" si="20"/>
        <v>729.30343524460113</v>
      </c>
      <c r="K238" s="27">
        <f t="shared" si="21"/>
        <v>-5465.3004706644942</v>
      </c>
    </row>
    <row r="239" spans="1:11" x14ac:dyDescent="0.25">
      <c r="A239" s="26">
        <v>189</v>
      </c>
      <c r="B239" s="82">
        <f t="shared" si="22"/>
        <v>0</v>
      </c>
      <c r="C239" s="58">
        <f t="shared" si="26"/>
        <v>171.9194128119324</v>
      </c>
      <c r="D239" s="83">
        <f t="shared" si="23"/>
        <v>733.33333333333326</v>
      </c>
      <c r="E239">
        <f t="shared" si="19"/>
        <v>0</v>
      </c>
      <c r="G239">
        <v>189</v>
      </c>
      <c r="H239" s="13">
        <f t="shared" si="24"/>
        <v>-1.0275684203264746E-2</v>
      </c>
      <c r="I239">
        <f t="shared" si="25"/>
        <v>169.97730849751537</v>
      </c>
      <c r="J239">
        <f t="shared" si="20"/>
        <v>729.28122885401854</v>
      </c>
      <c r="K239" s="27">
        <f t="shared" si="21"/>
        <v>-5464.967582560399</v>
      </c>
    </row>
    <row r="240" spans="1:11" x14ac:dyDescent="0.25">
      <c r="A240" s="26">
        <v>190</v>
      </c>
      <c r="B240" s="82">
        <f t="shared" si="22"/>
        <v>0</v>
      </c>
      <c r="C240" s="58">
        <f t="shared" si="26"/>
        <v>171.9194128119324</v>
      </c>
      <c r="D240" s="83">
        <f t="shared" si="23"/>
        <v>733.33333333333326</v>
      </c>
      <c r="E240">
        <f t="shared" si="19"/>
        <v>0</v>
      </c>
      <c r="G240">
        <v>190</v>
      </c>
      <c r="H240" s="13">
        <f t="shared" si="24"/>
        <v>-1.0275684203264746E-2</v>
      </c>
      <c r="I240">
        <f t="shared" si="25"/>
        <v>169.9670328133121</v>
      </c>
      <c r="J240">
        <f t="shared" si="20"/>
        <v>729.25901381887968</v>
      </c>
      <c r="K240" s="27">
        <f t="shared" si="21"/>
        <v>-5464.6345749759348</v>
      </c>
    </row>
    <row r="241" spans="1:11" x14ac:dyDescent="0.25">
      <c r="A241" s="26">
        <v>191</v>
      </c>
      <c r="B241" s="82">
        <f t="shared" si="22"/>
        <v>0</v>
      </c>
      <c r="C241" s="58">
        <f t="shared" si="26"/>
        <v>171.9194128119324</v>
      </c>
      <c r="D241" s="83">
        <f t="shared" si="23"/>
        <v>733.33333333333326</v>
      </c>
      <c r="E241">
        <f t="shared" si="19"/>
        <v>0</v>
      </c>
      <c r="G241">
        <v>191</v>
      </c>
      <c r="H241" s="13">
        <f t="shared" si="24"/>
        <v>-1.0275684203264746E-2</v>
      </c>
      <c r="I241">
        <f t="shared" si="25"/>
        <v>169.95675712910884</v>
      </c>
      <c r="J241">
        <f t="shared" si="20"/>
        <v>729.23679013086371</v>
      </c>
      <c r="K241" s="27">
        <f t="shared" si="21"/>
        <v>-5464.3014477981451</v>
      </c>
    </row>
    <row r="242" spans="1:11" x14ac:dyDescent="0.25">
      <c r="A242" s="26">
        <v>192</v>
      </c>
      <c r="B242" s="82">
        <f t="shared" si="22"/>
        <v>0</v>
      </c>
      <c r="C242" s="58">
        <f t="shared" si="26"/>
        <v>171.9194128119324</v>
      </c>
      <c r="D242" s="83">
        <f t="shared" si="23"/>
        <v>733.33333333333326</v>
      </c>
      <c r="E242">
        <f t="shared" si="19"/>
        <v>0</v>
      </c>
      <c r="G242">
        <v>192</v>
      </c>
      <c r="H242" s="13">
        <f t="shared" si="24"/>
        <v>-1.0275684203264746E-2</v>
      </c>
      <c r="I242">
        <f t="shared" si="25"/>
        <v>169.94648144490557</v>
      </c>
      <c r="J242">
        <f t="shared" si="20"/>
        <v>729.2145577816359</v>
      </c>
      <c r="K242" s="27">
        <f t="shared" si="21"/>
        <v>-5463.9682009138787</v>
      </c>
    </row>
    <row r="243" spans="1:11" x14ac:dyDescent="0.25">
      <c r="A243" s="26">
        <v>193</v>
      </c>
      <c r="B243" s="82">
        <f t="shared" si="22"/>
        <v>0</v>
      </c>
      <c r="C243" s="58">
        <f t="shared" si="26"/>
        <v>171.9194128119324</v>
      </c>
      <c r="D243" s="83">
        <f t="shared" si="23"/>
        <v>733.33333333333326</v>
      </c>
      <c r="E243">
        <f t="shared" ref="E243:E306" si="27">((D243^2)+(D243*D244)+(D244^2))*B244/3</f>
        <v>0</v>
      </c>
      <c r="G243">
        <v>193</v>
      </c>
      <c r="H243" s="13">
        <f t="shared" si="24"/>
        <v>-1.0275684203264746E-2</v>
      </c>
      <c r="I243">
        <f t="shared" si="25"/>
        <v>169.93620576070231</v>
      </c>
      <c r="J243">
        <f t="shared" ref="J243:J306" si="28">IF($G$28&lt;$C$14,0,((($C$11^2)-((I243-$C$13)^2))^0.5)+$C$16)</f>
        <v>729.1923167628471</v>
      </c>
      <c r="K243" s="27">
        <f t="shared" ref="K243:K306" si="29">((J243^2)+(J243*J244)+(J244^2))*H244/3</f>
        <v>-5463.634834209799</v>
      </c>
    </row>
    <row r="244" spans="1:11" x14ac:dyDescent="0.25">
      <c r="A244" s="26">
        <v>194</v>
      </c>
      <c r="B244" s="82">
        <f t="shared" ref="B244:B307" si="30">C244-C243</f>
        <v>0</v>
      </c>
      <c r="C244" s="58">
        <f t="shared" si="26"/>
        <v>171.9194128119324</v>
      </c>
      <c r="D244" s="83">
        <f t="shared" ref="D244:D307" si="31">IF($G$28&lt;$C$14,0,((($C$11^2)-((C244-$C$13)^2))^0.5)+$C$16)</f>
        <v>733.33333333333326</v>
      </c>
      <c r="E244">
        <f t="shared" si="27"/>
        <v>0</v>
      </c>
      <c r="G244">
        <v>194</v>
      </c>
      <c r="H244" s="13">
        <f t="shared" ref="H244:H307" si="32">I244-I243</f>
        <v>-1.0275684203264746E-2</v>
      </c>
      <c r="I244">
        <f t="shared" ref="I244:I307" si="33">($G$27-$C$14)/2000+I243</f>
        <v>169.92593007649904</v>
      </c>
      <c r="J244">
        <f t="shared" si="28"/>
        <v>729.17006706613472</v>
      </c>
      <c r="K244" s="27">
        <f t="shared" si="29"/>
        <v>-5463.3013475723774</v>
      </c>
    </row>
    <row r="245" spans="1:11" x14ac:dyDescent="0.25">
      <c r="A245" s="26">
        <v>195</v>
      </c>
      <c r="B245" s="82">
        <f t="shared" si="30"/>
        <v>0</v>
      </c>
      <c r="C245" s="58">
        <f t="shared" si="26"/>
        <v>171.9194128119324</v>
      </c>
      <c r="D245" s="83">
        <f t="shared" si="31"/>
        <v>733.33333333333326</v>
      </c>
      <c r="E245">
        <f t="shared" si="27"/>
        <v>0</v>
      </c>
      <c r="G245">
        <v>195</v>
      </c>
      <c r="H245" s="13">
        <f t="shared" si="32"/>
        <v>-1.0275684203264746E-2</v>
      </c>
      <c r="I245">
        <f t="shared" si="33"/>
        <v>169.91565439229578</v>
      </c>
      <c r="J245">
        <f t="shared" si="28"/>
        <v>729.14780868312164</v>
      </c>
      <c r="K245" s="27">
        <f t="shared" si="29"/>
        <v>-5462.9677408878961</v>
      </c>
    </row>
    <row r="246" spans="1:11" x14ac:dyDescent="0.25">
      <c r="A246" s="26">
        <v>196</v>
      </c>
      <c r="B246" s="82">
        <f t="shared" si="30"/>
        <v>0</v>
      </c>
      <c r="C246" s="58">
        <f t="shared" si="26"/>
        <v>171.9194128119324</v>
      </c>
      <c r="D246" s="83">
        <f t="shared" si="31"/>
        <v>733.33333333333326</v>
      </c>
      <c r="E246">
        <f t="shared" si="27"/>
        <v>0</v>
      </c>
      <c r="G246">
        <v>196</v>
      </c>
      <c r="H246" s="13">
        <f t="shared" si="32"/>
        <v>-1.0275684203264746E-2</v>
      </c>
      <c r="I246">
        <f t="shared" si="33"/>
        <v>169.90537870809251</v>
      </c>
      <c r="J246">
        <f t="shared" si="28"/>
        <v>729.12554160541708</v>
      </c>
      <c r="K246" s="27">
        <f t="shared" si="29"/>
        <v>-5462.6340140424436</v>
      </c>
    </row>
    <row r="247" spans="1:11" x14ac:dyDescent="0.25">
      <c r="A247" s="26">
        <v>197</v>
      </c>
      <c r="B247" s="82">
        <f t="shared" si="30"/>
        <v>0</v>
      </c>
      <c r="C247" s="58">
        <f t="shared" si="26"/>
        <v>171.9194128119324</v>
      </c>
      <c r="D247" s="83">
        <f t="shared" si="31"/>
        <v>733.33333333333326</v>
      </c>
      <c r="E247">
        <f t="shared" si="27"/>
        <v>0</v>
      </c>
      <c r="G247">
        <v>197</v>
      </c>
      <c r="H247" s="13">
        <f t="shared" si="32"/>
        <v>-1.0275684203264746E-2</v>
      </c>
      <c r="I247">
        <f t="shared" si="33"/>
        <v>169.89510302388925</v>
      </c>
      <c r="J247">
        <f t="shared" si="28"/>
        <v>729.10326582461585</v>
      </c>
      <c r="K247" s="27">
        <f t="shared" si="29"/>
        <v>-5462.3001669219193</v>
      </c>
    </row>
    <row r="248" spans="1:11" x14ac:dyDescent="0.25">
      <c r="A248" s="26">
        <v>198</v>
      </c>
      <c r="B248" s="82">
        <f t="shared" si="30"/>
        <v>0</v>
      </c>
      <c r="C248" s="58">
        <f t="shared" si="26"/>
        <v>171.9194128119324</v>
      </c>
      <c r="D248" s="83">
        <f t="shared" si="31"/>
        <v>733.33333333333326</v>
      </c>
      <c r="E248">
        <f t="shared" si="27"/>
        <v>0</v>
      </c>
      <c r="G248">
        <v>198</v>
      </c>
      <c r="H248" s="13">
        <f t="shared" si="32"/>
        <v>-1.0275684203264746E-2</v>
      </c>
      <c r="I248">
        <f t="shared" si="33"/>
        <v>169.88482733968598</v>
      </c>
      <c r="J248">
        <f t="shared" si="28"/>
        <v>729.08098133229885</v>
      </c>
      <c r="K248" s="27">
        <f t="shared" si="29"/>
        <v>-5461.9661994120315</v>
      </c>
    </row>
    <row r="249" spans="1:11" x14ac:dyDescent="0.25">
      <c r="A249" s="26">
        <v>199</v>
      </c>
      <c r="B249" s="82">
        <f t="shared" si="30"/>
        <v>0</v>
      </c>
      <c r="C249" s="58">
        <f t="shared" si="26"/>
        <v>171.9194128119324</v>
      </c>
      <c r="D249" s="83">
        <f t="shared" si="31"/>
        <v>733.33333333333326</v>
      </c>
      <c r="E249">
        <f t="shared" si="27"/>
        <v>0</v>
      </c>
      <c r="G249">
        <v>199</v>
      </c>
      <c r="H249" s="13">
        <f t="shared" si="32"/>
        <v>-1.0275684203264746E-2</v>
      </c>
      <c r="I249">
        <f t="shared" si="33"/>
        <v>169.87455165548272</v>
      </c>
      <c r="J249">
        <f t="shared" si="28"/>
        <v>729.0586881200328</v>
      </c>
      <c r="K249" s="27">
        <f t="shared" si="29"/>
        <v>-5461.6321113982949</v>
      </c>
    </row>
    <row r="250" spans="1:11" x14ac:dyDescent="0.25">
      <c r="A250" s="26">
        <v>200</v>
      </c>
      <c r="B250" s="82">
        <f t="shared" si="30"/>
        <v>0</v>
      </c>
      <c r="C250" s="58">
        <f t="shared" si="26"/>
        <v>171.9194128119324</v>
      </c>
      <c r="D250" s="83">
        <f t="shared" si="31"/>
        <v>733.33333333333326</v>
      </c>
      <c r="E250">
        <f t="shared" si="27"/>
        <v>0</v>
      </c>
      <c r="G250">
        <v>200</v>
      </c>
      <c r="H250" s="13">
        <f t="shared" si="32"/>
        <v>-1.0275684203264746E-2</v>
      </c>
      <c r="I250">
        <f t="shared" si="33"/>
        <v>169.86427597127945</v>
      </c>
      <c r="J250">
        <f t="shared" si="28"/>
        <v>729.03638617937008</v>
      </c>
      <c r="K250" s="27">
        <f t="shared" si="29"/>
        <v>-5461.2979027660313</v>
      </c>
    </row>
    <row r="251" spans="1:11" x14ac:dyDescent="0.25">
      <c r="A251" s="26">
        <v>201</v>
      </c>
      <c r="B251" s="82">
        <f t="shared" si="30"/>
        <v>0</v>
      </c>
      <c r="C251" s="58">
        <f t="shared" si="26"/>
        <v>171.9194128119324</v>
      </c>
      <c r="D251" s="83">
        <f t="shared" si="31"/>
        <v>733.33333333333326</v>
      </c>
      <c r="E251">
        <f t="shared" si="27"/>
        <v>0</v>
      </c>
      <c r="G251">
        <v>201</v>
      </c>
      <c r="H251" s="13">
        <f t="shared" si="32"/>
        <v>-1.0275684203264746E-2</v>
      </c>
      <c r="I251">
        <f t="shared" si="33"/>
        <v>169.85400028707619</v>
      </c>
      <c r="J251">
        <f t="shared" si="28"/>
        <v>729.01407550184899</v>
      </c>
      <c r="K251" s="27">
        <f t="shared" si="29"/>
        <v>-5460.9635734003687</v>
      </c>
    </row>
    <row r="252" spans="1:11" x14ac:dyDescent="0.25">
      <c r="A252" s="26">
        <v>202</v>
      </c>
      <c r="B252" s="82">
        <f t="shared" si="30"/>
        <v>0</v>
      </c>
      <c r="C252" s="58">
        <f t="shared" si="26"/>
        <v>171.9194128119324</v>
      </c>
      <c r="D252" s="83">
        <f t="shared" si="31"/>
        <v>733.33333333333326</v>
      </c>
      <c r="E252">
        <f t="shared" si="27"/>
        <v>0</v>
      </c>
      <c r="G252">
        <v>202</v>
      </c>
      <c r="H252" s="13">
        <f t="shared" si="32"/>
        <v>-1.0275684203264746E-2</v>
      </c>
      <c r="I252">
        <f t="shared" si="33"/>
        <v>169.84372460287292</v>
      </c>
      <c r="J252">
        <f t="shared" si="28"/>
        <v>728.99175607899349</v>
      </c>
      <c r="K252" s="27">
        <f t="shared" si="29"/>
        <v>-5460.6291231862424</v>
      </c>
    </row>
    <row r="253" spans="1:11" x14ac:dyDescent="0.25">
      <c r="A253" s="26">
        <v>203</v>
      </c>
      <c r="B253" s="82">
        <f t="shared" si="30"/>
        <v>0</v>
      </c>
      <c r="C253" s="58">
        <f t="shared" si="26"/>
        <v>171.9194128119324</v>
      </c>
      <c r="D253" s="83">
        <f t="shared" si="31"/>
        <v>733.33333333333326</v>
      </c>
      <c r="E253">
        <f t="shared" si="27"/>
        <v>0</v>
      </c>
      <c r="G253">
        <v>203</v>
      </c>
      <c r="H253" s="13">
        <f t="shared" si="32"/>
        <v>-1.0275684203264746E-2</v>
      </c>
      <c r="I253">
        <f t="shared" si="33"/>
        <v>169.83344891866966</v>
      </c>
      <c r="J253">
        <f t="shared" si="28"/>
        <v>728.96942790231321</v>
      </c>
      <c r="K253" s="27">
        <f t="shared" si="29"/>
        <v>-5460.2945520083931</v>
      </c>
    </row>
    <row r="254" spans="1:11" x14ac:dyDescent="0.25">
      <c r="A254" s="26">
        <v>204</v>
      </c>
      <c r="B254" s="82">
        <f t="shared" si="30"/>
        <v>0</v>
      </c>
      <c r="C254" s="58">
        <f t="shared" si="26"/>
        <v>171.9194128119324</v>
      </c>
      <c r="D254" s="83">
        <f t="shared" si="31"/>
        <v>733.33333333333326</v>
      </c>
      <c r="E254">
        <f t="shared" si="27"/>
        <v>0</v>
      </c>
      <c r="G254">
        <v>204</v>
      </c>
      <c r="H254" s="13">
        <f t="shared" si="32"/>
        <v>-1.0275684203264746E-2</v>
      </c>
      <c r="I254">
        <f t="shared" si="33"/>
        <v>169.8231732344664</v>
      </c>
      <c r="J254">
        <f t="shared" si="28"/>
        <v>728.94709096330359</v>
      </c>
      <c r="K254" s="27">
        <f t="shared" si="29"/>
        <v>-5459.9598597513695</v>
      </c>
    </row>
    <row r="255" spans="1:11" x14ac:dyDescent="0.25">
      <c r="A255" s="26">
        <v>205</v>
      </c>
      <c r="B255" s="82">
        <f t="shared" si="30"/>
        <v>0</v>
      </c>
      <c r="C255" s="58">
        <f t="shared" si="26"/>
        <v>171.9194128119324</v>
      </c>
      <c r="D255" s="83">
        <f t="shared" si="31"/>
        <v>733.33333333333326</v>
      </c>
      <c r="E255">
        <f t="shared" si="27"/>
        <v>0</v>
      </c>
      <c r="G255">
        <v>205</v>
      </c>
      <c r="H255" s="13">
        <f t="shared" si="32"/>
        <v>-1.0275684203264746E-2</v>
      </c>
      <c r="I255">
        <f t="shared" si="33"/>
        <v>169.81289755026313</v>
      </c>
      <c r="J255">
        <f t="shared" si="28"/>
        <v>728.92474525344562</v>
      </c>
      <c r="K255" s="27">
        <f t="shared" si="29"/>
        <v>-5459.6250462995204</v>
      </c>
    </row>
    <row r="256" spans="1:11" x14ac:dyDescent="0.25">
      <c r="A256" s="26">
        <v>206</v>
      </c>
      <c r="B256" s="82">
        <f t="shared" si="30"/>
        <v>0</v>
      </c>
      <c r="C256" s="58">
        <f t="shared" si="26"/>
        <v>171.9194128119324</v>
      </c>
      <c r="D256" s="83">
        <f t="shared" si="31"/>
        <v>733.33333333333326</v>
      </c>
      <c r="E256">
        <f t="shared" si="27"/>
        <v>0</v>
      </c>
      <c r="G256">
        <v>206</v>
      </c>
      <c r="H256" s="13">
        <f t="shared" si="32"/>
        <v>-1.0275684203264746E-2</v>
      </c>
      <c r="I256">
        <f t="shared" si="33"/>
        <v>169.80262186605987</v>
      </c>
      <c r="J256">
        <f t="shared" si="28"/>
        <v>728.90239076420573</v>
      </c>
      <c r="K256" s="27">
        <f t="shared" si="29"/>
        <v>-5459.2901115370005</v>
      </c>
    </row>
    <row r="257" spans="1:11" x14ac:dyDescent="0.25">
      <c r="A257" s="26">
        <v>207</v>
      </c>
      <c r="B257" s="82">
        <f t="shared" si="30"/>
        <v>0</v>
      </c>
      <c r="C257" s="58">
        <f t="shared" si="26"/>
        <v>171.9194128119324</v>
      </c>
      <c r="D257" s="83">
        <f t="shared" si="31"/>
        <v>733.33333333333326</v>
      </c>
      <c r="E257">
        <f t="shared" si="27"/>
        <v>0</v>
      </c>
      <c r="G257">
        <v>207</v>
      </c>
      <c r="H257" s="13">
        <f t="shared" si="32"/>
        <v>-1.0275684203264746E-2</v>
      </c>
      <c r="I257">
        <f t="shared" si="33"/>
        <v>169.7923461818566</v>
      </c>
      <c r="J257">
        <f t="shared" si="28"/>
        <v>728.88002748703616</v>
      </c>
      <c r="K257" s="27">
        <f t="shared" si="29"/>
        <v>-5458.955055347772</v>
      </c>
    </row>
    <row r="258" spans="1:11" x14ac:dyDescent="0.25">
      <c r="A258" s="26">
        <v>208</v>
      </c>
      <c r="B258" s="82">
        <f t="shared" si="30"/>
        <v>0</v>
      </c>
      <c r="C258" s="58">
        <f t="shared" si="26"/>
        <v>171.9194128119324</v>
      </c>
      <c r="D258" s="83">
        <f t="shared" si="31"/>
        <v>733.33333333333326</v>
      </c>
      <c r="E258">
        <f t="shared" si="27"/>
        <v>0</v>
      </c>
      <c r="G258">
        <v>208</v>
      </c>
      <c r="H258" s="13">
        <f t="shared" si="32"/>
        <v>-1.0275684203264746E-2</v>
      </c>
      <c r="I258">
        <f t="shared" si="33"/>
        <v>169.78207049765334</v>
      </c>
      <c r="J258">
        <f t="shared" si="28"/>
        <v>728.85765541337469</v>
      </c>
      <c r="K258" s="27">
        <f t="shared" si="29"/>
        <v>-5458.619877615597</v>
      </c>
    </row>
    <row r="259" spans="1:11" x14ac:dyDescent="0.25">
      <c r="A259" s="26">
        <v>209</v>
      </c>
      <c r="B259" s="82">
        <f t="shared" si="30"/>
        <v>0</v>
      </c>
      <c r="C259" s="58">
        <f t="shared" si="26"/>
        <v>171.9194128119324</v>
      </c>
      <c r="D259" s="83">
        <f t="shared" si="31"/>
        <v>733.33333333333326</v>
      </c>
      <c r="E259">
        <f t="shared" si="27"/>
        <v>0</v>
      </c>
      <c r="G259">
        <v>209</v>
      </c>
      <c r="H259" s="13">
        <f t="shared" si="32"/>
        <v>-1.0275684203264746E-2</v>
      </c>
      <c r="I259">
        <f t="shared" si="33"/>
        <v>169.77179481345007</v>
      </c>
      <c r="J259">
        <f t="shared" si="28"/>
        <v>728.83527453464444</v>
      </c>
      <c r="K259" s="27">
        <f t="shared" si="29"/>
        <v>-5458.2845782240447</v>
      </c>
    </row>
    <row r="260" spans="1:11" x14ac:dyDescent="0.25">
      <c r="A260" s="26">
        <v>210</v>
      </c>
      <c r="B260" s="82">
        <f t="shared" si="30"/>
        <v>0</v>
      </c>
      <c r="C260" s="58">
        <f t="shared" si="26"/>
        <v>171.9194128119324</v>
      </c>
      <c r="D260" s="83">
        <f t="shared" si="31"/>
        <v>733.33333333333326</v>
      </c>
      <c r="E260">
        <f t="shared" si="27"/>
        <v>0</v>
      </c>
      <c r="G260">
        <v>210</v>
      </c>
      <c r="H260" s="13">
        <f t="shared" si="32"/>
        <v>-1.0275684203264746E-2</v>
      </c>
      <c r="I260">
        <f t="shared" si="33"/>
        <v>169.76151912924681</v>
      </c>
      <c r="J260">
        <f t="shared" si="28"/>
        <v>728.81288484225411</v>
      </c>
      <c r="K260" s="27">
        <f t="shared" si="29"/>
        <v>-5457.9491570564805</v>
      </c>
    </row>
    <row r="261" spans="1:11" x14ac:dyDescent="0.25">
      <c r="A261" s="26">
        <v>211</v>
      </c>
      <c r="B261" s="82">
        <f t="shared" si="30"/>
        <v>0</v>
      </c>
      <c r="C261" s="58">
        <f t="shared" si="26"/>
        <v>171.9194128119324</v>
      </c>
      <c r="D261" s="83">
        <f t="shared" si="31"/>
        <v>733.33333333333326</v>
      </c>
      <c r="E261">
        <f t="shared" si="27"/>
        <v>0</v>
      </c>
      <c r="G261">
        <v>211</v>
      </c>
      <c r="H261" s="13">
        <f t="shared" si="32"/>
        <v>-1.0275684203264746E-2</v>
      </c>
      <c r="I261">
        <f t="shared" si="33"/>
        <v>169.75124344504354</v>
      </c>
      <c r="J261">
        <f t="shared" si="28"/>
        <v>728.79048632759759</v>
      </c>
      <c r="K261" s="27">
        <f t="shared" si="29"/>
        <v>-5457.6136139960754</v>
      </c>
    </row>
    <row r="262" spans="1:11" x14ac:dyDescent="0.25">
      <c r="A262" s="26">
        <v>212</v>
      </c>
      <c r="B262" s="82">
        <f t="shared" si="30"/>
        <v>0</v>
      </c>
      <c r="C262" s="58">
        <f t="shared" si="26"/>
        <v>171.9194128119324</v>
      </c>
      <c r="D262" s="83">
        <f t="shared" si="31"/>
        <v>733.33333333333326</v>
      </c>
      <c r="E262">
        <f t="shared" si="27"/>
        <v>0</v>
      </c>
      <c r="G262">
        <v>212</v>
      </c>
      <c r="H262" s="13">
        <f t="shared" si="32"/>
        <v>-1.0275684203264746E-2</v>
      </c>
      <c r="I262">
        <f t="shared" si="33"/>
        <v>169.74096776084028</v>
      </c>
      <c r="J262">
        <f t="shared" si="28"/>
        <v>728.76807898205459</v>
      </c>
      <c r="K262" s="27">
        <f t="shared" si="29"/>
        <v>-5457.2779489258037</v>
      </c>
    </row>
    <row r="263" spans="1:11" x14ac:dyDescent="0.25">
      <c r="A263" s="26">
        <v>213</v>
      </c>
      <c r="B263" s="82">
        <f t="shared" si="30"/>
        <v>0</v>
      </c>
      <c r="C263" s="58">
        <f t="shared" si="26"/>
        <v>171.9194128119324</v>
      </c>
      <c r="D263" s="83">
        <f t="shared" si="31"/>
        <v>733.33333333333326</v>
      </c>
      <c r="E263">
        <f t="shared" si="27"/>
        <v>0</v>
      </c>
      <c r="G263">
        <v>213</v>
      </c>
      <c r="H263" s="13">
        <f t="shared" si="32"/>
        <v>-1.0275684203264746E-2</v>
      </c>
      <c r="I263">
        <f t="shared" si="33"/>
        <v>169.73069207663701</v>
      </c>
      <c r="J263">
        <f t="shared" si="28"/>
        <v>728.74566279698979</v>
      </c>
      <c r="K263" s="27">
        <f t="shared" si="29"/>
        <v>-5456.9421617284388</v>
      </c>
    </row>
    <row r="264" spans="1:11" x14ac:dyDescent="0.25">
      <c r="A264" s="26">
        <v>214</v>
      </c>
      <c r="B264" s="82">
        <f t="shared" si="30"/>
        <v>0</v>
      </c>
      <c r="C264" s="58">
        <f t="shared" si="26"/>
        <v>171.9194128119324</v>
      </c>
      <c r="D264" s="83">
        <f t="shared" si="31"/>
        <v>733.33333333333326</v>
      </c>
      <c r="E264">
        <f t="shared" si="27"/>
        <v>0</v>
      </c>
      <c r="G264">
        <v>214</v>
      </c>
      <c r="H264" s="13">
        <f t="shared" si="32"/>
        <v>-1.0275684203264746E-2</v>
      </c>
      <c r="I264">
        <f t="shared" si="33"/>
        <v>169.72041639243375</v>
      </c>
      <c r="J264">
        <f t="shared" si="28"/>
        <v>728.72323776375345</v>
      </c>
      <c r="K264" s="27">
        <f t="shared" si="29"/>
        <v>-5456.6062522865568</v>
      </c>
    </row>
    <row r="265" spans="1:11" x14ac:dyDescent="0.25">
      <c r="A265" s="26">
        <v>215</v>
      </c>
      <c r="B265" s="82">
        <f t="shared" si="30"/>
        <v>0</v>
      </c>
      <c r="C265" s="58">
        <f t="shared" si="26"/>
        <v>171.9194128119324</v>
      </c>
      <c r="D265" s="83">
        <f t="shared" si="31"/>
        <v>733.33333333333326</v>
      </c>
      <c r="E265">
        <f t="shared" si="27"/>
        <v>0</v>
      </c>
      <c r="G265">
        <v>215</v>
      </c>
      <c r="H265" s="13">
        <f t="shared" si="32"/>
        <v>-1.0275684203264746E-2</v>
      </c>
      <c r="I265">
        <f t="shared" si="33"/>
        <v>169.71014070823048</v>
      </c>
      <c r="J265">
        <f t="shared" si="28"/>
        <v>728.70080387368091</v>
      </c>
      <c r="K265" s="27">
        <f t="shared" si="29"/>
        <v>-5456.27022048253</v>
      </c>
    </row>
    <row r="266" spans="1:11" x14ac:dyDescent="0.25">
      <c r="A266" s="26">
        <v>216</v>
      </c>
      <c r="B266" s="82">
        <f t="shared" si="30"/>
        <v>0</v>
      </c>
      <c r="C266" s="58">
        <f t="shared" si="26"/>
        <v>171.9194128119324</v>
      </c>
      <c r="D266" s="83">
        <f t="shared" si="31"/>
        <v>733.33333333333326</v>
      </c>
      <c r="E266">
        <f t="shared" si="27"/>
        <v>0</v>
      </c>
      <c r="G266">
        <v>216</v>
      </c>
      <c r="H266" s="13">
        <f t="shared" si="32"/>
        <v>-1.0275684203264746E-2</v>
      </c>
      <c r="I266">
        <f t="shared" si="33"/>
        <v>169.69986502402722</v>
      </c>
      <c r="J266">
        <f t="shared" si="28"/>
        <v>728.67836111809311</v>
      </c>
      <c r="K266" s="27">
        <f t="shared" si="29"/>
        <v>-5455.9340661985343</v>
      </c>
    </row>
    <row r="267" spans="1:11" x14ac:dyDescent="0.25">
      <c r="A267" s="26">
        <v>217</v>
      </c>
      <c r="B267" s="82">
        <f t="shared" si="30"/>
        <v>0</v>
      </c>
      <c r="C267" s="58">
        <f t="shared" si="26"/>
        <v>171.9194128119324</v>
      </c>
      <c r="D267" s="83">
        <f t="shared" si="31"/>
        <v>733.33333333333326</v>
      </c>
      <c r="E267">
        <f t="shared" si="27"/>
        <v>0</v>
      </c>
      <c r="G267">
        <v>217</v>
      </c>
      <c r="H267" s="13">
        <f t="shared" si="32"/>
        <v>-1.0275684203264746E-2</v>
      </c>
      <c r="I267">
        <f t="shared" si="33"/>
        <v>169.68958933982395</v>
      </c>
      <c r="J267">
        <f t="shared" si="28"/>
        <v>728.65590948829561</v>
      </c>
      <c r="K267" s="27">
        <f t="shared" si="29"/>
        <v>-5455.5977893165445</v>
      </c>
    </row>
    <row r="268" spans="1:11" x14ac:dyDescent="0.25">
      <c r="A268" s="26">
        <v>218</v>
      </c>
      <c r="B268" s="82">
        <f t="shared" si="30"/>
        <v>0</v>
      </c>
      <c r="C268" s="58">
        <f t="shared" si="26"/>
        <v>171.9194128119324</v>
      </c>
      <c r="D268" s="83">
        <f t="shared" si="31"/>
        <v>733.33333333333326</v>
      </c>
      <c r="E268">
        <f t="shared" si="27"/>
        <v>0</v>
      </c>
      <c r="G268">
        <v>218</v>
      </c>
      <c r="H268" s="13">
        <f t="shared" si="32"/>
        <v>-1.0275684203264746E-2</v>
      </c>
      <c r="I268">
        <f t="shared" si="33"/>
        <v>169.67931365562069</v>
      </c>
      <c r="J268">
        <f t="shared" si="28"/>
        <v>728.63344897557977</v>
      </c>
      <c r="K268" s="27">
        <f t="shared" si="29"/>
        <v>-5455.2613897183319</v>
      </c>
    </row>
    <row r="269" spans="1:11" x14ac:dyDescent="0.25">
      <c r="A269" s="26">
        <v>219</v>
      </c>
      <c r="B269" s="82">
        <f t="shared" si="30"/>
        <v>0</v>
      </c>
      <c r="C269" s="58">
        <f t="shared" si="26"/>
        <v>171.9194128119324</v>
      </c>
      <c r="D269" s="83">
        <f t="shared" si="31"/>
        <v>733.33333333333326</v>
      </c>
      <c r="E269">
        <f t="shared" si="27"/>
        <v>0</v>
      </c>
      <c r="G269">
        <v>219</v>
      </c>
      <c r="H269" s="13">
        <f t="shared" si="32"/>
        <v>-1.0275684203264746E-2</v>
      </c>
      <c r="I269">
        <f t="shared" si="33"/>
        <v>169.66903797141742</v>
      </c>
      <c r="J269">
        <f t="shared" si="28"/>
        <v>728.61097957122183</v>
      </c>
      <c r="K269" s="27">
        <f t="shared" si="29"/>
        <v>-5454.9248672854674</v>
      </c>
    </row>
    <row r="270" spans="1:11" x14ac:dyDescent="0.25">
      <c r="A270" s="26">
        <v>220</v>
      </c>
      <c r="B270" s="82">
        <f t="shared" si="30"/>
        <v>0</v>
      </c>
      <c r="C270" s="58">
        <f t="shared" si="26"/>
        <v>171.9194128119324</v>
      </c>
      <c r="D270" s="83">
        <f t="shared" si="31"/>
        <v>733.33333333333326</v>
      </c>
      <c r="E270">
        <f t="shared" si="27"/>
        <v>0</v>
      </c>
      <c r="G270">
        <v>220</v>
      </c>
      <c r="H270" s="13">
        <f t="shared" si="32"/>
        <v>-1.0275684203264746E-2</v>
      </c>
      <c r="I270">
        <f t="shared" si="33"/>
        <v>169.65876228721416</v>
      </c>
      <c r="J270">
        <f t="shared" si="28"/>
        <v>728.58850126648304</v>
      </c>
      <c r="K270" s="27">
        <f t="shared" si="29"/>
        <v>-5454.5882218993193</v>
      </c>
    </row>
    <row r="271" spans="1:11" x14ac:dyDescent="0.25">
      <c r="A271" s="26">
        <v>221</v>
      </c>
      <c r="B271" s="82">
        <f t="shared" si="30"/>
        <v>0</v>
      </c>
      <c r="C271" s="58">
        <f t="shared" si="26"/>
        <v>171.9194128119324</v>
      </c>
      <c r="D271" s="83">
        <f t="shared" si="31"/>
        <v>733.33333333333326</v>
      </c>
      <c r="E271">
        <f t="shared" si="27"/>
        <v>0</v>
      </c>
      <c r="G271">
        <v>221</v>
      </c>
      <c r="H271" s="13">
        <f t="shared" si="32"/>
        <v>-1.0275684203264746E-2</v>
      </c>
      <c r="I271">
        <f t="shared" si="33"/>
        <v>169.64848660301089</v>
      </c>
      <c r="J271">
        <f t="shared" si="28"/>
        <v>728.56601405260994</v>
      </c>
      <c r="K271" s="27">
        <f t="shared" si="29"/>
        <v>-5454.2514534410575</v>
      </c>
    </row>
    <row r="272" spans="1:11" x14ac:dyDescent="0.25">
      <c r="A272" s="26">
        <v>222</v>
      </c>
      <c r="B272" s="82">
        <f t="shared" si="30"/>
        <v>0</v>
      </c>
      <c r="C272" s="58">
        <f t="shared" ref="C272:C335" si="34">($C$37-$C$36)/2000+C271</f>
        <v>171.9194128119324</v>
      </c>
      <c r="D272" s="83">
        <f t="shared" si="31"/>
        <v>733.33333333333326</v>
      </c>
      <c r="E272">
        <f t="shared" si="27"/>
        <v>0</v>
      </c>
      <c r="G272">
        <v>222</v>
      </c>
      <c r="H272" s="13">
        <f t="shared" si="32"/>
        <v>-1.0275684203264746E-2</v>
      </c>
      <c r="I272">
        <f t="shared" si="33"/>
        <v>169.63821091880763</v>
      </c>
      <c r="J272">
        <f t="shared" si="28"/>
        <v>728.54351792083401</v>
      </c>
      <c r="K272" s="27">
        <f t="shared" si="29"/>
        <v>-5453.9145617916392</v>
      </c>
    </row>
    <row r="273" spans="1:11" x14ac:dyDescent="0.25">
      <c r="A273" s="26">
        <v>223</v>
      </c>
      <c r="B273" s="82">
        <f t="shared" si="30"/>
        <v>0</v>
      </c>
      <c r="C273" s="58">
        <f t="shared" si="34"/>
        <v>171.9194128119324</v>
      </c>
      <c r="D273" s="83">
        <f t="shared" si="31"/>
        <v>733.33333333333326</v>
      </c>
      <c r="E273">
        <f t="shared" si="27"/>
        <v>0</v>
      </c>
      <c r="G273">
        <v>223</v>
      </c>
      <c r="H273" s="13">
        <f t="shared" si="32"/>
        <v>-1.0275684203264746E-2</v>
      </c>
      <c r="I273">
        <f t="shared" si="33"/>
        <v>169.62793523460437</v>
      </c>
      <c r="J273">
        <f t="shared" si="28"/>
        <v>728.52101286237166</v>
      </c>
      <c r="K273" s="27">
        <f t="shared" si="29"/>
        <v>-5453.5775468318288</v>
      </c>
    </row>
    <row r="274" spans="1:11" x14ac:dyDescent="0.25">
      <c r="A274" s="26">
        <v>224</v>
      </c>
      <c r="B274" s="82">
        <f t="shared" si="30"/>
        <v>0</v>
      </c>
      <c r="C274" s="58">
        <f t="shared" si="34"/>
        <v>171.9194128119324</v>
      </c>
      <c r="D274" s="83">
        <f t="shared" si="31"/>
        <v>733.33333333333326</v>
      </c>
      <c r="E274">
        <f t="shared" si="27"/>
        <v>0</v>
      </c>
      <c r="G274">
        <v>224</v>
      </c>
      <c r="H274" s="13">
        <f t="shared" si="32"/>
        <v>-1.0275684203264746E-2</v>
      </c>
      <c r="I274">
        <f t="shared" si="33"/>
        <v>169.6176595504011</v>
      </c>
      <c r="J274">
        <f t="shared" si="28"/>
        <v>728.49849886842446</v>
      </c>
      <c r="K274" s="27">
        <f t="shared" si="29"/>
        <v>-5453.2404084421796</v>
      </c>
    </row>
    <row r="275" spans="1:11" x14ac:dyDescent="0.25">
      <c r="A275" s="26">
        <v>225</v>
      </c>
      <c r="B275" s="82">
        <f t="shared" si="30"/>
        <v>0</v>
      </c>
      <c r="C275" s="58">
        <f t="shared" si="34"/>
        <v>171.9194128119324</v>
      </c>
      <c r="D275" s="83">
        <f t="shared" si="31"/>
        <v>733.33333333333326</v>
      </c>
      <c r="E275">
        <f t="shared" si="27"/>
        <v>0</v>
      </c>
      <c r="G275">
        <v>225</v>
      </c>
      <c r="H275" s="13">
        <f t="shared" si="32"/>
        <v>-1.0275684203264746E-2</v>
      </c>
      <c r="I275">
        <f t="shared" si="33"/>
        <v>169.60738386619784</v>
      </c>
      <c r="J275">
        <f t="shared" si="28"/>
        <v>728.47597593017872</v>
      </c>
      <c r="K275" s="27">
        <f t="shared" si="29"/>
        <v>-5452.903146503043</v>
      </c>
    </row>
    <row r="276" spans="1:11" x14ac:dyDescent="0.25">
      <c r="A276" s="26">
        <v>226</v>
      </c>
      <c r="B276" s="82">
        <f t="shared" si="30"/>
        <v>0</v>
      </c>
      <c r="C276" s="58">
        <f t="shared" si="34"/>
        <v>171.9194128119324</v>
      </c>
      <c r="D276" s="83">
        <f t="shared" si="31"/>
        <v>733.33333333333326</v>
      </c>
      <c r="E276">
        <f t="shared" si="27"/>
        <v>0</v>
      </c>
      <c r="G276">
        <v>226</v>
      </c>
      <c r="H276" s="13">
        <f t="shared" si="32"/>
        <v>-1.0275684203264746E-2</v>
      </c>
      <c r="I276">
        <f t="shared" si="33"/>
        <v>169.59710818199457</v>
      </c>
      <c r="J276">
        <f t="shared" si="28"/>
        <v>728.45344403880586</v>
      </c>
      <c r="K276" s="27">
        <f t="shared" si="29"/>
        <v>-5452.565760894563</v>
      </c>
    </row>
    <row r="277" spans="1:11" x14ac:dyDescent="0.25">
      <c r="A277" s="26">
        <v>227</v>
      </c>
      <c r="B277" s="82">
        <f t="shared" si="30"/>
        <v>0</v>
      </c>
      <c r="C277" s="58">
        <f t="shared" si="34"/>
        <v>171.9194128119324</v>
      </c>
      <c r="D277" s="83">
        <f t="shared" si="31"/>
        <v>733.33333333333326</v>
      </c>
      <c r="E277">
        <f t="shared" si="27"/>
        <v>0</v>
      </c>
      <c r="G277">
        <v>227</v>
      </c>
      <c r="H277" s="13">
        <f t="shared" si="32"/>
        <v>-1.0275684203264746E-2</v>
      </c>
      <c r="I277">
        <f t="shared" si="33"/>
        <v>169.58683249779131</v>
      </c>
      <c r="J277">
        <f t="shared" si="28"/>
        <v>728.43090318546183</v>
      </c>
      <c r="K277" s="27">
        <f t="shared" si="29"/>
        <v>-5452.2282514966801</v>
      </c>
    </row>
    <row r="278" spans="1:11" x14ac:dyDescent="0.25">
      <c r="A278" s="26">
        <v>228</v>
      </c>
      <c r="B278" s="82">
        <f t="shared" si="30"/>
        <v>0</v>
      </c>
      <c r="C278" s="58">
        <f t="shared" si="34"/>
        <v>171.9194128119324</v>
      </c>
      <c r="D278" s="83">
        <f t="shared" si="31"/>
        <v>733.33333333333326</v>
      </c>
      <c r="E278">
        <f t="shared" si="27"/>
        <v>0</v>
      </c>
      <c r="G278">
        <v>228</v>
      </c>
      <c r="H278" s="13">
        <f t="shared" si="32"/>
        <v>-1.0275684203264746E-2</v>
      </c>
      <c r="I278">
        <f t="shared" si="33"/>
        <v>169.57655681358804</v>
      </c>
      <c r="J278">
        <f t="shared" si="28"/>
        <v>728.40835336128771</v>
      </c>
      <c r="K278" s="27">
        <f t="shared" si="29"/>
        <v>-5451.8906181891289</v>
      </c>
    </row>
    <row r="279" spans="1:11" x14ac:dyDescent="0.25">
      <c r="A279" s="26">
        <v>229</v>
      </c>
      <c r="B279" s="82">
        <f t="shared" si="30"/>
        <v>0</v>
      </c>
      <c r="C279" s="58">
        <f t="shared" si="34"/>
        <v>171.9194128119324</v>
      </c>
      <c r="D279" s="83">
        <f t="shared" si="31"/>
        <v>733.33333333333326</v>
      </c>
      <c r="E279">
        <f t="shared" si="27"/>
        <v>0</v>
      </c>
      <c r="G279">
        <v>229</v>
      </c>
      <c r="H279" s="13">
        <f t="shared" si="32"/>
        <v>-1.0275684203264746E-2</v>
      </c>
      <c r="I279">
        <f t="shared" si="33"/>
        <v>169.56628112938478</v>
      </c>
      <c r="J279">
        <f t="shared" si="28"/>
        <v>728.38579455740933</v>
      </c>
      <c r="K279" s="27">
        <f t="shared" si="29"/>
        <v>-5451.5528608514369</v>
      </c>
    </row>
    <row r="280" spans="1:11" x14ac:dyDescent="0.25">
      <c r="A280" s="26">
        <v>230</v>
      </c>
      <c r="B280" s="82">
        <f t="shared" si="30"/>
        <v>0</v>
      </c>
      <c r="C280" s="58">
        <f t="shared" si="34"/>
        <v>171.9194128119324</v>
      </c>
      <c r="D280" s="83">
        <f t="shared" si="31"/>
        <v>733.33333333333326</v>
      </c>
      <c r="E280">
        <f t="shared" si="27"/>
        <v>0</v>
      </c>
      <c r="G280">
        <v>230</v>
      </c>
      <c r="H280" s="13">
        <f t="shared" si="32"/>
        <v>-1.0275684203264746E-2</v>
      </c>
      <c r="I280">
        <f t="shared" si="33"/>
        <v>169.55600544518151</v>
      </c>
      <c r="J280">
        <f t="shared" si="28"/>
        <v>728.36322676493705</v>
      </c>
      <c r="K280" s="27">
        <f t="shared" si="29"/>
        <v>-5451.2149793629214</v>
      </c>
    </row>
    <row r="281" spans="1:11" x14ac:dyDescent="0.25">
      <c r="A281" s="26">
        <v>231</v>
      </c>
      <c r="B281" s="82">
        <f t="shared" si="30"/>
        <v>0</v>
      </c>
      <c r="C281" s="58">
        <f t="shared" si="34"/>
        <v>171.9194128119324</v>
      </c>
      <c r="D281" s="83">
        <f t="shared" si="31"/>
        <v>733.33333333333326</v>
      </c>
      <c r="E281">
        <f t="shared" si="27"/>
        <v>0</v>
      </c>
      <c r="G281">
        <v>231</v>
      </c>
      <c r="H281" s="13">
        <f t="shared" si="32"/>
        <v>-1.0275684203264746E-2</v>
      </c>
      <c r="I281">
        <f t="shared" si="33"/>
        <v>169.54572976097825</v>
      </c>
      <c r="J281">
        <f t="shared" si="28"/>
        <v>728.34064997496614</v>
      </c>
      <c r="K281" s="27">
        <f t="shared" si="29"/>
        <v>-5450.8769736026989</v>
      </c>
    </row>
    <row r="282" spans="1:11" x14ac:dyDescent="0.25">
      <c r="A282" s="26">
        <v>232</v>
      </c>
      <c r="B282" s="82">
        <f t="shared" si="30"/>
        <v>0</v>
      </c>
      <c r="C282" s="58">
        <f t="shared" si="34"/>
        <v>171.9194128119324</v>
      </c>
      <c r="D282" s="83">
        <f t="shared" si="31"/>
        <v>733.33333333333326</v>
      </c>
      <c r="E282">
        <f t="shared" si="27"/>
        <v>0</v>
      </c>
      <c r="G282">
        <v>232</v>
      </c>
      <c r="H282" s="13">
        <f t="shared" si="32"/>
        <v>-1.0275684203264746E-2</v>
      </c>
      <c r="I282">
        <f t="shared" si="33"/>
        <v>169.53545407677498</v>
      </c>
      <c r="J282">
        <f t="shared" si="28"/>
        <v>728.31806417857661</v>
      </c>
      <c r="K282" s="27">
        <f t="shared" si="29"/>
        <v>-5450.5388434496717</v>
      </c>
    </row>
    <row r="283" spans="1:11" x14ac:dyDescent="0.25">
      <c r="A283" s="26">
        <v>233</v>
      </c>
      <c r="B283" s="82">
        <f t="shared" si="30"/>
        <v>0</v>
      </c>
      <c r="C283" s="58">
        <f t="shared" si="34"/>
        <v>171.9194128119324</v>
      </c>
      <c r="D283" s="83">
        <f t="shared" si="31"/>
        <v>733.33333333333326</v>
      </c>
      <c r="E283">
        <f t="shared" si="27"/>
        <v>0</v>
      </c>
      <c r="G283">
        <v>233</v>
      </c>
      <c r="H283" s="13">
        <f t="shared" si="32"/>
        <v>-1.0275684203264746E-2</v>
      </c>
      <c r="I283">
        <f t="shared" si="33"/>
        <v>169.52517839257172</v>
      </c>
      <c r="J283">
        <f t="shared" si="28"/>
        <v>728.29546936683289</v>
      </c>
      <c r="K283" s="27">
        <f t="shared" si="29"/>
        <v>-5450.2005887825371</v>
      </c>
    </row>
    <row r="284" spans="1:11" x14ac:dyDescent="0.25">
      <c r="A284" s="26">
        <v>234</v>
      </c>
      <c r="B284" s="82">
        <f t="shared" si="30"/>
        <v>0</v>
      </c>
      <c r="C284" s="58">
        <f t="shared" si="34"/>
        <v>171.9194128119324</v>
      </c>
      <c r="D284" s="83">
        <f t="shared" si="31"/>
        <v>733.33333333333326</v>
      </c>
      <c r="E284">
        <f t="shared" si="27"/>
        <v>0</v>
      </c>
      <c r="G284">
        <v>234</v>
      </c>
      <c r="H284" s="13">
        <f t="shared" si="32"/>
        <v>-1.0275684203264746E-2</v>
      </c>
      <c r="I284">
        <f t="shared" si="33"/>
        <v>169.51490270836845</v>
      </c>
      <c r="J284">
        <f t="shared" si="28"/>
        <v>728.2728655307842</v>
      </c>
      <c r="K284" s="27">
        <f t="shared" si="29"/>
        <v>-5449.8622094797784</v>
      </c>
    </row>
    <row r="285" spans="1:11" x14ac:dyDescent="0.25">
      <c r="A285" s="26">
        <v>235</v>
      </c>
      <c r="B285" s="82">
        <f t="shared" si="30"/>
        <v>0</v>
      </c>
      <c r="C285" s="58">
        <f t="shared" si="34"/>
        <v>171.9194128119324</v>
      </c>
      <c r="D285" s="83">
        <f t="shared" si="31"/>
        <v>733.33333333333326</v>
      </c>
      <c r="E285">
        <f t="shared" si="27"/>
        <v>0</v>
      </c>
      <c r="G285">
        <v>235</v>
      </c>
      <c r="H285" s="13">
        <f t="shared" si="32"/>
        <v>-1.0275684203264746E-2</v>
      </c>
      <c r="I285">
        <f t="shared" si="33"/>
        <v>169.50462702416519</v>
      </c>
      <c r="J285">
        <f t="shared" si="28"/>
        <v>728.25025266146417</v>
      </c>
      <c r="K285" s="27">
        <f t="shared" si="29"/>
        <v>-5449.5237054196768</v>
      </c>
    </row>
    <row r="286" spans="1:11" x14ac:dyDescent="0.25">
      <c r="A286" s="26">
        <v>236</v>
      </c>
      <c r="B286" s="82">
        <f t="shared" si="30"/>
        <v>0</v>
      </c>
      <c r="C286" s="58">
        <f t="shared" si="34"/>
        <v>171.9194128119324</v>
      </c>
      <c r="D286" s="83">
        <f t="shared" si="31"/>
        <v>733.33333333333326</v>
      </c>
      <c r="E286">
        <f t="shared" si="27"/>
        <v>0</v>
      </c>
      <c r="G286">
        <v>236</v>
      </c>
      <c r="H286" s="13">
        <f t="shared" si="32"/>
        <v>-1.0275684203264746E-2</v>
      </c>
      <c r="I286">
        <f t="shared" si="33"/>
        <v>169.49435133996192</v>
      </c>
      <c r="J286">
        <f t="shared" si="28"/>
        <v>728.22763074989098</v>
      </c>
      <c r="K286" s="27">
        <f t="shared" si="29"/>
        <v>-5449.1850764802975</v>
      </c>
    </row>
    <row r="287" spans="1:11" x14ac:dyDescent="0.25">
      <c r="A287" s="26">
        <v>237</v>
      </c>
      <c r="B287" s="82">
        <f t="shared" si="30"/>
        <v>0</v>
      </c>
      <c r="C287" s="58">
        <f t="shared" si="34"/>
        <v>171.9194128119324</v>
      </c>
      <c r="D287" s="83">
        <f t="shared" si="31"/>
        <v>733.33333333333326</v>
      </c>
      <c r="E287">
        <f t="shared" si="27"/>
        <v>0</v>
      </c>
      <c r="G287">
        <v>237</v>
      </c>
      <c r="H287" s="13">
        <f t="shared" si="32"/>
        <v>-1.0275684203264746E-2</v>
      </c>
      <c r="I287">
        <f t="shared" si="33"/>
        <v>169.48407565575866</v>
      </c>
      <c r="J287">
        <f t="shared" si="28"/>
        <v>728.20499978706755</v>
      </c>
      <c r="K287" s="27">
        <f t="shared" si="29"/>
        <v>-5448.8463225394971</v>
      </c>
    </row>
    <row r="288" spans="1:11" x14ac:dyDescent="0.25">
      <c r="A288" s="26">
        <v>238</v>
      </c>
      <c r="B288" s="82">
        <f t="shared" si="30"/>
        <v>0</v>
      </c>
      <c r="C288" s="58">
        <f t="shared" si="34"/>
        <v>171.9194128119324</v>
      </c>
      <c r="D288" s="83">
        <f t="shared" si="31"/>
        <v>733.33333333333326</v>
      </c>
      <c r="E288">
        <f t="shared" si="27"/>
        <v>0</v>
      </c>
      <c r="G288">
        <v>238</v>
      </c>
      <c r="H288" s="13">
        <f t="shared" si="32"/>
        <v>-1.0275684203264746E-2</v>
      </c>
      <c r="I288">
        <f t="shared" si="33"/>
        <v>169.47379997155539</v>
      </c>
      <c r="J288">
        <f t="shared" si="28"/>
        <v>728.18235976398091</v>
      </c>
      <c r="K288" s="27">
        <f t="shared" si="29"/>
        <v>-5448.5074434749204</v>
      </c>
    </row>
    <row r="289" spans="1:11" x14ac:dyDescent="0.25">
      <c r="A289" s="26">
        <v>239</v>
      </c>
      <c r="B289" s="82">
        <f t="shared" si="30"/>
        <v>0</v>
      </c>
      <c r="C289" s="58">
        <f t="shared" si="34"/>
        <v>171.9194128119324</v>
      </c>
      <c r="D289" s="83">
        <f t="shared" si="31"/>
        <v>733.33333333333326</v>
      </c>
      <c r="E289">
        <f t="shared" si="27"/>
        <v>0</v>
      </c>
      <c r="G289">
        <v>239</v>
      </c>
      <c r="H289" s="13">
        <f t="shared" si="32"/>
        <v>-1.0275684203264746E-2</v>
      </c>
      <c r="I289">
        <f t="shared" si="33"/>
        <v>169.46352428735213</v>
      </c>
      <c r="J289">
        <f t="shared" si="28"/>
        <v>728.15971067160262</v>
      </c>
      <c r="K289" s="27">
        <f t="shared" si="29"/>
        <v>-5448.1684391640019</v>
      </c>
    </row>
    <row r="290" spans="1:11" x14ac:dyDescent="0.25">
      <c r="A290" s="26">
        <v>240</v>
      </c>
      <c r="B290" s="82">
        <f t="shared" si="30"/>
        <v>0</v>
      </c>
      <c r="C290" s="58">
        <f t="shared" si="34"/>
        <v>171.9194128119324</v>
      </c>
      <c r="D290" s="83">
        <f t="shared" si="31"/>
        <v>733.33333333333326</v>
      </c>
      <c r="E290">
        <f t="shared" si="27"/>
        <v>0</v>
      </c>
      <c r="G290">
        <v>240</v>
      </c>
      <c r="H290" s="13">
        <f t="shared" si="32"/>
        <v>-1.0275684203264746E-2</v>
      </c>
      <c r="I290">
        <f t="shared" si="33"/>
        <v>169.45324860314886</v>
      </c>
      <c r="J290">
        <f t="shared" si="28"/>
        <v>728.1370525008889</v>
      </c>
      <c r="K290" s="27">
        <f t="shared" si="29"/>
        <v>-5447.8293094839619</v>
      </c>
    </row>
    <row r="291" spans="1:11" x14ac:dyDescent="0.25">
      <c r="A291" s="26">
        <v>241</v>
      </c>
      <c r="B291" s="82">
        <f t="shared" si="30"/>
        <v>0</v>
      </c>
      <c r="C291" s="58">
        <f t="shared" si="34"/>
        <v>171.9194128119324</v>
      </c>
      <c r="D291" s="83">
        <f t="shared" si="31"/>
        <v>733.33333333333326</v>
      </c>
      <c r="E291">
        <f t="shared" si="27"/>
        <v>0</v>
      </c>
      <c r="G291">
        <v>241</v>
      </c>
      <c r="H291" s="13">
        <f t="shared" si="32"/>
        <v>-1.0275684203264746E-2</v>
      </c>
      <c r="I291">
        <f t="shared" si="33"/>
        <v>169.4429729189456</v>
      </c>
      <c r="J291">
        <f t="shared" si="28"/>
        <v>728.11438524277969</v>
      </c>
      <c r="K291" s="27">
        <f t="shared" si="29"/>
        <v>-5447.490054311811</v>
      </c>
    </row>
    <row r="292" spans="1:11" x14ac:dyDescent="0.25">
      <c r="A292" s="26">
        <v>242</v>
      </c>
      <c r="B292" s="82">
        <f t="shared" si="30"/>
        <v>0</v>
      </c>
      <c r="C292" s="58">
        <f t="shared" si="34"/>
        <v>171.9194128119324</v>
      </c>
      <c r="D292" s="83">
        <f t="shared" si="31"/>
        <v>733.33333333333326</v>
      </c>
      <c r="E292">
        <f t="shared" si="27"/>
        <v>0</v>
      </c>
      <c r="G292">
        <v>242</v>
      </c>
      <c r="H292" s="13">
        <f t="shared" si="32"/>
        <v>-1.0275684203264746E-2</v>
      </c>
      <c r="I292">
        <f t="shared" si="33"/>
        <v>169.43269723474234</v>
      </c>
      <c r="J292">
        <f t="shared" si="28"/>
        <v>728.09170888819995</v>
      </c>
      <c r="K292" s="27">
        <f t="shared" si="29"/>
        <v>-5447.1506735243429</v>
      </c>
    </row>
    <row r="293" spans="1:11" x14ac:dyDescent="0.25">
      <c r="A293" s="26">
        <v>243</v>
      </c>
      <c r="B293" s="82">
        <f t="shared" si="30"/>
        <v>0</v>
      </c>
      <c r="C293" s="58">
        <f t="shared" si="34"/>
        <v>171.9194128119324</v>
      </c>
      <c r="D293" s="83">
        <f t="shared" si="31"/>
        <v>733.33333333333326</v>
      </c>
      <c r="E293">
        <f t="shared" si="27"/>
        <v>0</v>
      </c>
      <c r="G293">
        <v>243</v>
      </c>
      <c r="H293" s="13">
        <f t="shared" si="32"/>
        <v>-1.0275684203264746E-2</v>
      </c>
      <c r="I293">
        <f t="shared" si="33"/>
        <v>169.42242155053907</v>
      </c>
      <c r="J293">
        <f t="shared" si="28"/>
        <v>728.06902342805824</v>
      </c>
      <c r="K293" s="27">
        <f t="shared" si="29"/>
        <v>-5446.8111669981381</v>
      </c>
    </row>
    <row r="294" spans="1:11" x14ac:dyDescent="0.25">
      <c r="A294" s="26">
        <v>244</v>
      </c>
      <c r="B294" s="82">
        <f t="shared" si="30"/>
        <v>0</v>
      </c>
      <c r="C294" s="58">
        <f t="shared" si="34"/>
        <v>171.9194128119324</v>
      </c>
      <c r="D294" s="83">
        <f t="shared" si="31"/>
        <v>733.33333333333326</v>
      </c>
      <c r="E294">
        <f t="shared" si="27"/>
        <v>0</v>
      </c>
      <c r="G294">
        <v>244</v>
      </c>
      <c r="H294" s="13">
        <f t="shared" si="32"/>
        <v>-1.0275684203264746E-2</v>
      </c>
      <c r="I294">
        <f t="shared" si="33"/>
        <v>169.41214586633581</v>
      </c>
      <c r="J294">
        <f t="shared" si="28"/>
        <v>728.04632885324781</v>
      </c>
      <c r="K294" s="27">
        <f t="shared" si="29"/>
        <v>-5446.4715346095682</v>
      </c>
    </row>
    <row r="295" spans="1:11" x14ac:dyDescent="0.25">
      <c r="A295" s="26">
        <v>245</v>
      </c>
      <c r="B295" s="82">
        <f t="shared" si="30"/>
        <v>0</v>
      </c>
      <c r="C295" s="58">
        <f t="shared" si="34"/>
        <v>171.9194128119324</v>
      </c>
      <c r="D295" s="83">
        <f t="shared" si="31"/>
        <v>733.33333333333326</v>
      </c>
      <c r="E295">
        <f t="shared" si="27"/>
        <v>0</v>
      </c>
      <c r="G295">
        <v>245</v>
      </c>
      <c r="H295" s="13">
        <f t="shared" si="32"/>
        <v>-1.0275684203264746E-2</v>
      </c>
      <c r="I295">
        <f t="shared" si="33"/>
        <v>169.40187018213254</v>
      </c>
      <c r="J295">
        <f t="shared" si="28"/>
        <v>728.02362515464597</v>
      </c>
      <c r="K295" s="27">
        <f t="shared" si="29"/>
        <v>-5446.1317762347826</v>
      </c>
    </row>
    <row r="296" spans="1:11" x14ac:dyDescent="0.25">
      <c r="A296" s="26">
        <v>246</v>
      </c>
      <c r="B296" s="82">
        <f t="shared" si="30"/>
        <v>0</v>
      </c>
      <c r="C296" s="58">
        <f t="shared" si="34"/>
        <v>171.9194128119324</v>
      </c>
      <c r="D296" s="83">
        <f t="shared" si="31"/>
        <v>733.33333333333326</v>
      </c>
      <c r="E296">
        <f t="shared" si="27"/>
        <v>0</v>
      </c>
      <c r="G296">
        <v>246</v>
      </c>
      <c r="H296" s="13">
        <f t="shared" si="32"/>
        <v>-1.0275684203264746E-2</v>
      </c>
      <c r="I296">
        <f t="shared" si="33"/>
        <v>169.39159449792928</v>
      </c>
      <c r="J296">
        <f t="shared" si="28"/>
        <v>728.00091232311411</v>
      </c>
      <c r="K296" s="27">
        <f t="shared" si="29"/>
        <v>-5445.79189174972</v>
      </c>
    </row>
    <row r="297" spans="1:11" x14ac:dyDescent="0.25">
      <c r="A297" s="26">
        <v>247</v>
      </c>
      <c r="B297" s="82">
        <f t="shared" si="30"/>
        <v>0</v>
      </c>
      <c r="C297" s="58">
        <f t="shared" si="34"/>
        <v>171.9194128119324</v>
      </c>
      <c r="D297" s="83">
        <f t="shared" si="31"/>
        <v>733.33333333333326</v>
      </c>
      <c r="E297">
        <f t="shared" si="27"/>
        <v>0</v>
      </c>
      <c r="G297">
        <v>247</v>
      </c>
      <c r="H297" s="13">
        <f t="shared" si="32"/>
        <v>-1.0275684203264746E-2</v>
      </c>
      <c r="I297">
        <f t="shared" si="33"/>
        <v>169.38131881372601</v>
      </c>
      <c r="J297">
        <f t="shared" si="28"/>
        <v>727.97819034949771</v>
      </c>
      <c r="K297" s="27">
        <f t="shared" si="29"/>
        <v>-5445.4518810301024</v>
      </c>
    </row>
    <row r="298" spans="1:11" x14ac:dyDescent="0.25">
      <c r="A298" s="26">
        <v>248</v>
      </c>
      <c r="B298" s="82">
        <f t="shared" si="30"/>
        <v>0</v>
      </c>
      <c r="C298" s="58">
        <f t="shared" si="34"/>
        <v>171.9194128119324</v>
      </c>
      <c r="D298" s="83">
        <f t="shared" si="31"/>
        <v>733.33333333333326</v>
      </c>
      <c r="E298">
        <f t="shared" si="27"/>
        <v>0</v>
      </c>
      <c r="G298">
        <v>248</v>
      </c>
      <c r="H298" s="13">
        <f t="shared" si="32"/>
        <v>-1.0275684203264746E-2</v>
      </c>
      <c r="I298">
        <f t="shared" si="33"/>
        <v>169.37104312952275</v>
      </c>
      <c r="J298">
        <f t="shared" si="28"/>
        <v>727.95545922462645</v>
      </c>
      <c r="K298" s="27">
        <f t="shared" si="29"/>
        <v>-5445.1117439514355</v>
      </c>
    </row>
    <row r="299" spans="1:11" x14ac:dyDescent="0.25">
      <c r="A299" s="26">
        <v>249</v>
      </c>
      <c r="B299" s="82">
        <f t="shared" si="30"/>
        <v>0</v>
      </c>
      <c r="C299" s="58">
        <f t="shared" si="34"/>
        <v>171.9194128119324</v>
      </c>
      <c r="D299" s="83">
        <f t="shared" si="31"/>
        <v>733.33333333333326</v>
      </c>
      <c r="E299">
        <f t="shared" si="27"/>
        <v>0</v>
      </c>
      <c r="G299">
        <v>249</v>
      </c>
      <c r="H299" s="13">
        <f t="shared" si="32"/>
        <v>-1.0275684203264746E-2</v>
      </c>
      <c r="I299">
        <f t="shared" si="33"/>
        <v>169.36076744531948</v>
      </c>
      <c r="J299">
        <f t="shared" si="28"/>
        <v>727.93271893931399</v>
      </c>
      <c r="K299" s="27">
        <f t="shared" si="29"/>
        <v>-5444.7714803890058</v>
      </c>
    </row>
    <row r="300" spans="1:11" x14ac:dyDescent="0.25">
      <c r="A300" s="26">
        <v>250</v>
      </c>
      <c r="B300" s="82">
        <f t="shared" si="30"/>
        <v>0</v>
      </c>
      <c r="C300" s="58">
        <f t="shared" si="34"/>
        <v>171.9194128119324</v>
      </c>
      <c r="D300" s="83">
        <f t="shared" si="31"/>
        <v>733.33333333333326</v>
      </c>
      <c r="E300">
        <f t="shared" si="27"/>
        <v>0</v>
      </c>
      <c r="G300">
        <v>250</v>
      </c>
      <c r="H300" s="13">
        <f t="shared" si="32"/>
        <v>-1.0275684203264746E-2</v>
      </c>
      <c r="I300">
        <f t="shared" si="33"/>
        <v>169.35049176111622</v>
      </c>
      <c r="J300">
        <f t="shared" si="28"/>
        <v>727.90996948435782</v>
      </c>
      <c r="K300" s="27">
        <f t="shared" si="29"/>
        <v>-5444.4310902178859</v>
      </c>
    </row>
    <row r="301" spans="1:11" x14ac:dyDescent="0.25">
      <c r="A301" s="26">
        <v>251</v>
      </c>
      <c r="B301" s="82">
        <f t="shared" si="30"/>
        <v>0</v>
      </c>
      <c r="C301" s="58">
        <f t="shared" si="34"/>
        <v>171.9194128119324</v>
      </c>
      <c r="D301" s="83">
        <f t="shared" si="31"/>
        <v>733.33333333333326</v>
      </c>
      <c r="E301">
        <f t="shared" si="27"/>
        <v>0</v>
      </c>
      <c r="G301">
        <v>251</v>
      </c>
      <c r="H301" s="13">
        <f t="shared" si="32"/>
        <v>-1.0275684203264746E-2</v>
      </c>
      <c r="I301">
        <f t="shared" si="33"/>
        <v>169.34021607691295</v>
      </c>
      <c r="J301">
        <f t="shared" si="28"/>
        <v>727.88721085053953</v>
      </c>
      <c r="K301" s="27">
        <f t="shared" si="29"/>
        <v>-5444.0905733129266</v>
      </c>
    </row>
    <row r="302" spans="1:11" x14ac:dyDescent="0.25">
      <c r="A302" s="26">
        <v>252</v>
      </c>
      <c r="B302" s="82">
        <f t="shared" si="30"/>
        <v>0</v>
      </c>
      <c r="C302" s="58">
        <f t="shared" si="34"/>
        <v>171.9194128119324</v>
      </c>
      <c r="D302" s="83">
        <f t="shared" si="31"/>
        <v>733.33333333333326</v>
      </c>
      <c r="E302">
        <f t="shared" si="27"/>
        <v>0</v>
      </c>
      <c r="G302">
        <v>252</v>
      </c>
      <c r="H302" s="13">
        <f t="shared" si="32"/>
        <v>-1.0275684203264746E-2</v>
      </c>
      <c r="I302">
        <f t="shared" si="33"/>
        <v>169.32994039270969</v>
      </c>
      <c r="J302">
        <f t="shared" si="28"/>
        <v>727.86444302862469</v>
      </c>
      <c r="K302" s="27">
        <f t="shared" si="29"/>
        <v>-5443.7499295487651</v>
      </c>
    </row>
    <row r="303" spans="1:11" x14ac:dyDescent="0.25">
      <c r="A303" s="26">
        <v>253</v>
      </c>
      <c r="B303" s="82">
        <f t="shared" si="30"/>
        <v>0</v>
      </c>
      <c r="C303" s="58">
        <f t="shared" si="34"/>
        <v>171.9194128119324</v>
      </c>
      <c r="D303" s="83">
        <f t="shared" si="31"/>
        <v>733.33333333333326</v>
      </c>
      <c r="E303">
        <f t="shared" si="27"/>
        <v>0</v>
      </c>
      <c r="G303">
        <v>253</v>
      </c>
      <c r="H303" s="13">
        <f t="shared" si="32"/>
        <v>-1.0275684203264746E-2</v>
      </c>
      <c r="I303">
        <f t="shared" si="33"/>
        <v>169.31966470850642</v>
      </c>
      <c r="J303">
        <f t="shared" si="28"/>
        <v>727.8416660093626</v>
      </c>
      <c r="K303" s="27">
        <f t="shared" si="29"/>
        <v>-5443.4091587998164</v>
      </c>
    </row>
    <row r="304" spans="1:11" x14ac:dyDescent="0.25">
      <c r="A304" s="26">
        <v>254</v>
      </c>
      <c r="B304" s="82">
        <f t="shared" si="30"/>
        <v>0</v>
      </c>
      <c r="C304" s="58">
        <f t="shared" si="34"/>
        <v>171.9194128119324</v>
      </c>
      <c r="D304" s="83">
        <f t="shared" si="31"/>
        <v>733.33333333333326</v>
      </c>
      <c r="E304">
        <f t="shared" si="27"/>
        <v>0</v>
      </c>
      <c r="G304">
        <v>254</v>
      </c>
      <c r="H304" s="13">
        <f t="shared" si="32"/>
        <v>-1.0275684203264746E-2</v>
      </c>
      <c r="I304">
        <f t="shared" si="33"/>
        <v>169.30938902430316</v>
      </c>
      <c r="J304">
        <f t="shared" si="28"/>
        <v>727.81887978348652</v>
      </c>
      <c r="K304" s="27">
        <f t="shared" si="29"/>
        <v>-5443.0682609402766</v>
      </c>
    </row>
    <row r="305" spans="1:11" x14ac:dyDescent="0.25">
      <c r="A305" s="26">
        <v>255</v>
      </c>
      <c r="B305" s="82">
        <f t="shared" si="30"/>
        <v>0</v>
      </c>
      <c r="C305" s="58">
        <f t="shared" si="34"/>
        <v>171.9194128119324</v>
      </c>
      <c r="D305" s="83">
        <f t="shared" si="31"/>
        <v>733.33333333333326</v>
      </c>
      <c r="E305">
        <f t="shared" si="27"/>
        <v>0</v>
      </c>
      <c r="G305">
        <v>255</v>
      </c>
      <c r="H305" s="13">
        <f t="shared" si="32"/>
        <v>-1.0275684203264746E-2</v>
      </c>
      <c r="I305">
        <f t="shared" si="33"/>
        <v>169.29911334009989</v>
      </c>
      <c r="J305">
        <f t="shared" si="28"/>
        <v>727.79608434171348</v>
      </c>
      <c r="K305" s="27">
        <f t="shared" si="29"/>
        <v>-5442.7272358441214</v>
      </c>
    </row>
    <row r="306" spans="1:11" x14ac:dyDescent="0.25">
      <c r="A306" s="26">
        <v>256</v>
      </c>
      <c r="B306" s="82">
        <f t="shared" si="30"/>
        <v>0</v>
      </c>
      <c r="C306" s="58">
        <f t="shared" si="34"/>
        <v>171.9194128119324</v>
      </c>
      <c r="D306" s="83">
        <f t="shared" si="31"/>
        <v>733.33333333333326</v>
      </c>
      <c r="E306">
        <f t="shared" si="27"/>
        <v>0</v>
      </c>
      <c r="G306">
        <v>256</v>
      </c>
      <c r="H306" s="13">
        <f t="shared" si="32"/>
        <v>-1.0275684203264746E-2</v>
      </c>
      <c r="I306">
        <f t="shared" si="33"/>
        <v>169.28883765589663</v>
      </c>
      <c r="J306">
        <f t="shared" si="28"/>
        <v>727.773279674744</v>
      </c>
      <c r="K306" s="27">
        <f t="shared" si="29"/>
        <v>-5442.3860833851049</v>
      </c>
    </row>
    <row r="307" spans="1:11" x14ac:dyDescent="0.25">
      <c r="A307" s="26">
        <v>257</v>
      </c>
      <c r="B307" s="82">
        <f t="shared" si="30"/>
        <v>0</v>
      </c>
      <c r="C307" s="58">
        <f t="shared" si="34"/>
        <v>171.9194128119324</v>
      </c>
      <c r="D307" s="83">
        <f t="shared" si="31"/>
        <v>733.33333333333326</v>
      </c>
      <c r="E307">
        <f t="shared" ref="E307:E370" si="35">((D307^2)+(D307*D308)+(D308^2))*B308/3</f>
        <v>0</v>
      </c>
      <c r="G307">
        <v>257</v>
      </c>
      <c r="H307" s="13">
        <f t="shared" si="32"/>
        <v>-1.0275684203264746E-2</v>
      </c>
      <c r="I307">
        <f t="shared" si="33"/>
        <v>169.27856197169336</v>
      </c>
      <c r="J307">
        <f t="shared" ref="J307:J370" si="36">IF($G$28&lt;$C$14,0,((($C$11^2)-((I307-$C$13)^2))^0.5)+$C$16)</f>
        <v>727.7504657732627</v>
      </c>
      <c r="K307" s="27">
        <f t="shared" ref="K307:K370" si="37">((J307^2)+(J307*J308)+(J308^2))*H308/3</f>
        <v>-5442.0448034367628</v>
      </c>
    </row>
    <row r="308" spans="1:11" x14ac:dyDescent="0.25">
      <c r="A308" s="26">
        <v>258</v>
      </c>
      <c r="B308" s="82">
        <f t="shared" ref="B308:B371" si="38">C308-C307</f>
        <v>0</v>
      </c>
      <c r="C308" s="58">
        <f t="shared" si="34"/>
        <v>171.9194128119324</v>
      </c>
      <c r="D308" s="83">
        <f t="shared" ref="D308:D371" si="39">IF($G$28&lt;$C$14,0,((($C$11^2)-((C308-$C$13)^2))^0.5)+$C$16)</f>
        <v>733.33333333333326</v>
      </c>
      <c r="E308">
        <f t="shared" si="35"/>
        <v>0</v>
      </c>
      <c r="G308">
        <v>258</v>
      </c>
      <c r="H308" s="13">
        <f t="shared" ref="H308:H371" si="40">I308-I307</f>
        <v>-1.0275684203264746E-2</v>
      </c>
      <c r="I308">
        <f t="shared" ref="I308:I371" si="41">($G$27-$C$14)/2000+I307</f>
        <v>169.2682862874901</v>
      </c>
      <c r="J308">
        <f t="shared" si="36"/>
        <v>727.72764262793771</v>
      </c>
      <c r="K308" s="27">
        <f t="shared" si="37"/>
        <v>-5441.7033958724069</v>
      </c>
    </row>
    <row r="309" spans="1:11" x14ac:dyDescent="0.25">
      <c r="A309" s="26">
        <v>259</v>
      </c>
      <c r="B309" s="82">
        <f t="shared" si="38"/>
        <v>0</v>
      </c>
      <c r="C309" s="58">
        <f t="shared" si="34"/>
        <v>171.9194128119324</v>
      </c>
      <c r="D309" s="83">
        <f t="shared" si="39"/>
        <v>733.33333333333326</v>
      </c>
      <c r="E309">
        <f t="shared" si="35"/>
        <v>0</v>
      </c>
      <c r="G309">
        <v>259</v>
      </c>
      <c r="H309" s="13">
        <f t="shared" si="40"/>
        <v>-1.0275684203264746E-2</v>
      </c>
      <c r="I309">
        <f t="shared" si="41"/>
        <v>169.25801060328683</v>
      </c>
      <c r="J309">
        <f t="shared" si="36"/>
        <v>727.70481022942079</v>
      </c>
      <c r="K309" s="27">
        <f t="shared" si="37"/>
        <v>-5441.3618605651282</v>
      </c>
    </row>
    <row r="310" spans="1:11" x14ac:dyDescent="0.25">
      <c r="A310" s="26">
        <v>260</v>
      </c>
      <c r="B310" s="82">
        <f t="shared" si="38"/>
        <v>0</v>
      </c>
      <c r="C310" s="58">
        <f t="shared" si="34"/>
        <v>171.9194128119324</v>
      </c>
      <c r="D310" s="83">
        <f t="shared" si="39"/>
        <v>733.33333333333326</v>
      </c>
      <c r="E310">
        <f t="shared" si="35"/>
        <v>0</v>
      </c>
      <c r="G310">
        <v>260</v>
      </c>
      <c r="H310" s="13">
        <f t="shared" si="40"/>
        <v>-1.0275684203264746E-2</v>
      </c>
      <c r="I310">
        <f t="shared" si="41"/>
        <v>169.24773491908357</v>
      </c>
      <c r="J310">
        <f t="shared" si="36"/>
        <v>727.68196856834732</v>
      </c>
      <c r="K310" s="27">
        <f t="shared" si="37"/>
        <v>-5441.0201973877929</v>
      </c>
    </row>
    <row r="311" spans="1:11" x14ac:dyDescent="0.25">
      <c r="A311" s="26">
        <v>261</v>
      </c>
      <c r="B311" s="82">
        <f t="shared" si="38"/>
        <v>0</v>
      </c>
      <c r="C311" s="58">
        <f t="shared" si="34"/>
        <v>171.9194128119324</v>
      </c>
      <c r="D311" s="83">
        <f t="shared" si="39"/>
        <v>733.33333333333326</v>
      </c>
      <c r="E311">
        <f t="shared" si="35"/>
        <v>0</v>
      </c>
      <c r="G311">
        <v>261</v>
      </c>
      <c r="H311" s="13">
        <f t="shared" si="40"/>
        <v>-1.0275684203264746E-2</v>
      </c>
      <c r="I311">
        <f t="shared" si="41"/>
        <v>169.2374592348803</v>
      </c>
      <c r="J311">
        <f t="shared" si="36"/>
        <v>727.65911763533609</v>
      </c>
      <c r="K311" s="27">
        <f t="shared" si="37"/>
        <v>-5440.6784062130455</v>
      </c>
    </row>
    <row r="312" spans="1:11" x14ac:dyDescent="0.25">
      <c r="A312" s="26">
        <v>262</v>
      </c>
      <c r="B312" s="82">
        <f t="shared" si="38"/>
        <v>0</v>
      </c>
      <c r="C312" s="58">
        <f t="shared" si="34"/>
        <v>171.9194128119324</v>
      </c>
      <c r="D312" s="83">
        <f t="shared" si="39"/>
        <v>733.33333333333326</v>
      </c>
      <c r="E312">
        <f t="shared" si="35"/>
        <v>0</v>
      </c>
      <c r="G312">
        <v>262</v>
      </c>
      <c r="H312" s="13">
        <f t="shared" si="40"/>
        <v>-1.0275684203264746E-2</v>
      </c>
      <c r="I312">
        <f t="shared" si="41"/>
        <v>169.22718355067704</v>
      </c>
      <c r="J312">
        <f t="shared" si="36"/>
        <v>727.63625742098952</v>
      </c>
      <c r="K312" s="27">
        <f t="shared" si="37"/>
        <v>-5440.3364869133029</v>
      </c>
    </row>
    <row r="313" spans="1:11" x14ac:dyDescent="0.25">
      <c r="A313" s="26">
        <v>263</v>
      </c>
      <c r="B313" s="82">
        <f t="shared" si="38"/>
        <v>0</v>
      </c>
      <c r="C313" s="58">
        <f t="shared" si="34"/>
        <v>171.9194128119324</v>
      </c>
      <c r="D313" s="83">
        <f t="shared" si="39"/>
        <v>733.33333333333326</v>
      </c>
      <c r="E313">
        <f t="shared" si="35"/>
        <v>0</v>
      </c>
      <c r="G313">
        <v>263</v>
      </c>
      <c r="H313" s="13">
        <f t="shared" si="40"/>
        <v>-1.0275684203264746E-2</v>
      </c>
      <c r="I313">
        <f t="shared" si="41"/>
        <v>169.21690786647378</v>
      </c>
      <c r="J313">
        <f t="shared" si="36"/>
        <v>727.61338791589355</v>
      </c>
      <c r="K313" s="27">
        <f t="shared" si="37"/>
        <v>-5439.9944393607657</v>
      </c>
    </row>
    <row r="314" spans="1:11" x14ac:dyDescent="0.25">
      <c r="A314" s="26">
        <v>264</v>
      </c>
      <c r="B314" s="82">
        <f t="shared" si="38"/>
        <v>0</v>
      </c>
      <c r="C314" s="58">
        <f t="shared" si="34"/>
        <v>171.9194128119324</v>
      </c>
      <c r="D314" s="83">
        <f t="shared" si="39"/>
        <v>733.33333333333326</v>
      </c>
      <c r="E314">
        <f t="shared" si="35"/>
        <v>0</v>
      </c>
      <c r="G314">
        <v>264</v>
      </c>
      <c r="H314" s="13">
        <f t="shared" si="40"/>
        <v>-1.0275684203264746E-2</v>
      </c>
      <c r="I314">
        <f t="shared" si="41"/>
        <v>169.20663218227051</v>
      </c>
      <c r="J314">
        <f t="shared" si="36"/>
        <v>727.59050911061763</v>
      </c>
      <c r="K314" s="27">
        <f t="shared" si="37"/>
        <v>-5439.6522634274015</v>
      </c>
    </row>
    <row r="315" spans="1:11" x14ac:dyDescent="0.25">
      <c r="A315" s="26">
        <v>265</v>
      </c>
      <c r="B315" s="82">
        <f t="shared" si="38"/>
        <v>0</v>
      </c>
      <c r="C315" s="58">
        <f t="shared" si="34"/>
        <v>171.9194128119324</v>
      </c>
      <c r="D315" s="83">
        <f t="shared" si="39"/>
        <v>733.33333333333326</v>
      </c>
      <c r="E315">
        <f t="shared" si="35"/>
        <v>0</v>
      </c>
      <c r="G315">
        <v>265</v>
      </c>
      <c r="H315" s="13">
        <f t="shared" si="40"/>
        <v>-1.0275684203264746E-2</v>
      </c>
      <c r="I315">
        <f t="shared" si="41"/>
        <v>169.19635649806725</v>
      </c>
      <c r="J315">
        <f t="shared" si="36"/>
        <v>727.56762099571426</v>
      </c>
      <c r="K315" s="27">
        <f t="shared" si="37"/>
        <v>-5439.3099589849562</v>
      </c>
    </row>
    <row r="316" spans="1:11" x14ac:dyDescent="0.25">
      <c r="A316" s="26">
        <v>266</v>
      </c>
      <c r="B316" s="82">
        <f t="shared" si="38"/>
        <v>0</v>
      </c>
      <c r="C316" s="58">
        <f t="shared" si="34"/>
        <v>171.9194128119324</v>
      </c>
      <c r="D316" s="83">
        <f t="shared" si="39"/>
        <v>733.33333333333326</v>
      </c>
      <c r="E316">
        <f t="shared" si="35"/>
        <v>0</v>
      </c>
      <c r="G316">
        <v>266</v>
      </c>
      <c r="H316" s="13">
        <f t="shared" si="40"/>
        <v>-1.0275684203264746E-2</v>
      </c>
      <c r="I316">
        <f t="shared" si="41"/>
        <v>169.18608081386398</v>
      </c>
      <c r="J316">
        <f t="shared" si="36"/>
        <v>727.54472356171959</v>
      </c>
      <c r="K316" s="27">
        <f t="shared" si="37"/>
        <v>-5438.9675259049463</v>
      </c>
    </row>
    <row r="317" spans="1:11" x14ac:dyDescent="0.25">
      <c r="A317" s="26">
        <v>267</v>
      </c>
      <c r="B317" s="82">
        <f t="shared" si="38"/>
        <v>0</v>
      </c>
      <c r="C317" s="58">
        <f t="shared" si="34"/>
        <v>171.9194128119324</v>
      </c>
      <c r="D317" s="83">
        <f t="shared" si="39"/>
        <v>733.33333333333326</v>
      </c>
      <c r="E317">
        <f t="shared" si="35"/>
        <v>0</v>
      </c>
      <c r="G317">
        <v>267</v>
      </c>
      <c r="H317" s="13">
        <f t="shared" si="40"/>
        <v>-1.0275684203264746E-2</v>
      </c>
      <c r="I317">
        <f t="shared" si="41"/>
        <v>169.17580512966072</v>
      </c>
      <c r="J317">
        <f t="shared" si="36"/>
        <v>727.52181679915293</v>
      </c>
      <c r="K317" s="27">
        <f t="shared" si="37"/>
        <v>-5438.6249640586666</v>
      </c>
    </row>
    <row r="318" spans="1:11" x14ac:dyDescent="0.25">
      <c r="A318" s="26">
        <v>268</v>
      </c>
      <c r="B318" s="82">
        <f t="shared" si="38"/>
        <v>0</v>
      </c>
      <c r="C318" s="58">
        <f t="shared" si="34"/>
        <v>171.9194128119324</v>
      </c>
      <c r="D318" s="83">
        <f t="shared" si="39"/>
        <v>733.33333333333326</v>
      </c>
      <c r="E318">
        <f t="shared" si="35"/>
        <v>0</v>
      </c>
      <c r="G318">
        <v>268</v>
      </c>
      <c r="H318" s="13">
        <f t="shared" si="40"/>
        <v>-1.0275684203264746E-2</v>
      </c>
      <c r="I318">
        <f t="shared" si="41"/>
        <v>169.16552944545745</v>
      </c>
      <c r="J318">
        <f t="shared" si="36"/>
        <v>727.49890069851699</v>
      </c>
      <c r="K318" s="27">
        <f t="shared" si="37"/>
        <v>-5438.2822733171824</v>
      </c>
    </row>
    <row r="319" spans="1:11" x14ac:dyDescent="0.25">
      <c r="A319" s="26">
        <v>269</v>
      </c>
      <c r="B319" s="82">
        <f t="shared" si="38"/>
        <v>0</v>
      </c>
      <c r="C319" s="58">
        <f t="shared" si="34"/>
        <v>171.9194128119324</v>
      </c>
      <c r="D319" s="83">
        <f t="shared" si="39"/>
        <v>733.33333333333326</v>
      </c>
      <c r="E319">
        <f t="shared" si="35"/>
        <v>0</v>
      </c>
      <c r="G319">
        <v>269</v>
      </c>
      <c r="H319" s="13">
        <f t="shared" si="40"/>
        <v>-1.0275684203264746E-2</v>
      </c>
      <c r="I319">
        <f t="shared" si="41"/>
        <v>169.15525376125419</v>
      </c>
      <c r="J319">
        <f t="shared" si="36"/>
        <v>727.47597525029767</v>
      </c>
      <c r="K319" s="27">
        <f t="shared" si="37"/>
        <v>-5437.9394535513293</v>
      </c>
    </row>
    <row r="320" spans="1:11" x14ac:dyDescent="0.25">
      <c r="A320" s="26">
        <v>270</v>
      </c>
      <c r="B320" s="82">
        <f t="shared" si="38"/>
        <v>0</v>
      </c>
      <c r="C320" s="58">
        <f t="shared" si="34"/>
        <v>171.9194128119324</v>
      </c>
      <c r="D320" s="83">
        <f t="shared" si="39"/>
        <v>733.33333333333326</v>
      </c>
      <c r="E320">
        <f t="shared" si="35"/>
        <v>0</v>
      </c>
      <c r="G320">
        <v>270</v>
      </c>
      <c r="H320" s="13">
        <f t="shared" si="40"/>
        <v>-1.0275684203264746E-2</v>
      </c>
      <c r="I320">
        <f t="shared" si="41"/>
        <v>169.14497807705092</v>
      </c>
      <c r="J320">
        <f t="shared" si="36"/>
        <v>727.45304044496379</v>
      </c>
      <c r="K320" s="27">
        <f t="shared" si="37"/>
        <v>-5437.5965046317151</v>
      </c>
    </row>
    <row r="321" spans="1:11" x14ac:dyDescent="0.25">
      <c r="A321" s="26">
        <v>271</v>
      </c>
      <c r="B321" s="82">
        <f t="shared" si="38"/>
        <v>0</v>
      </c>
      <c r="C321" s="58">
        <f t="shared" si="34"/>
        <v>171.9194128119324</v>
      </c>
      <c r="D321" s="83">
        <f t="shared" si="39"/>
        <v>733.33333333333326</v>
      </c>
      <c r="E321">
        <f t="shared" si="35"/>
        <v>0</v>
      </c>
      <c r="G321">
        <v>271</v>
      </c>
      <c r="H321" s="13">
        <f t="shared" si="40"/>
        <v>-1.0275684203264746E-2</v>
      </c>
      <c r="I321">
        <f t="shared" si="41"/>
        <v>169.13470239284766</v>
      </c>
      <c r="J321">
        <f t="shared" si="36"/>
        <v>727.43009627296783</v>
      </c>
      <c r="K321" s="27">
        <f t="shared" si="37"/>
        <v>-5437.2534264287215</v>
      </c>
    </row>
    <row r="322" spans="1:11" x14ac:dyDescent="0.25">
      <c r="A322" s="26">
        <v>272</v>
      </c>
      <c r="B322" s="82">
        <f t="shared" si="38"/>
        <v>0</v>
      </c>
      <c r="C322" s="58">
        <f t="shared" si="34"/>
        <v>171.9194128119324</v>
      </c>
      <c r="D322" s="83">
        <f t="shared" si="39"/>
        <v>733.33333333333326</v>
      </c>
      <c r="E322">
        <f t="shared" si="35"/>
        <v>0</v>
      </c>
      <c r="G322">
        <v>272</v>
      </c>
      <c r="H322" s="13">
        <f t="shared" si="40"/>
        <v>-1.0275684203264746E-2</v>
      </c>
      <c r="I322">
        <f t="shared" si="41"/>
        <v>169.12442670864439</v>
      </c>
      <c r="J322">
        <f t="shared" si="36"/>
        <v>727.40714272474474</v>
      </c>
      <c r="K322" s="27">
        <f t="shared" si="37"/>
        <v>-5436.9102188124953</v>
      </c>
    </row>
    <row r="323" spans="1:11" x14ac:dyDescent="0.25">
      <c r="A323" s="26">
        <v>273</v>
      </c>
      <c r="B323" s="82">
        <f t="shared" si="38"/>
        <v>0</v>
      </c>
      <c r="C323" s="58">
        <f t="shared" si="34"/>
        <v>171.9194128119324</v>
      </c>
      <c r="D323" s="83">
        <f t="shared" si="39"/>
        <v>733.33333333333326</v>
      </c>
      <c r="E323">
        <f t="shared" si="35"/>
        <v>0</v>
      </c>
      <c r="G323">
        <v>273</v>
      </c>
      <c r="H323" s="13">
        <f t="shared" si="40"/>
        <v>-1.0275684203264746E-2</v>
      </c>
      <c r="I323">
        <f t="shared" si="41"/>
        <v>169.11415102444113</v>
      </c>
      <c r="J323">
        <f t="shared" si="36"/>
        <v>727.38417979071301</v>
      </c>
      <c r="K323" s="27">
        <f t="shared" si="37"/>
        <v>-5436.5668816529587</v>
      </c>
    </row>
    <row r="324" spans="1:11" x14ac:dyDescent="0.25">
      <c r="A324" s="26">
        <v>274</v>
      </c>
      <c r="B324" s="82">
        <f t="shared" si="38"/>
        <v>0</v>
      </c>
      <c r="C324" s="58">
        <f t="shared" si="34"/>
        <v>171.9194128119324</v>
      </c>
      <c r="D324" s="83">
        <f t="shared" si="39"/>
        <v>733.33333333333326</v>
      </c>
      <c r="E324">
        <f t="shared" si="35"/>
        <v>0</v>
      </c>
      <c r="G324">
        <v>274</v>
      </c>
      <c r="H324" s="13">
        <f t="shared" si="40"/>
        <v>-1.0275684203264746E-2</v>
      </c>
      <c r="I324">
        <f t="shared" si="41"/>
        <v>169.10387534023786</v>
      </c>
      <c r="J324">
        <f t="shared" si="36"/>
        <v>727.36120746127403</v>
      </c>
      <c r="K324" s="27">
        <f t="shared" si="37"/>
        <v>-5436.2234148198013</v>
      </c>
    </row>
    <row r="325" spans="1:11" x14ac:dyDescent="0.25">
      <c r="A325" s="26">
        <v>275</v>
      </c>
      <c r="B325" s="82">
        <f t="shared" si="38"/>
        <v>0</v>
      </c>
      <c r="C325" s="58">
        <f t="shared" si="34"/>
        <v>171.9194128119324</v>
      </c>
      <c r="D325" s="83">
        <f t="shared" si="39"/>
        <v>733.33333333333326</v>
      </c>
      <c r="E325">
        <f t="shared" si="35"/>
        <v>0</v>
      </c>
      <c r="G325">
        <v>275</v>
      </c>
      <c r="H325" s="13">
        <f t="shared" si="40"/>
        <v>-1.0275684203264746E-2</v>
      </c>
      <c r="I325">
        <f t="shared" si="41"/>
        <v>169.0935996560346</v>
      </c>
      <c r="J325">
        <f t="shared" si="36"/>
        <v>727.33822572681197</v>
      </c>
      <c r="K325" s="27">
        <f t="shared" si="37"/>
        <v>-5435.8798181824777</v>
      </c>
    </row>
    <row r="326" spans="1:11" x14ac:dyDescent="0.25">
      <c r="A326" s="26">
        <v>276</v>
      </c>
      <c r="B326" s="82">
        <f t="shared" si="38"/>
        <v>0</v>
      </c>
      <c r="C326" s="58">
        <f t="shared" si="34"/>
        <v>171.9194128119324</v>
      </c>
      <c r="D326" s="83">
        <f t="shared" si="39"/>
        <v>733.33333333333326</v>
      </c>
      <c r="E326">
        <f t="shared" si="35"/>
        <v>0</v>
      </c>
      <c r="G326">
        <v>276</v>
      </c>
      <c r="H326" s="13">
        <f t="shared" si="40"/>
        <v>-1.0275684203264746E-2</v>
      </c>
      <c r="I326">
        <f t="shared" si="41"/>
        <v>169.08332397183133</v>
      </c>
      <c r="J326">
        <f t="shared" si="36"/>
        <v>727.31523457769413</v>
      </c>
      <c r="K326" s="27">
        <f t="shared" si="37"/>
        <v>-5435.536091610219</v>
      </c>
    </row>
    <row r="327" spans="1:11" x14ac:dyDescent="0.25">
      <c r="A327" s="26">
        <v>277</v>
      </c>
      <c r="B327" s="82">
        <f t="shared" si="38"/>
        <v>0</v>
      </c>
      <c r="C327" s="58">
        <f t="shared" si="34"/>
        <v>171.9194128119324</v>
      </c>
      <c r="D327" s="83">
        <f t="shared" si="39"/>
        <v>733.33333333333326</v>
      </c>
      <c r="E327">
        <f t="shared" si="35"/>
        <v>0</v>
      </c>
      <c r="G327">
        <v>277</v>
      </c>
      <c r="H327" s="13">
        <f t="shared" si="40"/>
        <v>-1.0275684203264746E-2</v>
      </c>
      <c r="I327">
        <f t="shared" si="41"/>
        <v>169.07304828762807</v>
      </c>
      <c r="J327">
        <f t="shared" si="36"/>
        <v>727.29223400427077</v>
      </c>
      <c r="K327" s="27">
        <f t="shared" si="37"/>
        <v>-5435.192234972018</v>
      </c>
    </row>
    <row r="328" spans="1:11" x14ac:dyDescent="0.25">
      <c r="A328" s="26">
        <v>278</v>
      </c>
      <c r="B328" s="82">
        <f t="shared" si="38"/>
        <v>0</v>
      </c>
      <c r="C328" s="58">
        <f t="shared" si="34"/>
        <v>171.9194128119324</v>
      </c>
      <c r="D328" s="83">
        <f t="shared" si="39"/>
        <v>733.33333333333326</v>
      </c>
      <c r="E328">
        <f t="shared" si="35"/>
        <v>0</v>
      </c>
      <c r="G328">
        <v>278</v>
      </c>
      <c r="H328" s="13">
        <f t="shared" si="40"/>
        <v>-1.0275684203264746E-2</v>
      </c>
      <c r="I328">
        <f t="shared" si="41"/>
        <v>169.0627726034248</v>
      </c>
      <c r="J328">
        <f t="shared" si="36"/>
        <v>727.26922399687476</v>
      </c>
      <c r="K328" s="27">
        <f t="shared" si="37"/>
        <v>-5434.8482481366318</v>
      </c>
    </row>
    <row r="329" spans="1:11" x14ac:dyDescent="0.25">
      <c r="A329" s="26">
        <v>279</v>
      </c>
      <c r="B329" s="82">
        <f t="shared" si="38"/>
        <v>0</v>
      </c>
      <c r="C329" s="58">
        <f t="shared" si="34"/>
        <v>171.9194128119324</v>
      </c>
      <c r="D329" s="83">
        <f t="shared" si="39"/>
        <v>733.33333333333326</v>
      </c>
      <c r="E329">
        <f t="shared" si="35"/>
        <v>0</v>
      </c>
      <c r="G329">
        <v>279</v>
      </c>
      <c r="H329" s="13">
        <f t="shared" si="40"/>
        <v>-1.0275684203264746E-2</v>
      </c>
      <c r="I329">
        <f t="shared" si="41"/>
        <v>169.05249691922154</v>
      </c>
      <c r="J329">
        <f t="shared" si="36"/>
        <v>727.2462045458218</v>
      </c>
      <c r="K329" s="27">
        <f t="shared" si="37"/>
        <v>-5434.5041309725902</v>
      </c>
    </row>
    <row r="330" spans="1:11" x14ac:dyDescent="0.25">
      <c r="A330" s="26">
        <v>280</v>
      </c>
      <c r="B330" s="82">
        <f t="shared" si="38"/>
        <v>0</v>
      </c>
      <c r="C330" s="58">
        <f t="shared" si="34"/>
        <v>171.9194128119324</v>
      </c>
      <c r="D330" s="83">
        <f t="shared" si="39"/>
        <v>733.33333333333326</v>
      </c>
      <c r="E330">
        <f t="shared" si="35"/>
        <v>0</v>
      </c>
      <c r="G330">
        <v>280</v>
      </c>
      <c r="H330" s="13">
        <f t="shared" si="40"/>
        <v>-1.0275684203264746E-2</v>
      </c>
      <c r="I330">
        <f t="shared" si="41"/>
        <v>169.04222123501827</v>
      </c>
      <c r="J330">
        <f t="shared" si="36"/>
        <v>727.22317564141053</v>
      </c>
      <c r="K330" s="27">
        <f t="shared" si="37"/>
        <v>-5434.1598833481876</v>
      </c>
    </row>
    <row r="331" spans="1:11" x14ac:dyDescent="0.25">
      <c r="A331" s="26">
        <v>281</v>
      </c>
      <c r="B331" s="82">
        <f t="shared" si="38"/>
        <v>0</v>
      </c>
      <c r="C331" s="58">
        <f t="shared" si="34"/>
        <v>171.9194128119324</v>
      </c>
      <c r="D331" s="83">
        <f t="shared" si="39"/>
        <v>733.33333333333326</v>
      </c>
      <c r="E331">
        <f t="shared" si="35"/>
        <v>0</v>
      </c>
      <c r="G331">
        <v>281</v>
      </c>
      <c r="H331" s="13">
        <f t="shared" si="40"/>
        <v>-1.0275684203264746E-2</v>
      </c>
      <c r="I331">
        <f t="shared" si="41"/>
        <v>169.03194555081501</v>
      </c>
      <c r="J331">
        <f t="shared" si="36"/>
        <v>727.20013727392222</v>
      </c>
      <c r="K331" s="27">
        <f t="shared" si="37"/>
        <v>-5433.8155051314798</v>
      </c>
    </row>
    <row r="332" spans="1:11" x14ac:dyDescent="0.25">
      <c r="A332" s="26">
        <v>282</v>
      </c>
      <c r="B332" s="82">
        <f t="shared" si="38"/>
        <v>0</v>
      </c>
      <c r="C332" s="58">
        <f t="shared" si="34"/>
        <v>171.9194128119324</v>
      </c>
      <c r="D332" s="83">
        <f t="shared" si="39"/>
        <v>733.33333333333326</v>
      </c>
      <c r="E332">
        <f t="shared" si="35"/>
        <v>0</v>
      </c>
      <c r="G332">
        <v>282</v>
      </c>
      <c r="H332" s="13">
        <f t="shared" si="40"/>
        <v>-1.0275684203264746E-2</v>
      </c>
      <c r="I332">
        <f t="shared" si="41"/>
        <v>169.02166986661175</v>
      </c>
      <c r="J332">
        <f t="shared" si="36"/>
        <v>727.17708943362072</v>
      </c>
      <c r="K332" s="27">
        <f t="shared" si="37"/>
        <v>-5433.47099619029</v>
      </c>
    </row>
    <row r="333" spans="1:11" x14ac:dyDescent="0.25">
      <c r="A333" s="26">
        <v>283</v>
      </c>
      <c r="B333" s="82">
        <f t="shared" si="38"/>
        <v>0</v>
      </c>
      <c r="C333" s="58">
        <f t="shared" si="34"/>
        <v>171.9194128119324</v>
      </c>
      <c r="D333" s="83">
        <f t="shared" si="39"/>
        <v>733.33333333333326</v>
      </c>
      <c r="E333">
        <f t="shared" si="35"/>
        <v>0</v>
      </c>
      <c r="G333">
        <v>283</v>
      </c>
      <c r="H333" s="13">
        <f t="shared" si="40"/>
        <v>-1.0275684203264746E-2</v>
      </c>
      <c r="I333">
        <f t="shared" si="41"/>
        <v>169.01139418240848</v>
      </c>
      <c r="J333">
        <f t="shared" si="36"/>
        <v>727.15403211075261</v>
      </c>
      <c r="K333" s="27">
        <f t="shared" si="37"/>
        <v>-5433.1263563922066</v>
      </c>
    </row>
    <row r="334" spans="1:11" x14ac:dyDescent="0.25">
      <c r="A334" s="26">
        <v>284</v>
      </c>
      <c r="B334" s="82">
        <f t="shared" si="38"/>
        <v>0</v>
      </c>
      <c r="C334" s="58">
        <f t="shared" si="34"/>
        <v>171.9194128119324</v>
      </c>
      <c r="D334" s="83">
        <f t="shared" si="39"/>
        <v>733.33333333333326</v>
      </c>
      <c r="E334">
        <f t="shared" si="35"/>
        <v>0</v>
      </c>
      <c r="G334">
        <v>284</v>
      </c>
      <c r="H334" s="13">
        <f t="shared" si="40"/>
        <v>-1.0275684203264746E-2</v>
      </c>
      <c r="I334">
        <f t="shared" si="41"/>
        <v>169.00111849820522</v>
      </c>
      <c r="J334">
        <f t="shared" si="36"/>
        <v>727.13096529554696</v>
      </c>
      <c r="K334" s="27">
        <f t="shared" si="37"/>
        <v>-5432.781585604579</v>
      </c>
    </row>
    <row r="335" spans="1:11" x14ac:dyDescent="0.25">
      <c r="A335" s="26">
        <v>285</v>
      </c>
      <c r="B335" s="82">
        <f t="shared" si="38"/>
        <v>0</v>
      </c>
      <c r="C335" s="58">
        <f t="shared" si="34"/>
        <v>171.9194128119324</v>
      </c>
      <c r="D335" s="83">
        <f t="shared" si="39"/>
        <v>733.33333333333326</v>
      </c>
      <c r="E335">
        <f t="shared" si="35"/>
        <v>0</v>
      </c>
      <c r="G335">
        <v>285</v>
      </c>
      <c r="H335" s="13">
        <f t="shared" si="40"/>
        <v>-1.0275684203264746E-2</v>
      </c>
      <c r="I335">
        <f t="shared" si="41"/>
        <v>168.99084281400195</v>
      </c>
      <c r="J335">
        <f t="shared" si="36"/>
        <v>727.10788897821556</v>
      </c>
      <c r="K335" s="27">
        <f t="shared" si="37"/>
        <v>-5432.436683694521</v>
      </c>
    </row>
    <row r="336" spans="1:11" x14ac:dyDescent="0.25">
      <c r="A336" s="26">
        <v>286</v>
      </c>
      <c r="B336" s="82">
        <f t="shared" si="38"/>
        <v>0</v>
      </c>
      <c r="C336" s="58">
        <f t="shared" ref="C336:C399" si="42">($C$37-$C$36)/2000+C335</f>
        <v>171.9194128119324</v>
      </c>
      <c r="D336" s="83">
        <f t="shared" si="39"/>
        <v>733.33333333333326</v>
      </c>
      <c r="E336">
        <f t="shared" si="35"/>
        <v>0</v>
      </c>
      <c r="G336">
        <v>286</v>
      </c>
      <c r="H336" s="13">
        <f t="shared" si="40"/>
        <v>-1.0275684203264746E-2</v>
      </c>
      <c r="I336">
        <f t="shared" si="41"/>
        <v>168.98056712979869</v>
      </c>
      <c r="J336">
        <f t="shared" si="36"/>
        <v>727.08480314895246</v>
      </c>
      <c r="K336" s="27">
        <f t="shared" si="37"/>
        <v>-5432.0916505289088</v>
      </c>
    </row>
    <row r="337" spans="1:11" x14ac:dyDescent="0.25">
      <c r="A337" s="26">
        <v>287</v>
      </c>
      <c r="B337" s="82">
        <f t="shared" si="38"/>
        <v>0</v>
      </c>
      <c r="C337" s="58">
        <f t="shared" si="42"/>
        <v>171.9194128119324</v>
      </c>
      <c r="D337" s="83">
        <f t="shared" si="39"/>
        <v>733.33333333333326</v>
      </c>
      <c r="E337">
        <f t="shared" si="35"/>
        <v>0</v>
      </c>
      <c r="G337">
        <v>287</v>
      </c>
      <c r="H337" s="13">
        <f t="shared" si="40"/>
        <v>-1.0275684203264746E-2</v>
      </c>
      <c r="I337">
        <f t="shared" si="41"/>
        <v>168.97029144559542</v>
      </c>
      <c r="J337">
        <f t="shared" si="36"/>
        <v>727.06170779793433</v>
      </c>
      <c r="K337" s="27">
        <f t="shared" si="37"/>
        <v>-5431.7464859743768</v>
      </c>
    </row>
    <row r="338" spans="1:11" x14ac:dyDescent="0.25">
      <c r="A338" s="26">
        <v>288</v>
      </c>
      <c r="B338" s="82">
        <f t="shared" si="38"/>
        <v>0</v>
      </c>
      <c r="C338" s="58">
        <f t="shared" si="42"/>
        <v>171.9194128119324</v>
      </c>
      <c r="D338" s="83">
        <f t="shared" si="39"/>
        <v>733.33333333333326</v>
      </c>
      <c r="E338">
        <f t="shared" si="35"/>
        <v>0</v>
      </c>
      <c r="G338">
        <v>288</v>
      </c>
      <c r="H338" s="13">
        <f t="shared" si="40"/>
        <v>-1.0275684203264746E-2</v>
      </c>
      <c r="I338">
        <f t="shared" si="41"/>
        <v>168.96001576139216</v>
      </c>
      <c r="J338">
        <f t="shared" si="36"/>
        <v>727.03860291532021</v>
      </c>
      <c r="K338" s="27">
        <f t="shared" si="37"/>
        <v>-5431.4011898973276</v>
      </c>
    </row>
    <row r="339" spans="1:11" x14ac:dyDescent="0.25">
      <c r="A339" s="26">
        <v>289</v>
      </c>
      <c r="B339" s="82">
        <f t="shared" si="38"/>
        <v>0</v>
      </c>
      <c r="C339" s="58">
        <f t="shared" si="42"/>
        <v>171.9194128119324</v>
      </c>
      <c r="D339" s="83">
        <f t="shared" si="39"/>
        <v>733.33333333333326</v>
      </c>
      <c r="E339">
        <f t="shared" si="35"/>
        <v>0</v>
      </c>
      <c r="G339">
        <v>289</v>
      </c>
      <c r="H339" s="13">
        <f t="shared" si="40"/>
        <v>-1.0275684203264746E-2</v>
      </c>
      <c r="I339">
        <f t="shared" si="41"/>
        <v>168.94974007718889</v>
      </c>
      <c r="J339">
        <f t="shared" si="36"/>
        <v>727.01548849125152</v>
      </c>
      <c r="K339" s="27">
        <f t="shared" si="37"/>
        <v>-5431.0557621639173</v>
      </c>
    </row>
    <row r="340" spans="1:11" x14ac:dyDescent="0.25">
      <c r="A340" s="26">
        <v>290</v>
      </c>
      <c r="B340" s="82">
        <f t="shared" si="38"/>
        <v>0</v>
      </c>
      <c r="C340" s="58">
        <f t="shared" si="42"/>
        <v>171.9194128119324</v>
      </c>
      <c r="D340" s="83">
        <f t="shared" si="39"/>
        <v>733.33333333333326</v>
      </c>
      <c r="E340">
        <f t="shared" si="35"/>
        <v>0</v>
      </c>
      <c r="G340">
        <v>290</v>
      </c>
      <c r="H340" s="13">
        <f t="shared" si="40"/>
        <v>-1.0275684203264746E-2</v>
      </c>
      <c r="I340">
        <f t="shared" si="41"/>
        <v>168.93946439298563</v>
      </c>
      <c r="J340">
        <f t="shared" si="36"/>
        <v>726.99236451585193</v>
      </c>
      <c r="K340" s="27">
        <f t="shared" si="37"/>
        <v>-5430.7102026400653</v>
      </c>
    </row>
    <row r="341" spans="1:11" x14ac:dyDescent="0.25">
      <c r="A341" s="26">
        <v>291</v>
      </c>
      <c r="B341" s="82">
        <f t="shared" si="38"/>
        <v>0</v>
      </c>
      <c r="C341" s="58">
        <f t="shared" si="42"/>
        <v>171.9194128119324</v>
      </c>
      <c r="D341" s="83">
        <f t="shared" si="39"/>
        <v>733.33333333333326</v>
      </c>
      <c r="E341">
        <f t="shared" si="35"/>
        <v>0</v>
      </c>
      <c r="G341">
        <v>291</v>
      </c>
      <c r="H341" s="13">
        <f t="shared" si="40"/>
        <v>-1.0275684203264746E-2</v>
      </c>
      <c r="I341">
        <f t="shared" si="41"/>
        <v>168.92918870878236</v>
      </c>
      <c r="J341">
        <f t="shared" si="36"/>
        <v>726.9692309792274</v>
      </c>
      <c r="K341" s="27">
        <f t="shared" si="37"/>
        <v>-5430.3645111914511</v>
      </c>
    </row>
    <row r="342" spans="1:11" x14ac:dyDescent="0.25">
      <c r="A342" s="26">
        <v>292</v>
      </c>
      <c r="B342" s="82">
        <f t="shared" si="38"/>
        <v>0</v>
      </c>
      <c r="C342" s="58">
        <f t="shared" si="42"/>
        <v>171.9194128119324</v>
      </c>
      <c r="D342" s="83">
        <f t="shared" si="39"/>
        <v>733.33333333333326</v>
      </c>
      <c r="E342">
        <f t="shared" si="35"/>
        <v>0</v>
      </c>
      <c r="G342">
        <v>292</v>
      </c>
      <c r="H342" s="13">
        <f t="shared" si="40"/>
        <v>-1.0275684203264746E-2</v>
      </c>
      <c r="I342">
        <f t="shared" si="41"/>
        <v>168.9189130245791</v>
      </c>
      <c r="J342">
        <f t="shared" si="36"/>
        <v>726.94608787146626</v>
      </c>
      <c r="K342" s="27">
        <f t="shared" si="37"/>
        <v>-5430.0186876835096</v>
      </c>
    </row>
    <row r="343" spans="1:11" x14ac:dyDescent="0.25">
      <c r="A343" s="26">
        <v>293</v>
      </c>
      <c r="B343" s="82">
        <f t="shared" si="38"/>
        <v>0</v>
      </c>
      <c r="C343" s="58">
        <f t="shared" si="42"/>
        <v>171.9194128119324</v>
      </c>
      <c r="D343" s="83">
        <f t="shared" si="39"/>
        <v>733.33333333333326</v>
      </c>
      <c r="E343">
        <f t="shared" si="35"/>
        <v>0</v>
      </c>
      <c r="G343">
        <v>293</v>
      </c>
      <c r="H343" s="13">
        <f t="shared" si="40"/>
        <v>-1.0275684203264746E-2</v>
      </c>
      <c r="I343">
        <f t="shared" si="41"/>
        <v>168.90863734037583</v>
      </c>
      <c r="J343">
        <f t="shared" si="36"/>
        <v>726.92293518263887</v>
      </c>
      <c r="K343" s="27">
        <f t="shared" si="37"/>
        <v>-5429.6727319814372</v>
      </c>
    </row>
    <row r="344" spans="1:11" x14ac:dyDescent="0.25">
      <c r="A344" s="26">
        <v>294</v>
      </c>
      <c r="B344" s="82">
        <f t="shared" si="38"/>
        <v>0</v>
      </c>
      <c r="C344" s="58">
        <f t="shared" si="42"/>
        <v>171.9194128119324</v>
      </c>
      <c r="D344" s="83">
        <f t="shared" si="39"/>
        <v>733.33333333333326</v>
      </c>
      <c r="E344">
        <f t="shared" si="35"/>
        <v>0</v>
      </c>
      <c r="G344">
        <v>294</v>
      </c>
      <c r="H344" s="13">
        <f t="shared" si="40"/>
        <v>-1.0275684203264746E-2</v>
      </c>
      <c r="I344">
        <f t="shared" si="41"/>
        <v>168.89836165617257</v>
      </c>
      <c r="J344">
        <f t="shared" si="36"/>
        <v>726.89977290279774</v>
      </c>
      <c r="K344" s="27">
        <f t="shared" si="37"/>
        <v>-5429.3266439501849</v>
      </c>
    </row>
    <row r="345" spans="1:11" x14ac:dyDescent="0.25">
      <c r="A345" s="26">
        <v>295</v>
      </c>
      <c r="B345" s="82">
        <f t="shared" si="38"/>
        <v>0</v>
      </c>
      <c r="C345" s="58">
        <f t="shared" si="42"/>
        <v>171.9194128119324</v>
      </c>
      <c r="D345" s="83">
        <f t="shared" si="39"/>
        <v>733.33333333333326</v>
      </c>
      <c r="E345">
        <f t="shared" si="35"/>
        <v>0</v>
      </c>
      <c r="G345">
        <v>295</v>
      </c>
      <c r="H345" s="13">
        <f t="shared" si="40"/>
        <v>-1.0275684203264746E-2</v>
      </c>
      <c r="I345">
        <f t="shared" si="41"/>
        <v>168.8880859719693</v>
      </c>
      <c r="J345">
        <f t="shared" si="36"/>
        <v>726.87660102197754</v>
      </c>
      <c r="K345" s="27">
        <f t="shared" si="37"/>
        <v>-5428.9804234544617</v>
      </c>
    </row>
    <row r="346" spans="1:11" x14ac:dyDescent="0.25">
      <c r="A346" s="26">
        <v>296</v>
      </c>
      <c r="B346" s="82">
        <f t="shared" si="38"/>
        <v>0</v>
      </c>
      <c r="C346" s="58">
        <f t="shared" si="42"/>
        <v>171.9194128119324</v>
      </c>
      <c r="D346" s="83">
        <f t="shared" si="39"/>
        <v>733.33333333333326</v>
      </c>
      <c r="E346">
        <f t="shared" si="35"/>
        <v>0</v>
      </c>
      <c r="G346">
        <v>296</v>
      </c>
      <c r="H346" s="13">
        <f t="shared" si="40"/>
        <v>-1.0275684203264746E-2</v>
      </c>
      <c r="I346">
        <f t="shared" si="41"/>
        <v>168.87781028776604</v>
      </c>
      <c r="J346">
        <f t="shared" si="36"/>
        <v>726.85341953019486</v>
      </c>
      <c r="K346" s="27">
        <f t="shared" si="37"/>
        <v>-5428.6340703587348</v>
      </c>
    </row>
    <row r="347" spans="1:11" x14ac:dyDescent="0.25">
      <c r="A347" s="26">
        <v>297</v>
      </c>
      <c r="B347" s="82">
        <f t="shared" si="38"/>
        <v>0</v>
      </c>
      <c r="C347" s="58">
        <f t="shared" si="42"/>
        <v>171.9194128119324</v>
      </c>
      <c r="D347" s="83">
        <f t="shared" si="39"/>
        <v>733.33333333333326</v>
      </c>
      <c r="E347">
        <f t="shared" si="35"/>
        <v>0</v>
      </c>
      <c r="G347">
        <v>297</v>
      </c>
      <c r="H347" s="13">
        <f t="shared" si="40"/>
        <v>-1.0275684203264746E-2</v>
      </c>
      <c r="I347">
        <f t="shared" si="41"/>
        <v>168.86753460356277</v>
      </c>
      <c r="J347">
        <f t="shared" si="36"/>
        <v>726.83022841744855</v>
      </c>
      <c r="K347" s="27">
        <f t="shared" si="37"/>
        <v>-5428.2875845272229</v>
      </c>
    </row>
    <row r="348" spans="1:11" x14ac:dyDescent="0.25">
      <c r="A348" s="26">
        <v>298</v>
      </c>
      <c r="B348" s="82">
        <f t="shared" si="38"/>
        <v>0</v>
      </c>
      <c r="C348" s="58">
        <f t="shared" si="42"/>
        <v>171.9194128119324</v>
      </c>
      <c r="D348" s="83">
        <f t="shared" si="39"/>
        <v>733.33333333333326</v>
      </c>
      <c r="E348">
        <f t="shared" si="35"/>
        <v>0</v>
      </c>
      <c r="G348">
        <v>298</v>
      </c>
      <c r="H348" s="13">
        <f t="shared" si="40"/>
        <v>-1.0275684203264746E-2</v>
      </c>
      <c r="I348">
        <f t="shared" si="41"/>
        <v>168.85725891935951</v>
      </c>
      <c r="J348">
        <f t="shared" si="36"/>
        <v>726.80702767371929</v>
      </c>
      <c r="K348" s="27">
        <f t="shared" si="37"/>
        <v>-5427.9409658239028</v>
      </c>
    </row>
    <row r="349" spans="1:11" x14ac:dyDescent="0.25">
      <c r="A349" s="26">
        <v>299</v>
      </c>
      <c r="B349" s="82">
        <f t="shared" si="38"/>
        <v>0</v>
      </c>
      <c r="C349" s="58">
        <f t="shared" si="42"/>
        <v>171.9194128119324</v>
      </c>
      <c r="D349" s="83">
        <f t="shared" si="39"/>
        <v>733.33333333333326</v>
      </c>
      <c r="E349">
        <f t="shared" si="35"/>
        <v>0</v>
      </c>
      <c r="G349">
        <v>299</v>
      </c>
      <c r="H349" s="13">
        <f t="shared" si="40"/>
        <v>-1.0275684203264746E-2</v>
      </c>
      <c r="I349">
        <f t="shared" si="41"/>
        <v>168.84698323515624</v>
      </c>
      <c r="J349">
        <f t="shared" si="36"/>
        <v>726.78381728896943</v>
      </c>
      <c r="K349" s="27">
        <f t="shared" si="37"/>
        <v>-5427.5942141125042</v>
      </c>
    </row>
    <row r="350" spans="1:11" x14ac:dyDescent="0.25">
      <c r="A350" s="26">
        <v>300</v>
      </c>
      <c r="B350" s="82">
        <f t="shared" si="38"/>
        <v>0</v>
      </c>
      <c r="C350" s="58">
        <f t="shared" si="42"/>
        <v>171.9194128119324</v>
      </c>
      <c r="D350" s="83">
        <f t="shared" si="39"/>
        <v>733.33333333333326</v>
      </c>
      <c r="E350">
        <f t="shared" si="35"/>
        <v>0</v>
      </c>
      <c r="G350">
        <v>300</v>
      </c>
      <c r="H350" s="13">
        <f t="shared" si="40"/>
        <v>-1.0275684203264746E-2</v>
      </c>
      <c r="I350">
        <f t="shared" si="41"/>
        <v>168.83670755095298</v>
      </c>
      <c r="J350">
        <f t="shared" si="36"/>
        <v>726.7605972531436</v>
      </c>
      <c r="K350" s="27">
        <f t="shared" si="37"/>
        <v>-5427.2473292565137</v>
      </c>
    </row>
    <row r="351" spans="1:11" x14ac:dyDescent="0.25">
      <c r="A351" s="26">
        <v>301</v>
      </c>
      <c r="B351" s="82">
        <f t="shared" si="38"/>
        <v>0</v>
      </c>
      <c r="C351" s="58">
        <f t="shared" si="42"/>
        <v>171.9194128119324</v>
      </c>
      <c r="D351" s="83">
        <f t="shared" si="39"/>
        <v>733.33333333333326</v>
      </c>
      <c r="E351">
        <f t="shared" si="35"/>
        <v>0</v>
      </c>
      <c r="G351">
        <v>301</v>
      </c>
      <c r="H351" s="13">
        <f t="shared" si="40"/>
        <v>-1.0275684203264746E-2</v>
      </c>
      <c r="I351">
        <f t="shared" si="41"/>
        <v>168.82643186674972</v>
      </c>
      <c r="J351">
        <f t="shared" si="36"/>
        <v>726.73736755616801</v>
      </c>
      <c r="K351" s="27">
        <f t="shared" si="37"/>
        <v>-5426.9003111191678</v>
      </c>
    </row>
    <row r="352" spans="1:11" x14ac:dyDescent="0.25">
      <c r="A352" s="26">
        <v>302</v>
      </c>
      <c r="B352" s="82">
        <f t="shared" si="38"/>
        <v>0</v>
      </c>
      <c r="C352" s="58">
        <f t="shared" si="42"/>
        <v>171.9194128119324</v>
      </c>
      <c r="D352" s="83">
        <f t="shared" si="39"/>
        <v>733.33333333333326</v>
      </c>
      <c r="E352">
        <f t="shared" si="35"/>
        <v>0</v>
      </c>
      <c r="G352">
        <v>302</v>
      </c>
      <c r="H352" s="13">
        <f t="shared" si="40"/>
        <v>-1.0275684203264746E-2</v>
      </c>
      <c r="I352">
        <f t="shared" si="41"/>
        <v>168.81615618254645</v>
      </c>
      <c r="J352">
        <f t="shared" si="36"/>
        <v>726.71412818795079</v>
      </c>
      <c r="K352" s="27">
        <f t="shared" si="37"/>
        <v>-5426.553159563452</v>
      </c>
    </row>
    <row r="353" spans="1:11" x14ac:dyDescent="0.25">
      <c r="A353" s="26">
        <v>303</v>
      </c>
      <c r="B353" s="82">
        <f t="shared" si="38"/>
        <v>0</v>
      </c>
      <c r="C353" s="58">
        <f t="shared" si="42"/>
        <v>171.9194128119324</v>
      </c>
      <c r="D353" s="83">
        <f t="shared" si="39"/>
        <v>733.33333333333326</v>
      </c>
      <c r="E353">
        <f t="shared" si="35"/>
        <v>0</v>
      </c>
      <c r="G353">
        <v>303</v>
      </c>
      <c r="H353" s="13">
        <f t="shared" si="40"/>
        <v>-1.0275684203264746E-2</v>
      </c>
      <c r="I353">
        <f t="shared" si="41"/>
        <v>168.80588049834319</v>
      </c>
      <c r="J353">
        <f t="shared" si="36"/>
        <v>726.69087913838143</v>
      </c>
      <c r="K353" s="27">
        <f t="shared" si="37"/>
        <v>-5426.2058744521119</v>
      </c>
    </row>
    <row r="354" spans="1:11" x14ac:dyDescent="0.25">
      <c r="A354" s="26">
        <v>304</v>
      </c>
      <c r="B354" s="82">
        <f t="shared" si="38"/>
        <v>0</v>
      </c>
      <c r="C354" s="58">
        <f t="shared" si="42"/>
        <v>171.9194128119324</v>
      </c>
      <c r="D354" s="83">
        <f t="shared" si="39"/>
        <v>733.33333333333326</v>
      </c>
      <c r="E354">
        <f t="shared" si="35"/>
        <v>0</v>
      </c>
      <c r="G354">
        <v>304</v>
      </c>
      <c r="H354" s="13">
        <f t="shared" si="40"/>
        <v>-1.0275684203264746E-2</v>
      </c>
      <c r="I354">
        <f t="shared" si="41"/>
        <v>168.79560481413992</v>
      </c>
      <c r="J354">
        <f t="shared" si="36"/>
        <v>726.66762039733169</v>
      </c>
      <c r="K354" s="27">
        <f t="shared" si="37"/>
        <v>-5425.8584556476389</v>
      </c>
    </row>
    <row r="355" spans="1:11" x14ac:dyDescent="0.25">
      <c r="A355" s="26">
        <v>305</v>
      </c>
      <c r="B355" s="82">
        <f t="shared" si="38"/>
        <v>0</v>
      </c>
      <c r="C355" s="58">
        <f t="shared" si="42"/>
        <v>171.9194128119324</v>
      </c>
      <c r="D355" s="83">
        <f t="shared" si="39"/>
        <v>733.33333333333326</v>
      </c>
      <c r="E355">
        <f t="shared" si="35"/>
        <v>0</v>
      </c>
      <c r="G355">
        <v>305</v>
      </c>
      <c r="H355" s="13">
        <f t="shared" si="40"/>
        <v>-1.0275684203264746E-2</v>
      </c>
      <c r="I355">
        <f t="shared" si="41"/>
        <v>168.78532912993666</v>
      </c>
      <c r="J355">
        <f t="shared" si="36"/>
        <v>726.64435195465444</v>
      </c>
      <c r="K355" s="27">
        <f t="shared" si="37"/>
        <v>-5425.5109030122767</v>
      </c>
    </row>
    <row r="356" spans="1:11" x14ac:dyDescent="0.25">
      <c r="A356" s="26">
        <v>306</v>
      </c>
      <c r="B356" s="82">
        <f t="shared" si="38"/>
        <v>0</v>
      </c>
      <c r="C356" s="58">
        <f t="shared" si="42"/>
        <v>171.9194128119324</v>
      </c>
      <c r="D356" s="83">
        <f t="shared" si="39"/>
        <v>733.33333333333326</v>
      </c>
      <c r="E356">
        <f t="shared" si="35"/>
        <v>0</v>
      </c>
      <c r="G356">
        <v>306</v>
      </c>
      <c r="H356" s="13">
        <f t="shared" si="40"/>
        <v>-1.0275684203264746E-2</v>
      </c>
      <c r="I356">
        <f t="shared" si="41"/>
        <v>168.77505344573339</v>
      </c>
      <c r="J356">
        <f t="shared" si="36"/>
        <v>726.62107380018438</v>
      </c>
      <c r="K356" s="27">
        <f t="shared" si="37"/>
        <v>-5425.1632164080174</v>
      </c>
    </row>
    <row r="357" spans="1:11" x14ac:dyDescent="0.25">
      <c r="A357" s="26">
        <v>307</v>
      </c>
      <c r="B357" s="82">
        <f t="shared" si="38"/>
        <v>0</v>
      </c>
      <c r="C357" s="58">
        <f t="shared" si="42"/>
        <v>171.9194128119324</v>
      </c>
      <c r="D357" s="83">
        <f t="shared" si="39"/>
        <v>733.33333333333326</v>
      </c>
      <c r="E357">
        <f t="shared" si="35"/>
        <v>0</v>
      </c>
      <c r="G357">
        <v>307</v>
      </c>
      <c r="H357" s="13">
        <f t="shared" si="40"/>
        <v>-1.0275684203264746E-2</v>
      </c>
      <c r="I357">
        <f t="shared" si="41"/>
        <v>168.76477776153013</v>
      </c>
      <c r="J357">
        <f t="shared" si="36"/>
        <v>726.59778592373777</v>
      </c>
      <c r="K357" s="27">
        <f t="shared" si="37"/>
        <v>-5424.8153956966044</v>
      </c>
    </row>
    <row r="358" spans="1:11" x14ac:dyDescent="0.25">
      <c r="A358" s="26">
        <v>308</v>
      </c>
      <c r="B358" s="82">
        <f t="shared" si="38"/>
        <v>0</v>
      </c>
      <c r="C358" s="58">
        <f t="shared" si="42"/>
        <v>171.9194128119324</v>
      </c>
      <c r="D358" s="83">
        <f t="shared" si="39"/>
        <v>733.33333333333326</v>
      </c>
      <c r="E358">
        <f t="shared" si="35"/>
        <v>0</v>
      </c>
      <c r="G358">
        <v>308</v>
      </c>
      <c r="H358" s="13">
        <f t="shared" si="40"/>
        <v>-1.0275684203264746E-2</v>
      </c>
      <c r="I358">
        <f t="shared" si="41"/>
        <v>168.75450207732686</v>
      </c>
      <c r="J358">
        <f t="shared" si="36"/>
        <v>726.57448831511238</v>
      </c>
      <c r="K358" s="27">
        <f t="shared" si="37"/>
        <v>-5424.4674407395296</v>
      </c>
    </row>
    <row r="359" spans="1:11" x14ac:dyDescent="0.25">
      <c r="A359" s="26">
        <v>309</v>
      </c>
      <c r="B359" s="82">
        <f t="shared" si="38"/>
        <v>0</v>
      </c>
      <c r="C359" s="58">
        <f t="shared" si="42"/>
        <v>171.9194128119324</v>
      </c>
      <c r="D359" s="83">
        <f t="shared" si="39"/>
        <v>733.33333333333326</v>
      </c>
      <c r="E359">
        <f t="shared" si="35"/>
        <v>0</v>
      </c>
      <c r="G359">
        <v>309</v>
      </c>
      <c r="H359" s="13">
        <f t="shared" si="40"/>
        <v>-1.0275684203264746E-2</v>
      </c>
      <c r="I359">
        <f t="shared" si="41"/>
        <v>168.7442263931236</v>
      </c>
      <c r="J359">
        <f t="shared" si="36"/>
        <v>726.55118096408717</v>
      </c>
      <c r="K359" s="27">
        <f t="shared" si="37"/>
        <v>-5424.1193513980324</v>
      </c>
    </row>
    <row r="360" spans="1:11" x14ac:dyDescent="0.25">
      <c r="A360" s="26">
        <v>310</v>
      </c>
      <c r="B360" s="82">
        <f t="shared" si="38"/>
        <v>0</v>
      </c>
      <c r="C360" s="58">
        <f t="shared" si="42"/>
        <v>171.9194128119324</v>
      </c>
      <c r="D360" s="83">
        <f t="shared" si="39"/>
        <v>733.33333333333326</v>
      </c>
      <c r="E360">
        <f t="shared" si="35"/>
        <v>0</v>
      </c>
      <c r="G360">
        <v>310</v>
      </c>
      <c r="H360" s="13">
        <f t="shared" si="40"/>
        <v>-1.0275684203264746E-2</v>
      </c>
      <c r="I360">
        <f t="shared" si="41"/>
        <v>168.73395070892033</v>
      </c>
      <c r="J360">
        <f t="shared" si="36"/>
        <v>726.52786386042283</v>
      </c>
      <c r="K360" s="27">
        <f t="shared" si="37"/>
        <v>-5423.7711275330976</v>
      </c>
    </row>
    <row r="361" spans="1:11" x14ac:dyDescent="0.25">
      <c r="A361" s="26">
        <v>311</v>
      </c>
      <c r="B361" s="82">
        <f t="shared" si="38"/>
        <v>0</v>
      </c>
      <c r="C361" s="58">
        <f t="shared" si="42"/>
        <v>171.9194128119324</v>
      </c>
      <c r="D361" s="83">
        <f t="shared" si="39"/>
        <v>733.33333333333326</v>
      </c>
      <c r="E361">
        <f t="shared" si="35"/>
        <v>0</v>
      </c>
      <c r="G361">
        <v>311</v>
      </c>
      <c r="H361" s="13">
        <f t="shared" si="40"/>
        <v>-1.0275684203264746E-2</v>
      </c>
      <c r="I361">
        <f t="shared" si="41"/>
        <v>168.72367502471707</v>
      </c>
      <c r="J361">
        <f t="shared" si="36"/>
        <v>726.50453699386128</v>
      </c>
      <c r="K361" s="27">
        <f t="shared" si="37"/>
        <v>-5423.4227690054586</v>
      </c>
    </row>
    <row r="362" spans="1:11" x14ac:dyDescent="0.25">
      <c r="A362" s="26">
        <v>312</v>
      </c>
      <c r="B362" s="82">
        <f t="shared" si="38"/>
        <v>0</v>
      </c>
      <c r="C362" s="58">
        <f t="shared" si="42"/>
        <v>171.9194128119324</v>
      </c>
      <c r="D362" s="83">
        <f t="shared" si="39"/>
        <v>733.33333333333326</v>
      </c>
      <c r="E362">
        <f t="shared" si="35"/>
        <v>0</v>
      </c>
      <c r="G362">
        <v>312</v>
      </c>
      <c r="H362" s="13">
        <f t="shared" si="40"/>
        <v>-1.0275684203264746E-2</v>
      </c>
      <c r="I362">
        <f t="shared" si="41"/>
        <v>168.7133993405138</v>
      </c>
      <c r="J362">
        <f t="shared" si="36"/>
        <v>726.48120035412558</v>
      </c>
      <c r="K362" s="27">
        <f t="shared" si="37"/>
        <v>-5423.0742756755981</v>
      </c>
    </row>
    <row r="363" spans="1:11" x14ac:dyDescent="0.25">
      <c r="A363" s="26">
        <v>313</v>
      </c>
      <c r="B363" s="82">
        <f t="shared" si="38"/>
        <v>0</v>
      </c>
      <c r="C363" s="58">
        <f t="shared" si="42"/>
        <v>171.9194128119324</v>
      </c>
      <c r="D363" s="83">
        <f t="shared" si="39"/>
        <v>733.33333333333326</v>
      </c>
      <c r="E363">
        <f t="shared" si="35"/>
        <v>0</v>
      </c>
      <c r="G363">
        <v>313</v>
      </c>
      <c r="H363" s="13">
        <f t="shared" si="40"/>
        <v>-1.0275684203264746E-2</v>
      </c>
      <c r="I363">
        <f t="shared" si="41"/>
        <v>168.70312365631054</v>
      </c>
      <c r="J363">
        <f t="shared" si="36"/>
        <v>726.45785393092046</v>
      </c>
      <c r="K363" s="27">
        <f t="shared" si="37"/>
        <v>-5422.7256474037376</v>
      </c>
    </row>
    <row r="364" spans="1:11" x14ac:dyDescent="0.25">
      <c r="A364" s="26">
        <v>314</v>
      </c>
      <c r="B364" s="82">
        <f t="shared" si="38"/>
        <v>0</v>
      </c>
      <c r="C364" s="58">
        <f t="shared" si="42"/>
        <v>171.9194128119324</v>
      </c>
      <c r="D364" s="83">
        <f t="shared" si="39"/>
        <v>733.33333333333326</v>
      </c>
      <c r="E364">
        <f t="shared" si="35"/>
        <v>0</v>
      </c>
      <c r="G364">
        <v>314</v>
      </c>
      <c r="H364" s="13">
        <f t="shared" si="40"/>
        <v>-1.0275684203264746E-2</v>
      </c>
      <c r="I364">
        <f t="shared" si="41"/>
        <v>168.69284797210727</v>
      </c>
      <c r="J364">
        <f t="shared" si="36"/>
        <v>726.43449771393136</v>
      </c>
      <c r="K364" s="27">
        <f t="shared" si="37"/>
        <v>-5422.3768840498478</v>
      </c>
    </row>
    <row r="365" spans="1:11" x14ac:dyDescent="0.25">
      <c r="A365" s="26">
        <v>315</v>
      </c>
      <c r="B365" s="82">
        <f t="shared" si="38"/>
        <v>0</v>
      </c>
      <c r="C365" s="58">
        <f t="shared" si="42"/>
        <v>171.9194128119324</v>
      </c>
      <c r="D365" s="83">
        <f t="shared" si="39"/>
        <v>733.33333333333326</v>
      </c>
      <c r="E365">
        <f t="shared" si="35"/>
        <v>0</v>
      </c>
      <c r="G365">
        <v>315</v>
      </c>
      <c r="H365" s="13">
        <f t="shared" si="40"/>
        <v>-1.0275684203264746E-2</v>
      </c>
      <c r="I365">
        <f t="shared" si="41"/>
        <v>168.68257228790401</v>
      </c>
      <c r="J365">
        <f t="shared" si="36"/>
        <v>726.41113169282517</v>
      </c>
      <c r="K365" s="27">
        <f t="shared" si="37"/>
        <v>-5422.0279854736427</v>
      </c>
    </row>
    <row r="366" spans="1:11" x14ac:dyDescent="0.25">
      <c r="A366" s="26">
        <v>316</v>
      </c>
      <c r="B366" s="82">
        <f t="shared" si="38"/>
        <v>0</v>
      </c>
      <c r="C366" s="58">
        <f t="shared" si="42"/>
        <v>171.9194128119324</v>
      </c>
      <c r="D366" s="83">
        <f t="shared" si="39"/>
        <v>733.33333333333326</v>
      </c>
      <c r="E366">
        <f t="shared" si="35"/>
        <v>0</v>
      </c>
      <c r="G366">
        <v>316</v>
      </c>
      <c r="H366" s="13">
        <f t="shared" si="40"/>
        <v>-1.0275684203264746E-2</v>
      </c>
      <c r="I366">
        <f t="shared" si="41"/>
        <v>168.67229660370074</v>
      </c>
      <c r="J366">
        <f t="shared" si="36"/>
        <v>726.38775585724989</v>
      </c>
      <c r="K366" s="27">
        <f t="shared" si="37"/>
        <v>-5421.6789515345808</v>
      </c>
    </row>
    <row r="367" spans="1:11" x14ac:dyDescent="0.25">
      <c r="A367" s="26">
        <v>317</v>
      </c>
      <c r="B367" s="82">
        <f t="shared" si="38"/>
        <v>0</v>
      </c>
      <c r="C367" s="58">
        <f t="shared" si="42"/>
        <v>171.9194128119324</v>
      </c>
      <c r="D367" s="83">
        <f t="shared" si="39"/>
        <v>733.33333333333326</v>
      </c>
      <c r="E367">
        <f t="shared" si="35"/>
        <v>0</v>
      </c>
      <c r="G367">
        <v>317</v>
      </c>
      <c r="H367" s="13">
        <f t="shared" si="40"/>
        <v>-1.0275684203264746E-2</v>
      </c>
      <c r="I367">
        <f t="shared" si="41"/>
        <v>168.66202091949748</v>
      </c>
      <c r="J367">
        <f t="shared" si="36"/>
        <v>726.36437019683444</v>
      </c>
      <c r="K367" s="27">
        <f t="shared" si="37"/>
        <v>-5421.3297820918606</v>
      </c>
    </row>
    <row r="368" spans="1:11" x14ac:dyDescent="0.25">
      <c r="A368" s="26">
        <v>318</v>
      </c>
      <c r="B368" s="82">
        <f t="shared" si="38"/>
        <v>0</v>
      </c>
      <c r="C368" s="58">
        <f t="shared" si="42"/>
        <v>171.9194128119324</v>
      </c>
      <c r="D368" s="83">
        <f t="shared" si="39"/>
        <v>733.33333333333326</v>
      </c>
      <c r="E368">
        <f t="shared" si="35"/>
        <v>0</v>
      </c>
      <c r="G368">
        <v>318</v>
      </c>
      <c r="H368" s="13">
        <f t="shared" si="40"/>
        <v>-1.0275684203264746E-2</v>
      </c>
      <c r="I368">
        <f t="shared" si="41"/>
        <v>168.65174523529421</v>
      </c>
      <c r="J368">
        <f t="shared" si="36"/>
        <v>726.340974701189</v>
      </c>
      <c r="K368" s="27">
        <f t="shared" si="37"/>
        <v>-5420.9804770044238</v>
      </c>
    </row>
    <row r="369" spans="1:11" x14ac:dyDescent="0.25">
      <c r="A369" s="26">
        <v>319</v>
      </c>
      <c r="B369" s="82">
        <f t="shared" si="38"/>
        <v>0</v>
      </c>
      <c r="C369" s="58">
        <f t="shared" si="42"/>
        <v>171.9194128119324</v>
      </c>
      <c r="D369" s="83">
        <f t="shared" si="39"/>
        <v>733.33333333333326</v>
      </c>
      <c r="E369">
        <f t="shared" si="35"/>
        <v>0</v>
      </c>
      <c r="G369">
        <v>319</v>
      </c>
      <c r="H369" s="13">
        <f t="shared" si="40"/>
        <v>-1.0275684203264746E-2</v>
      </c>
      <c r="I369">
        <f t="shared" si="41"/>
        <v>168.64146955109095</v>
      </c>
      <c r="J369">
        <f t="shared" si="36"/>
        <v>726.31756935990438</v>
      </c>
      <c r="K369" s="27">
        <f t="shared" si="37"/>
        <v>-5420.6310361309579</v>
      </c>
    </row>
    <row r="370" spans="1:11" x14ac:dyDescent="0.25">
      <c r="A370" s="26">
        <v>320</v>
      </c>
      <c r="B370" s="82">
        <f t="shared" si="38"/>
        <v>0</v>
      </c>
      <c r="C370" s="58">
        <f t="shared" si="42"/>
        <v>171.9194128119324</v>
      </c>
      <c r="D370" s="83">
        <f t="shared" si="39"/>
        <v>733.33333333333326</v>
      </c>
      <c r="E370">
        <f t="shared" si="35"/>
        <v>0</v>
      </c>
      <c r="G370">
        <v>320</v>
      </c>
      <c r="H370" s="13">
        <f t="shared" si="40"/>
        <v>-1.0275684203264746E-2</v>
      </c>
      <c r="I370">
        <f t="shared" si="41"/>
        <v>168.63119386688768</v>
      </c>
      <c r="J370">
        <f t="shared" si="36"/>
        <v>726.29415416255256</v>
      </c>
      <c r="K370" s="27">
        <f t="shared" si="37"/>
        <v>-5420.2814593298826</v>
      </c>
    </row>
    <row r="371" spans="1:11" x14ac:dyDescent="0.25">
      <c r="A371" s="26">
        <v>321</v>
      </c>
      <c r="B371" s="82">
        <f t="shared" si="38"/>
        <v>0</v>
      </c>
      <c r="C371" s="58">
        <f t="shared" si="42"/>
        <v>171.9194128119324</v>
      </c>
      <c r="D371" s="83">
        <f t="shared" si="39"/>
        <v>733.33333333333326</v>
      </c>
      <c r="E371">
        <f t="shared" ref="E371:E434" si="43">((D371^2)+(D371*D372)+(D372^2))*B372/3</f>
        <v>0</v>
      </c>
      <c r="G371">
        <v>321</v>
      </c>
      <c r="H371" s="13">
        <f t="shared" si="40"/>
        <v>-1.0275684203264746E-2</v>
      </c>
      <c r="I371">
        <f t="shared" si="41"/>
        <v>168.62091818268442</v>
      </c>
      <c r="J371">
        <f t="shared" ref="J371:J434" si="44">IF($G$28&lt;$C$14,0,((($C$11^2)-((I371-$C$13)^2))^0.5)+$C$16)</f>
        <v>726.27072909868639</v>
      </c>
      <c r="K371" s="27">
        <f t="shared" ref="K371:K434" si="45">((J371^2)+(J371*J372)+(J372^2))*H372/3</f>
        <v>-5419.931746459366</v>
      </c>
    </row>
    <row r="372" spans="1:11" x14ac:dyDescent="0.25">
      <c r="A372" s="26">
        <v>322</v>
      </c>
      <c r="B372" s="82">
        <f t="shared" ref="B372:B435" si="46">C372-C371</f>
        <v>0</v>
      </c>
      <c r="C372" s="58">
        <f t="shared" si="42"/>
        <v>171.9194128119324</v>
      </c>
      <c r="D372" s="83">
        <f t="shared" ref="D372:D435" si="47">IF($G$28&lt;$C$14,0,((($C$11^2)-((C372-$C$13)^2))^0.5)+$C$16)</f>
        <v>733.33333333333326</v>
      </c>
      <c r="E372">
        <f t="shared" si="43"/>
        <v>0</v>
      </c>
      <c r="G372">
        <v>322</v>
      </c>
      <c r="H372" s="13">
        <f t="shared" ref="H372:H435" si="48">I372-I371</f>
        <v>-1.0275684203264746E-2</v>
      </c>
      <c r="I372">
        <f t="shared" ref="I372:I435" si="49">($G$27-$C$14)/2000+I371</f>
        <v>168.61064249848116</v>
      </c>
      <c r="J372">
        <f t="shared" si="44"/>
        <v>726.24729415783929</v>
      </c>
      <c r="K372" s="27">
        <f t="shared" si="45"/>
        <v>-5419.5818973773103</v>
      </c>
    </row>
    <row r="373" spans="1:11" x14ac:dyDescent="0.25">
      <c r="A373" s="26">
        <v>323</v>
      </c>
      <c r="B373" s="82">
        <f t="shared" si="46"/>
        <v>0</v>
      </c>
      <c r="C373" s="58">
        <f t="shared" si="42"/>
        <v>171.9194128119324</v>
      </c>
      <c r="D373" s="83">
        <f t="shared" si="47"/>
        <v>733.33333333333326</v>
      </c>
      <c r="E373">
        <f t="shared" si="43"/>
        <v>0</v>
      </c>
      <c r="G373">
        <v>323</v>
      </c>
      <c r="H373" s="13">
        <f t="shared" si="48"/>
        <v>-1.0275684203264746E-2</v>
      </c>
      <c r="I373">
        <f t="shared" si="49"/>
        <v>168.60036681427789</v>
      </c>
      <c r="J373">
        <f t="shared" si="44"/>
        <v>726.22384932952582</v>
      </c>
      <c r="K373" s="27">
        <f t="shared" si="45"/>
        <v>-5419.2319119413605</v>
      </c>
    </row>
    <row r="374" spans="1:11" x14ac:dyDescent="0.25">
      <c r="A374" s="26">
        <v>324</v>
      </c>
      <c r="B374" s="82">
        <f t="shared" si="46"/>
        <v>0</v>
      </c>
      <c r="C374" s="58">
        <f t="shared" si="42"/>
        <v>171.9194128119324</v>
      </c>
      <c r="D374" s="83">
        <f t="shared" si="47"/>
        <v>733.33333333333326</v>
      </c>
      <c r="E374">
        <f t="shared" si="43"/>
        <v>0</v>
      </c>
      <c r="G374">
        <v>324</v>
      </c>
      <c r="H374" s="13">
        <f t="shared" si="48"/>
        <v>-1.0275684203264746E-2</v>
      </c>
      <c r="I374">
        <f t="shared" si="49"/>
        <v>168.59009113007463</v>
      </c>
      <c r="J374">
        <f t="shared" si="44"/>
        <v>726.20039460324097</v>
      </c>
      <c r="K374" s="27">
        <f t="shared" si="45"/>
        <v>-5418.881790008898</v>
      </c>
    </row>
    <row r="375" spans="1:11" x14ac:dyDescent="0.25">
      <c r="A375" s="26">
        <v>325</v>
      </c>
      <c r="B375" s="82">
        <f t="shared" si="46"/>
        <v>0</v>
      </c>
      <c r="C375" s="58">
        <f t="shared" si="42"/>
        <v>171.9194128119324</v>
      </c>
      <c r="D375" s="83">
        <f t="shared" si="47"/>
        <v>733.33333333333326</v>
      </c>
      <c r="E375">
        <f t="shared" si="43"/>
        <v>0</v>
      </c>
      <c r="G375">
        <v>325</v>
      </c>
      <c r="H375" s="13">
        <f t="shared" si="48"/>
        <v>-1.0275684203264746E-2</v>
      </c>
      <c r="I375">
        <f t="shared" si="49"/>
        <v>168.57981544587136</v>
      </c>
      <c r="J375">
        <f t="shared" si="44"/>
        <v>726.1769299684604</v>
      </c>
      <c r="K375" s="27">
        <f t="shared" si="45"/>
        <v>-5418.5315314370373</v>
      </c>
    </row>
    <row r="376" spans="1:11" x14ac:dyDescent="0.25">
      <c r="A376" s="26">
        <v>326</v>
      </c>
      <c r="B376" s="82">
        <f t="shared" si="46"/>
        <v>0</v>
      </c>
      <c r="C376" s="58">
        <f t="shared" si="42"/>
        <v>171.9194128119324</v>
      </c>
      <c r="D376" s="83">
        <f t="shared" si="47"/>
        <v>733.33333333333326</v>
      </c>
      <c r="E376">
        <f t="shared" si="43"/>
        <v>0</v>
      </c>
      <c r="G376">
        <v>326</v>
      </c>
      <c r="H376" s="13">
        <f t="shared" si="48"/>
        <v>-1.0275684203264746E-2</v>
      </c>
      <c r="I376">
        <f t="shared" si="49"/>
        <v>168.5695397616681</v>
      </c>
      <c r="J376">
        <f t="shared" si="44"/>
        <v>726.15345541464058</v>
      </c>
      <c r="K376" s="27">
        <f t="shared" si="45"/>
        <v>-5418.1811360826377</v>
      </c>
    </row>
    <row r="377" spans="1:11" x14ac:dyDescent="0.25">
      <c r="A377" s="26">
        <v>327</v>
      </c>
      <c r="B377" s="82">
        <f t="shared" si="46"/>
        <v>0</v>
      </c>
      <c r="C377" s="58">
        <f t="shared" si="42"/>
        <v>171.9194128119324</v>
      </c>
      <c r="D377" s="83">
        <f t="shared" si="47"/>
        <v>733.33333333333326</v>
      </c>
      <c r="E377">
        <f t="shared" si="43"/>
        <v>0</v>
      </c>
      <c r="G377">
        <v>327</v>
      </c>
      <c r="H377" s="13">
        <f t="shared" si="48"/>
        <v>-1.0275684203264746E-2</v>
      </c>
      <c r="I377">
        <f t="shared" si="49"/>
        <v>168.55926407746483</v>
      </c>
      <c r="J377">
        <f t="shared" si="44"/>
        <v>726.12997093121851</v>
      </c>
      <c r="K377" s="27">
        <f t="shared" si="45"/>
        <v>-5417.8306038022911</v>
      </c>
    </row>
    <row r="378" spans="1:11" x14ac:dyDescent="0.25">
      <c r="A378" s="26">
        <v>328</v>
      </c>
      <c r="B378" s="82">
        <f t="shared" si="46"/>
        <v>0</v>
      </c>
      <c r="C378" s="58">
        <f t="shared" si="42"/>
        <v>171.9194128119324</v>
      </c>
      <c r="D378" s="83">
        <f t="shared" si="47"/>
        <v>733.33333333333326</v>
      </c>
      <c r="E378">
        <f t="shared" si="43"/>
        <v>0</v>
      </c>
      <c r="G378">
        <v>328</v>
      </c>
      <c r="H378" s="13">
        <f t="shared" si="48"/>
        <v>-1.0275684203264746E-2</v>
      </c>
      <c r="I378">
        <f t="shared" si="49"/>
        <v>168.54898839326157</v>
      </c>
      <c r="J378">
        <f t="shared" si="44"/>
        <v>726.10647650761155</v>
      </c>
      <c r="K378" s="27">
        <f t="shared" si="45"/>
        <v>-5417.4799344523226</v>
      </c>
    </row>
    <row r="379" spans="1:11" x14ac:dyDescent="0.25">
      <c r="A379" s="26">
        <v>329</v>
      </c>
      <c r="B379" s="82">
        <f t="shared" si="46"/>
        <v>0</v>
      </c>
      <c r="C379" s="58">
        <f t="shared" si="42"/>
        <v>171.9194128119324</v>
      </c>
      <c r="D379" s="83">
        <f t="shared" si="47"/>
        <v>733.33333333333326</v>
      </c>
      <c r="E379">
        <f t="shared" si="43"/>
        <v>0</v>
      </c>
      <c r="G379">
        <v>329</v>
      </c>
      <c r="H379" s="13">
        <f t="shared" si="48"/>
        <v>-1.0275684203264746E-2</v>
      </c>
      <c r="I379">
        <f t="shared" si="49"/>
        <v>168.5387127090583</v>
      </c>
      <c r="J379">
        <f t="shared" si="44"/>
        <v>726.0829721332176</v>
      </c>
      <c r="K379" s="27">
        <f t="shared" si="45"/>
        <v>-5417.1291278887929</v>
      </c>
    </row>
    <row r="380" spans="1:11" x14ac:dyDescent="0.25">
      <c r="A380" s="26">
        <v>330</v>
      </c>
      <c r="B380" s="82">
        <f t="shared" si="46"/>
        <v>0</v>
      </c>
      <c r="C380" s="58">
        <f t="shared" si="42"/>
        <v>171.9194128119324</v>
      </c>
      <c r="D380" s="83">
        <f t="shared" si="47"/>
        <v>733.33333333333326</v>
      </c>
      <c r="E380">
        <f t="shared" si="43"/>
        <v>0</v>
      </c>
      <c r="G380">
        <v>330</v>
      </c>
      <c r="H380" s="13">
        <f t="shared" si="48"/>
        <v>-1.0275684203264746E-2</v>
      </c>
      <c r="I380">
        <f t="shared" si="49"/>
        <v>168.52843702485504</v>
      </c>
      <c r="J380">
        <f t="shared" si="44"/>
        <v>726.05945779741501</v>
      </c>
      <c r="K380" s="27">
        <f t="shared" si="45"/>
        <v>-5416.778183967499</v>
      </c>
    </row>
    <row r="381" spans="1:11" x14ac:dyDescent="0.25">
      <c r="A381" s="26">
        <v>331</v>
      </c>
      <c r="B381" s="82">
        <f t="shared" si="46"/>
        <v>0</v>
      </c>
      <c r="C381" s="58">
        <f t="shared" si="42"/>
        <v>171.9194128119324</v>
      </c>
      <c r="D381" s="83">
        <f t="shared" si="47"/>
        <v>733.33333333333326</v>
      </c>
      <c r="E381">
        <f t="shared" si="43"/>
        <v>0</v>
      </c>
      <c r="G381">
        <v>331</v>
      </c>
      <c r="H381" s="13">
        <f t="shared" si="48"/>
        <v>-1.0275684203264746E-2</v>
      </c>
      <c r="I381">
        <f t="shared" si="49"/>
        <v>168.51816134065177</v>
      </c>
      <c r="J381">
        <f t="shared" si="44"/>
        <v>726.03593348956247</v>
      </c>
      <c r="K381" s="27">
        <f t="shared" si="45"/>
        <v>-5416.4271025439712</v>
      </c>
    </row>
    <row r="382" spans="1:11" x14ac:dyDescent="0.25">
      <c r="A382" s="26">
        <v>332</v>
      </c>
      <c r="B382" s="82">
        <f t="shared" si="46"/>
        <v>0</v>
      </c>
      <c r="C382" s="58">
        <f t="shared" si="42"/>
        <v>171.9194128119324</v>
      </c>
      <c r="D382" s="83">
        <f t="shared" si="47"/>
        <v>733.33333333333326</v>
      </c>
      <c r="E382">
        <f t="shared" si="43"/>
        <v>0</v>
      </c>
      <c r="G382">
        <v>332</v>
      </c>
      <c r="H382" s="13">
        <f t="shared" si="48"/>
        <v>-1.0275684203264746E-2</v>
      </c>
      <c r="I382">
        <f t="shared" si="49"/>
        <v>168.50788565644851</v>
      </c>
      <c r="J382">
        <f t="shared" si="44"/>
        <v>726.01239919899911</v>
      </c>
      <c r="K382" s="27">
        <f t="shared" si="45"/>
        <v>-5416.0758834734697</v>
      </c>
    </row>
    <row r="383" spans="1:11" x14ac:dyDescent="0.25">
      <c r="A383" s="26">
        <v>333</v>
      </c>
      <c r="B383" s="82">
        <f t="shared" si="46"/>
        <v>0</v>
      </c>
      <c r="C383" s="58">
        <f t="shared" si="42"/>
        <v>171.9194128119324</v>
      </c>
      <c r="D383" s="83">
        <f t="shared" si="47"/>
        <v>733.33333333333326</v>
      </c>
      <c r="E383">
        <f t="shared" si="43"/>
        <v>0</v>
      </c>
      <c r="G383">
        <v>333</v>
      </c>
      <c r="H383" s="13">
        <f t="shared" si="48"/>
        <v>-1.0275684203264746E-2</v>
      </c>
      <c r="I383">
        <f t="shared" si="49"/>
        <v>168.49760997224524</v>
      </c>
      <c r="J383">
        <f t="shared" si="44"/>
        <v>725.98885491504416</v>
      </c>
      <c r="K383" s="27">
        <f t="shared" si="45"/>
        <v>-5415.7245266109885</v>
      </c>
    </row>
    <row r="384" spans="1:11" x14ac:dyDescent="0.25">
      <c r="A384" s="26">
        <v>334</v>
      </c>
      <c r="B384" s="82">
        <f t="shared" si="46"/>
        <v>0</v>
      </c>
      <c r="C384" s="58">
        <f t="shared" si="42"/>
        <v>171.9194128119324</v>
      </c>
      <c r="D384" s="83">
        <f t="shared" si="47"/>
        <v>733.33333333333326</v>
      </c>
      <c r="E384">
        <f t="shared" si="43"/>
        <v>0</v>
      </c>
      <c r="G384">
        <v>334</v>
      </c>
      <c r="H384" s="13">
        <f t="shared" si="48"/>
        <v>-1.0275684203264746E-2</v>
      </c>
      <c r="I384">
        <f t="shared" si="49"/>
        <v>168.48733428804198</v>
      </c>
      <c r="J384">
        <f t="shared" si="44"/>
        <v>725.96530062699719</v>
      </c>
      <c r="K384" s="27">
        <f t="shared" si="45"/>
        <v>-5415.373031811253</v>
      </c>
    </row>
    <row r="385" spans="1:11" x14ac:dyDescent="0.25">
      <c r="A385" s="26">
        <v>335</v>
      </c>
      <c r="B385" s="82">
        <f t="shared" si="46"/>
        <v>0</v>
      </c>
      <c r="C385" s="58">
        <f t="shared" si="42"/>
        <v>171.9194128119324</v>
      </c>
      <c r="D385" s="83">
        <f t="shared" si="47"/>
        <v>733.33333333333326</v>
      </c>
      <c r="E385">
        <f t="shared" si="43"/>
        <v>0</v>
      </c>
      <c r="G385">
        <v>335</v>
      </c>
      <c r="H385" s="13">
        <f t="shared" si="48"/>
        <v>-1.0275684203264746E-2</v>
      </c>
      <c r="I385">
        <f t="shared" si="49"/>
        <v>168.47705860383871</v>
      </c>
      <c r="J385">
        <f t="shared" si="44"/>
        <v>725.94173632413765</v>
      </c>
      <c r="K385" s="27">
        <f t="shared" si="45"/>
        <v>-5415.0213989287176</v>
      </c>
    </row>
    <row r="386" spans="1:11" x14ac:dyDescent="0.25">
      <c r="A386" s="26">
        <v>336</v>
      </c>
      <c r="B386" s="82">
        <f t="shared" si="46"/>
        <v>0</v>
      </c>
      <c r="C386" s="58">
        <f t="shared" si="42"/>
        <v>171.9194128119324</v>
      </c>
      <c r="D386" s="83">
        <f t="shared" si="47"/>
        <v>733.33333333333326</v>
      </c>
      <c r="E386">
        <f t="shared" si="43"/>
        <v>0</v>
      </c>
      <c r="G386">
        <v>336</v>
      </c>
      <c r="H386" s="13">
        <f t="shared" si="48"/>
        <v>-1.0275684203264746E-2</v>
      </c>
      <c r="I386">
        <f t="shared" si="49"/>
        <v>168.46678291963545</v>
      </c>
      <c r="J386">
        <f t="shared" si="44"/>
        <v>725.91816199572554</v>
      </c>
      <c r="K386" s="27">
        <f t="shared" si="45"/>
        <v>-5414.6696278175687</v>
      </c>
    </row>
    <row r="387" spans="1:11" x14ac:dyDescent="0.25">
      <c r="A387" s="26">
        <v>337</v>
      </c>
      <c r="B387" s="82">
        <f t="shared" si="46"/>
        <v>0</v>
      </c>
      <c r="C387" s="58">
        <f t="shared" si="42"/>
        <v>171.9194128119324</v>
      </c>
      <c r="D387" s="83">
        <f t="shared" si="47"/>
        <v>733.33333333333326</v>
      </c>
      <c r="E387">
        <f t="shared" si="43"/>
        <v>0</v>
      </c>
      <c r="G387">
        <v>337</v>
      </c>
      <c r="H387" s="13">
        <f t="shared" si="48"/>
        <v>-1.0275684203264746E-2</v>
      </c>
      <c r="I387">
        <f t="shared" si="49"/>
        <v>168.45650723543218</v>
      </c>
      <c r="J387">
        <f t="shared" si="44"/>
        <v>725.89457763100052</v>
      </c>
      <c r="K387" s="27">
        <f t="shared" si="45"/>
        <v>-5414.3177183317193</v>
      </c>
    </row>
    <row r="388" spans="1:11" x14ac:dyDescent="0.25">
      <c r="A388" s="26">
        <v>338</v>
      </c>
      <c r="B388" s="82">
        <f t="shared" si="46"/>
        <v>0</v>
      </c>
      <c r="C388" s="58">
        <f t="shared" si="42"/>
        <v>171.9194128119324</v>
      </c>
      <c r="D388" s="83">
        <f t="shared" si="47"/>
        <v>733.33333333333326</v>
      </c>
      <c r="E388">
        <f t="shared" si="43"/>
        <v>0</v>
      </c>
      <c r="G388">
        <v>338</v>
      </c>
      <c r="H388" s="13">
        <f t="shared" si="48"/>
        <v>-1.0275684203264746E-2</v>
      </c>
      <c r="I388">
        <f t="shared" si="49"/>
        <v>168.44623155122892</v>
      </c>
      <c r="J388">
        <f t="shared" si="44"/>
        <v>725.87098321918256</v>
      </c>
      <c r="K388" s="27">
        <f t="shared" si="45"/>
        <v>-5413.9656703248138</v>
      </c>
    </row>
    <row r="389" spans="1:11" x14ac:dyDescent="0.25">
      <c r="A389" s="26">
        <v>339</v>
      </c>
      <c r="B389" s="82">
        <f t="shared" si="46"/>
        <v>0</v>
      </c>
      <c r="C389" s="58">
        <f t="shared" si="42"/>
        <v>171.9194128119324</v>
      </c>
      <c r="D389" s="83">
        <f t="shared" si="47"/>
        <v>733.33333333333326</v>
      </c>
      <c r="E389">
        <f t="shared" si="43"/>
        <v>0</v>
      </c>
      <c r="G389">
        <v>339</v>
      </c>
      <c r="H389" s="13">
        <f t="shared" si="48"/>
        <v>-1.0275684203264746E-2</v>
      </c>
      <c r="I389">
        <f t="shared" si="49"/>
        <v>168.43595586702565</v>
      </c>
      <c r="J389">
        <f t="shared" si="44"/>
        <v>725.84737874947132</v>
      </c>
      <c r="K389" s="27">
        <f t="shared" si="45"/>
        <v>-5413.6134836502215</v>
      </c>
    </row>
    <row r="390" spans="1:11" x14ac:dyDescent="0.25">
      <c r="A390" s="26">
        <v>340</v>
      </c>
      <c r="B390" s="82">
        <f t="shared" si="46"/>
        <v>0</v>
      </c>
      <c r="C390" s="58">
        <f t="shared" si="42"/>
        <v>171.9194128119324</v>
      </c>
      <c r="D390" s="83">
        <f t="shared" si="47"/>
        <v>733.33333333333326</v>
      </c>
      <c r="E390">
        <f t="shared" si="43"/>
        <v>0</v>
      </c>
      <c r="G390">
        <v>340</v>
      </c>
      <c r="H390" s="13">
        <f t="shared" si="48"/>
        <v>-1.0275684203264746E-2</v>
      </c>
      <c r="I390">
        <f t="shared" si="49"/>
        <v>168.42568018282239</v>
      </c>
      <c r="J390">
        <f t="shared" si="44"/>
        <v>725.82376421104652</v>
      </c>
      <c r="K390" s="27">
        <f t="shared" si="45"/>
        <v>-5413.2611581610408</v>
      </c>
    </row>
    <row r="391" spans="1:11" x14ac:dyDescent="0.25">
      <c r="A391" s="26">
        <v>341</v>
      </c>
      <c r="B391" s="82">
        <f t="shared" si="46"/>
        <v>0</v>
      </c>
      <c r="C391" s="58">
        <f t="shared" si="42"/>
        <v>171.9194128119324</v>
      </c>
      <c r="D391" s="83">
        <f t="shared" si="47"/>
        <v>733.33333333333326</v>
      </c>
      <c r="E391">
        <f t="shared" si="43"/>
        <v>0</v>
      </c>
      <c r="G391">
        <v>341</v>
      </c>
      <c r="H391" s="13">
        <f t="shared" si="48"/>
        <v>-1.0275684203264746E-2</v>
      </c>
      <c r="I391">
        <f t="shared" si="49"/>
        <v>168.41540449861913</v>
      </c>
      <c r="J391">
        <f t="shared" si="44"/>
        <v>725.8001395930678</v>
      </c>
      <c r="K391" s="27">
        <f t="shared" si="45"/>
        <v>-5412.9086937100947</v>
      </c>
    </row>
    <row r="392" spans="1:11" x14ac:dyDescent="0.25">
      <c r="A392" s="26">
        <v>342</v>
      </c>
      <c r="B392" s="82">
        <f t="shared" si="46"/>
        <v>0</v>
      </c>
      <c r="C392" s="58">
        <f t="shared" si="42"/>
        <v>171.9194128119324</v>
      </c>
      <c r="D392" s="83">
        <f t="shared" si="47"/>
        <v>733.33333333333326</v>
      </c>
      <c r="E392">
        <f t="shared" si="43"/>
        <v>0</v>
      </c>
      <c r="G392">
        <v>342</v>
      </c>
      <c r="H392" s="13">
        <f t="shared" si="48"/>
        <v>-1.0275684203264746E-2</v>
      </c>
      <c r="I392">
        <f t="shared" si="49"/>
        <v>168.40512881441586</v>
      </c>
      <c r="J392">
        <f t="shared" si="44"/>
        <v>725.7765048846743</v>
      </c>
      <c r="K392" s="27">
        <f t="shared" si="45"/>
        <v>-5412.5560901499348</v>
      </c>
    </row>
    <row r="393" spans="1:11" x14ac:dyDescent="0.25">
      <c r="A393" s="26">
        <v>343</v>
      </c>
      <c r="B393" s="82">
        <f t="shared" si="46"/>
        <v>0</v>
      </c>
      <c r="C393" s="58">
        <f t="shared" si="42"/>
        <v>171.9194128119324</v>
      </c>
      <c r="D393" s="83">
        <f t="shared" si="47"/>
        <v>733.33333333333326</v>
      </c>
      <c r="E393">
        <f t="shared" si="43"/>
        <v>0</v>
      </c>
      <c r="G393">
        <v>343</v>
      </c>
      <c r="H393" s="13">
        <f t="shared" si="48"/>
        <v>-1.0275684203264746E-2</v>
      </c>
      <c r="I393">
        <f t="shared" si="49"/>
        <v>168.3948531302126</v>
      </c>
      <c r="J393">
        <f t="shared" si="44"/>
        <v>725.75286007498528</v>
      </c>
      <c r="K393" s="27">
        <f t="shared" si="45"/>
        <v>-5412.2033473328356</v>
      </c>
    </row>
    <row r="394" spans="1:11" x14ac:dyDescent="0.25">
      <c r="A394" s="26">
        <v>344</v>
      </c>
      <c r="B394" s="82">
        <f t="shared" si="46"/>
        <v>0</v>
      </c>
      <c r="C394" s="58">
        <f t="shared" si="42"/>
        <v>171.9194128119324</v>
      </c>
      <c r="D394" s="83">
        <f t="shared" si="47"/>
        <v>733.33333333333326</v>
      </c>
      <c r="E394">
        <f t="shared" si="43"/>
        <v>0</v>
      </c>
      <c r="G394">
        <v>344</v>
      </c>
      <c r="H394" s="13">
        <f t="shared" si="48"/>
        <v>-1.0275684203264746E-2</v>
      </c>
      <c r="I394">
        <f t="shared" si="49"/>
        <v>168.38457744600933</v>
      </c>
      <c r="J394">
        <f t="shared" si="44"/>
        <v>725.72920515309943</v>
      </c>
      <c r="K394" s="27">
        <f t="shared" si="45"/>
        <v>-5411.8504651107924</v>
      </c>
    </row>
    <row r="395" spans="1:11" x14ac:dyDescent="0.25">
      <c r="A395" s="26">
        <v>345</v>
      </c>
      <c r="B395" s="82">
        <f t="shared" si="46"/>
        <v>0</v>
      </c>
      <c r="C395" s="58">
        <f t="shared" si="42"/>
        <v>171.9194128119324</v>
      </c>
      <c r="D395" s="83">
        <f t="shared" si="47"/>
        <v>733.33333333333326</v>
      </c>
      <c r="E395">
        <f t="shared" si="43"/>
        <v>0</v>
      </c>
      <c r="G395">
        <v>345</v>
      </c>
      <c r="H395" s="13">
        <f t="shared" si="48"/>
        <v>-1.0275684203264746E-2</v>
      </c>
      <c r="I395">
        <f t="shared" si="49"/>
        <v>168.37430176180607</v>
      </c>
      <c r="J395">
        <f t="shared" si="44"/>
        <v>725.70554010809519</v>
      </c>
      <c r="K395" s="27">
        <f t="shared" si="45"/>
        <v>-5411.4974433355301</v>
      </c>
    </row>
    <row r="396" spans="1:11" x14ac:dyDescent="0.25">
      <c r="A396" s="26">
        <v>346</v>
      </c>
      <c r="B396" s="82">
        <f t="shared" si="46"/>
        <v>0</v>
      </c>
      <c r="C396" s="58">
        <f t="shared" si="42"/>
        <v>171.9194128119324</v>
      </c>
      <c r="D396" s="83">
        <f t="shared" si="47"/>
        <v>733.33333333333326</v>
      </c>
      <c r="E396">
        <f t="shared" si="43"/>
        <v>0</v>
      </c>
      <c r="G396">
        <v>346</v>
      </c>
      <c r="H396" s="13">
        <f t="shared" si="48"/>
        <v>-1.0275684203264746E-2</v>
      </c>
      <c r="I396">
        <f t="shared" si="49"/>
        <v>168.3640260776028</v>
      </c>
      <c r="J396">
        <f t="shared" si="44"/>
        <v>725.68186492903044</v>
      </c>
      <c r="K396" s="27">
        <f t="shared" si="45"/>
        <v>-5411.1442818584919</v>
      </c>
    </row>
    <row r="397" spans="1:11" x14ac:dyDescent="0.25">
      <c r="A397" s="26">
        <v>347</v>
      </c>
      <c r="B397" s="82">
        <f t="shared" si="46"/>
        <v>0</v>
      </c>
      <c r="C397" s="58">
        <f t="shared" si="42"/>
        <v>171.9194128119324</v>
      </c>
      <c r="D397" s="83">
        <f t="shared" si="47"/>
        <v>733.33333333333326</v>
      </c>
      <c r="E397">
        <f t="shared" si="43"/>
        <v>0</v>
      </c>
      <c r="G397">
        <v>347</v>
      </c>
      <c r="H397" s="13">
        <f t="shared" si="48"/>
        <v>-1.0275684203264746E-2</v>
      </c>
      <c r="I397">
        <f t="shared" si="49"/>
        <v>168.35375039339954</v>
      </c>
      <c r="J397">
        <f t="shared" si="44"/>
        <v>725.6581796049428</v>
      </c>
      <c r="K397" s="27">
        <f t="shared" si="45"/>
        <v>-5410.7909805308473</v>
      </c>
    </row>
    <row r="398" spans="1:11" x14ac:dyDescent="0.25">
      <c r="A398" s="26">
        <v>348</v>
      </c>
      <c r="B398" s="82">
        <f t="shared" si="46"/>
        <v>0</v>
      </c>
      <c r="C398" s="58">
        <f t="shared" si="42"/>
        <v>171.9194128119324</v>
      </c>
      <c r="D398" s="83">
        <f t="shared" si="47"/>
        <v>733.33333333333326</v>
      </c>
      <c r="E398">
        <f t="shared" si="43"/>
        <v>0</v>
      </c>
      <c r="G398">
        <v>348</v>
      </c>
      <c r="H398" s="13">
        <f t="shared" si="48"/>
        <v>-1.0275684203264746E-2</v>
      </c>
      <c r="I398">
        <f t="shared" si="49"/>
        <v>168.34347470919627</v>
      </c>
      <c r="J398">
        <f t="shared" si="44"/>
        <v>725.63448412484922</v>
      </c>
      <c r="K398" s="27">
        <f t="shared" si="45"/>
        <v>-5410.4375392034799</v>
      </c>
    </row>
    <row r="399" spans="1:11" x14ac:dyDescent="0.25">
      <c r="A399" s="26">
        <v>349</v>
      </c>
      <c r="B399" s="82">
        <f t="shared" si="46"/>
        <v>0</v>
      </c>
      <c r="C399" s="58">
        <f t="shared" si="42"/>
        <v>171.9194128119324</v>
      </c>
      <c r="D399" s="83">
        <f t="shared" si="47"/>
        <v>733.33333333333326</v>
      </c>
      <c r="E399">
        <f t="shared" si="43"/>
        <v>0</v>
      </c>
      <c r="G399">
        <v>349</v>
      </c>
      <c r="H399" s="13">
        <f t="shared" si="48"/>
        <v>-1.0275684203264746E-2</v>
      </c>
      <c r="I399">
        <f t="shared" si="49"/>
        <v>168.33319902499301</v>
      </c>
      <c r="J399">
        <f t="shared" si="44"/>
        <v>725.61077847774607</v>
      </c>
      <c r="K399" s="27">
        <f t="shared" si="45"/>
        <v>-5410.0839577270008</v>
      </c>
    </row>
    <row r="400" spans="1:11" x14ac:dyDescent="0.25">
      <c r="A400" s="26">
        <v>350</v>
      </c>
      <c r="B400" s="82">
        <f t="shared" si="46"/>
        <v>0</v>
      </c>
      <c r="C400" s="58">
        <f t="shared" ref="C400:C463" si="50">($C$37-$C$36)/2000+C399</f>
        <v>171.9194128119324</v>
      </c>
      <c r="D400" s="83">
        <f t="shared" si="47"/>
        <v>733.33333333333326</v>
      </c>
      <c r="E400">
        <f t="shared" si="43"/>
        <v>0</v>
      </c>
      <c r="G400">
        <v>350</v>
      </c>
      <c r="H400" s="13">
        <f t="shared" si="48"/>
        <v>-1.0275684203264746E-2</v>
      </c>
      <c r="I400">
        <f t="shared" si="49"/>
        <v>168.32292334078974</v>
      </c>
      <c r="J400">
        <f t="shared" si="44"/>
        <v>725.58706265260912</v>
      </c>
      <c r="K400" s="27">
        <f t="shared" si="45"/>
        <v>-5409.7302359517371</v>
      </c>
    </row>
    <row r="401" spans="1:11" x14ac:dyDescent="0.25">
      <c r="A401" s="26">
        <v>351</v>
      </c>
      <c r="B401" s="82">
        <f t="shared" si="46"/>
        <v>0</v>
      </c>
      <c r="C401" s="58">
        <f t="shared" si="50"/>
        <v>171.9194128119324</v>
      </c>
      <c r="D401" s="83">
        <f t="shared" si="47"/>
        <v>733.33333333333326</v>
      </c>
      <c r="E401">
        <f t="shared" si="43"/>
        <v>0</v>
      </c>
      <c r="G401">
        <v>351</v>
      </c>
      <c r="H401" s="13">
        <f t="shared" si="48"/>
        <v>-1.0275684203264746E-2</v>
      </c>
      <c r="I401">
        <f t="shared" si="49"/>
        <v>168.31264765658648</v>
      </c>
      <c r="J401">
        <f t="shared" si="44"/>
        <v>725.56333663839348</v>
      </c>
      <c r="K401" s="27">
        <f t="shared" si="45"/>
        <v>-5409.3763737277359</v>
      </c>
    </row>
    <row r="402" spans="1:11" x14ac:dyDescent="0.25">
      <c r="A402" s="26">
        <v>352</v>
      </c>
      <c r="B402" s="82">
        <f t="shared" si="46"/>
        <v>0</v>
      </c>
      <c r="C402" s="58">
        <f t="shared" si="50"/>
        <v>171.9194128119324</v>
      </c>
      <c r="D402" s="83">
        <f t="shared" si="47"/>
        <v>733.33333333333326</v>
      </c>
      <c r="E402">
        <f t="shared" si="43"/>
        <v>0</v>
      </c>
      <c r="G402">
        <v>352</v>
      </c>
      <c r="H402" s="13">
        <f t="shared" si="48"/>
        <v>-1.0275684203264746E-2</v>
      </c>
      <c r="I402">
        <f t="shared" si="49"/>
        <v>168.30237197238321</v>
      </c>
      <c r="J402">
        <f t="shared" si="44"/>
        <v>725.53960042403355</v>
      </c>
      <c r="K402" s="27">
        <f t="shared" si="45"/>
        <v>-5409.022370904765</v>
      </c>
    </row>
    <row r="403" spans="1:11" x14ac:dyDescent="0.25">
      <c r="A403" s="26">
        <v>353</v>
      </c>
      <c r="B403" s="82">
        <f t="shared" si="46"/>
        <v>0</v>
      </c>
      <c r="C403" s="58">
        <f t="shared" si="50"/>
        <v>171.9194128119324</v>
      </c>
      <c r="D403" s="83">
        <f t="shared" si="47"/>
        <v>733.33333333333326</v>
      </c>
      <c r="E403">
        <f t="shared" si="43"/>
        <v>0</v>
      </c>
      <c r="G403">
        <v>353</v>
      </c>
      <c r="H403" s="13">
        <f t="shared" si="48"/>
        <v>-1.0275684203264746E-2</v>
      </c>
      <c r="I403">
        <f t="shared" si="49"/>
        <v>168.29209628817995</v>
      </c>
      <c r="J403">
        <f t="shared" si="44"/>
        <v>725.51585399844282</v>
      </c>
      <c r="K403" s="27">
        <f t="shared" si="45"/>
        <v>-5408.668227332304</v>
      </c>
    </row>
    <row r="404" spans="1:11" x14ac:dyDescent="0.25">
      <c r="A404" s="26">
        <v>354</v>
      </c>
      <c r="B404" s="82">
        <f t="shared" si="46"/>
        <v>0</v>
      </c>
      <c r="C404" s="58">
        <f t="shared" si="50"/>
        <v>171.9194128119324</v>
      </c>
      <c r="D404" s="83">
        <f t="shared" si="47"/>
        <v>733.33333333333326</v>
      </c>
      <c r="E404">
        <f t="shared" si="43"/>
        <v>0</v>
      </c>
      <c r="G404">
        <v>354</v>
      </c>
      <c r="H404" s="13">
        <f t="shared" si="48"/>
        <v>-1.0275684203264746E-2</v>
      </c>
      <c r="I404">
        <f t="shared" si="49"/>
        <v>168.28182060397668</v>
      </c>
      <c r="J404">
        <f t="shared" si="44"/>
        <v>725.49209735051397</v>
      </c>
      <c r="K404" s="27">
        <f t="shared" si="45"/>
        <v>-5408.313942859555</v>
      </c>
    </row>
    <row r="405" spans="1:11" x14ac:dyDescent="0.25">
      <c r="A405" s="26">
        <v>355</v>
      </c>
      <c r="B405" s="82">
        <f t="shared" si="46"/>
        <v>0</v>
      </c>
      <c r="C405" s="58">
        <f t="shared" si="50"/>
        <v>171.9194128119324</v>
      </c>
      <c r="D405" s="83">
        <f t="shared" si="47"/>
        <v>733.33333333333326</v>
      </c>
      <c r="E405">
        <f t="shared" si="43"/>
        <v>0</v>
      </c>
      <c r="G405">
        <v>355</v>
      </c>
      <c r="H405" s="13">
        <f t="shared" si="48"/>
        <v>-1.0275684203264746E-2</v>
      </c>
      <c r="I405">
        <f t="shared" si="49"/>
        <v>168.27154491977342</v>
      </c>
      <c r="J405">
        <f t="shared" si="44"/>
        <v>725.46833046911877</v>
      </c>
      <c r="K405" s="27">
        <f t="shared" si="45"/>
        <v>-5407.9595173354328</v>
      </c>
    </row>
    <row r="406" spans="1:11" x14ac:dyDescent="0.25">
      <c r="A406" s="26">
        <v>356</v>
      </c>
      <c r="B406" s="82">
        <f t="shared" si="46"/>
        <v>0</v>
      </c>
      <c r="C406" s="58">
        <f t="shared" si="50"/>
        <v>171.9194128119324</v>
      </c>
      <c r="D406" s="83">
        <f t="shared" si="47"/>
        <v>733.33333333333326</v>
      </c>
      <c r="E406">
        <f t="shared" si="43"/>
        <v>0</v>
      </c>
      <c r="G406">
        <v>356</v>
      </c>
      <c r="H406" s="13">
        <f t="shared" si="48"/>
        <v>-1.0275684203264746E-2</v>
      </c>
      <c r="I406">
        <f t="shared" si="49"/>
        <v>168.26126923557015</v>
      </c>
      <c r="J406">
        <f t="shared" si="44"/>
        <v>725.44455334310817</v>
      </c>
      <c r="K406" s="27">
        <f t="shared" si="45"/>
        <v>-5407.6049506085683</v>
      </c>
    </row>
    <row r="407" spans="1:11" x14ac:dyDescent="0.25">
      <c r="A407" s="26">
        <v>357</v>
      </c>
      <c r="B407" s="82">
        <f t="shared" si="46"/>
        <v>0</v>
      </c>
      <c r="C407" s="58">
        <f t="shared" si="50"/>
        <v>171.9194128119324</v>
      </c>
      <c r="D407" s="83">
        <f t="shared" si="47"/>
        <v>733.33333333333326</v>
      </c>
      <c r="E407">
        <f t="shared" si="43"/>
        <v>0</v>
      </c>
      <c r="G407">
        <v>357</v>
      </c>
      <c r="H407" s="13">
        <f t="shared" si="48"/>
        <v>-1.0275684203264746E-2</v>
      </c>
      <c r="I407">
        <f t="shared" si="49"/>
        <v>168.25099355136689</v>
      </c>
      <c r="J407">
        <f t="shared" si="44"/>
        <v>725.42076596131187</v>
      </c>
      <c r="K407" s="27">
        <f t="shared" si="45"/>
        <v>-5407.2502425273087</v>
      </c>
    </row>
    <row r="408" spans="1:11" x14ac:dyDescent="0.25">
      <c r="A408" s="26">
        <v>358</v>
      </c>
      <c r="B408" s="82">
        <f t="shared" si="46"/>
        <v>0</v>
      </c>
      <c r="C408" s="58">
        <f t="shared" si="50"/>
        <v>171.9194128119324</v>
      </c>
      <c r="D408" s="83">
        <f t="shared" si="47"/>
        <v>733.33333333333326</v>
      </c>
      <c r="E408">
        <f t="shared" si="43"/>
        <v>0</v>
      </c>
      <c r="G408">
        <v>358</v>
      </c>
      <c r="H408" s="13">
        <f t="shared" si="48"/>
        <v>-1.0275684203264746E-2</v>
      </c>
      <c r="I408">
        <f t="shared" si="49"/>
        <v>168.24071786716362</v>
      </c>
      <c r="J408">
        <f t="shared" si="44"/>
        <v>725.39696831253855</v>
      </c>
      <c r="K408" s="27">
        <f t="shared" si="45"/>
        <v>-5406.895392939713</v>
      </c>
    </row>
    <row r="409" spans="1:11" x14ac:dyDescent="0.25">
      <c r="A409" s="26">
        <v>359</v>
      </c>
      <c r="B409" s="82">
        <f t="shared" si="46"/>
        <v>0</v>
      </c>
      <c r="C409" s="58">
        <f t="shared" si="50"/>
        <v>171.9194128119324</v>
      </c>
      <c r="D409" s="83">
        <f t="shared" si="47"/>
        <v>733.33333333333326</v>
      </c>
      <c r="E409">
        <f t="shared" si="43"/>
        <v>0</v>
      </c>
      <c r="G409">
        <v>359</v>
      </c>
      <c r="H409" s="13">
        <f t="shared" si="48"/>
        <v>-1.0275684203264746E-2</v>
      </c>
      <c r="I409">
        <f t="shared" si="49"/>
        <v>168.23044218296036</v>
      </c>
      <c r="J409">
        <f t="shared" si="44"/>
        <v>725.37316038557594</v>
      </c>
      <c r="K409" s="27">
        <f t="shared" si="45"/>
        <v>-5406.5404016935518</v>
      </c>
    </row>
    <row r="410" spans="1:11" x14ac:dyDescent="0.25">
      <c r="A410" s="26">
        <v>360</v>
      </c>
      <c r="B410" s="82">
        <f t="shared" si="46"/>
        <v>0</v>
      </c>
      <c r="C410" s="58">
        <f t="shared" si="50"/>
        <v>171.9194128119324</v>
      </c>
      <c r="D410" s="83">
        <f t="shared" si="47"/>
        <v>733.33333333333326</v>
      </c>
      <c r="E410">
        <f t="shared" si="43"/>
        <v>0</v>
      </c>
      <c r="G410">
        <v>360</v>
      </c>
      <c r="H410" s="13">
        <f t="shared" si="48"/>
        <v>-1.0275684203264746E-2</v>
      </c>
      <c r="I410">
        <f t="shared" si="49"/>
        <v>168.2201664987571</v>
      </c>
      <c r="J410">
        <f t="shared" si="44"/>
        <v>725.34934216919044</v>
      </c>
      <c r="K410" s="27">
        <f t="shared" si="45"/>
        <v>-5406.1852686363118</v>
      </c>
    </row>
    <row r="411" spans="1:11" x14ac:dyDescent="0.25">
      <c r="A411" s="26">
        <v>361</v>
      </c>
      <c r="B411" s="82">
        <f t="shared" si="46"/>
        <v>0</v>
      </c>
      <c r="C411" s="58">
        <f t="shared" si="50"/>
        <v>171.9194128119324</v>
      </c>
      <c r="D411" s="83">
        <f t="shared" si="47"/>
        <v>733.33333333333326</v>
      </c>
      <c r="E411">
        <f t="shared" si="43"/>
        <v>0</v>
      </c>
      <c r="G411">
        <v>361</v>
      </c>
      <c r="H411" s="13">
        <f t="shared" si="48"/>
        <v>-1.0275684203264746E-2</v>
      </c>
      <c r="I411">
        <f t="shared" si="49"/>
        <v>168.20989081455383</v>
      </c>
      <c r="J411">
        <f t="shared" si="44"/>
        <v>725.32551365212714</v>
      </c>
      <c r="K411" s="27">
        <f t="shared" si="45"/>
        <v>-5405.829993615188</v>
      </c>
    </row>
    <row r="412" spans="1:11" x14ac:dyDescent="0.25">
      <c r="A412" s="26">
        <v>362</v>
      </c>
      <c r="B412" s="82">
        <f t="shared" si="46"/>
        <v>0</v>
      </c>
      <c r="C412" s="58">
        <f t="shared" si="50"/>
        <v>171.9194128119324</v>
      </c>
      <c r="D412" s="83">
        <f t="shared" si="47"/>
        <v>733.33333333333326</v>
      </c>
      <c r="E412">
        <f t="shared" si="43"/>
        <v>0</v>
      </c>
      <c r="G412">
        <v>362</v>
      </c>
      <c r="H412" s="13">
        <f t="shared" si="48"/>
        <v>-1.0275684203264746E-2</v>
      </c>
      <c r="I412">
        <f t="shared" si="49"/>
        <v>168.19961513035057</v>
      </c>
      <c r="J412">
        <f t="shared" si="44"/>
        <v>725.30167482311003</v>
      </c>
      <c r="K412" s="27">
        <f t="shared" si="45"/>
        <v>-5405.4745764770896</v>
      </c>
    </row>
    <row r="413" spans="1:11" x14ac:dyDescent="0.25">
      <c r="A413" s="26">
        <v>363</v>
      </c>
      <c r="B413" s="82">
        <f t="shared" si="46"/>
        <v>0</v>
      </c>
      <c r="C413" s="58">
        <f t="shared" si="50"/>
        <v>171.9194128119324</v>
      </c>
      <c r="D413" s="83">
        <f t="shared" si="47"/>
        <v>733.33333333333326</v>
      </c>
      <c r="E413">
        <f t="shared" si="43"/>
        <v>0</v>
      </c>
      <c r="G413">
        <v>363</v>
      </c>
      <c r="H413" s="13">
        <f t="shared" si="48"/>
        <v>-1.0275684203264746E-2</v>
      </c>
      <c r="I413">
        <f t="shared" si="49"/>
        <v>168.1893394461473</v>
      </c>
      <c r="J413">
        <f t="shared" si="44"/>
        <v>725.27782567084159</v>
      </c>
      <c r="K413" s="27">
        <f t="shared" si="45"/>
        <v>-5405.1190170686305</v>
      </c>
    </row>
    <row r="414" spans="1:11" x14ac:dyDescent="0.25">
      <c r="A414" s="26">
        <v>364</v>
      </c>
      <c r="B414" s="82">
        <f t="shared" si="46"/>
        <v>0</v>
      </c>
      <c r="C414" s="58">
        <f t="shared" si="50"/>
        <v>171.9194128119324</v>
      </c>
      <c r="D414" s="83">
        <f t="shared" si="47"/>
        <v>733.33333333333326</v>
      </c>
      <c r="E414">
        <f t="shared" si="43"/>
        <v>0</v>
      </c>
      <c r="G414">
        <v>364</v>
      </c>
      <c r="H414" s="13">
        <f t="shared" si="48"/>
        <v>-1.0275684203264746E-2</v>
      </c>
      <c r="I414">
        <f t="shared" si="49"/>
        <v>168.17906376194404</v>
      </c>
      <c r="J414">
        <f t="shared" si="44"/>
        <v>725.25396618400282</v>
      </c>
      <c r="K414" s="27">
        <f t="shared" si="45"/>
        <v>-5404.7633152361377</v>
      </c>
    </row>
    <row r="415" spans="1:11" x14ac:dyDescent="0.25">
      <c r="A415" s="26">
        <v>365</v>
      </c>
      <c r="B415" s="82">
        <f t="shared" si="46"/>
        <v>0</v>
      </c>
      <c r="C415" s="58">
        <f t="shared" si="50"/>
        <v>171.9194128119324</v>
      </c>
      <c r="D415" s="83">
        <f t="shared" si="47"/>
        <v>733.33333333333326</v>
      </c>
      <c r="E415">
        <f t="shared" si="43"/>
        <v>0</v>
      </c>
      <c r="G415">
        <v>365</v>
      </c>
      <c r="H415" s="13">
        <f t="shared" si="48"/>
        <v>-1.0275684203264746E-2</v>
      </c>
      <c r="I415">
        <f t="shared" si="49"/>
        <v>168.16878807774077</v>
      </c>
      <c r="J415">
        <f t="shared" si="44"/>
        <v>725.23009635125356</v>
      </c>
      <c r="K415" s="27">
        <f t="shared" si="45"/>
        <v>-5404.4074708256467</v>
      </c>
    </row>
    <row r="416" spans="1:11" x14ac:dyDescent="0.25">
      <c r="A416" s="26">
        <v>366</v>
      </c>
      <c r="B416" s="82">
        <f t="shared" si="46"/>
        <v>0</v>
      </c>
      <c r="C416" s="58">
        <f t="shared" si="50"/>
        <v>171.9194128119324</v>
      </c>
      <c r="D416" s="83">
        <f t="shared" si="47"/>
        <v>733.33333333333326</v>
      </c>
      <c r="E416">
        <f t="shared" si="43"/>
        <v>0</v>
      </c>
      <c r="G416">
        <v>366</v>
      </c>
      <c r="H416" s="13">
        <f t="shared" si="48"/>
        <v>-1.0275684203264746E-2</v>
      </c>
      <c r="I416">
        <f t="shared" si="49"/>
        <v>168.15851239353751</v>
      </c>
      <c r="J416">
        <f t="shared" si="44"/>
        <v>725.20621616123185</v>
      </c>
      <c r="K416" s="27">
        <f t="shared" si="45"/>
        <v>-5404.0514836828997</v>
      </c>
    </row>
    <row r="417" spans="1:11" x14ac:dyDescent="0.25">
      <c r="A417" s="26">
        <v>367</v>
      </c>
      <c r="B417" s="82">
        <f t="shared" si="46"/>
        <v>0</v>
      </c>
      <c r="C417" s="58">
        <f t="shared" si="50"/>
        <v>171.9194128119324</v>
      </c>
      <c r="D417" s="83">
        <f t="shared" si="47"/>
        <v>733.33333333333326</v>
      </c>
      <c r="E417">
        <f t="shared" si="43"/>
        <v>0</v>
      </c>
      <c r="G417">
        <v>367</v>
      </c>
      <c r="H417" s="13">
        <f t="shared" si="48"/>
        <v>-1.0275684203264746E-2</v>
      </c>
      <c r="I417">
        <f t="shared" si="49"/>
        <v>168.14823670933424</v>
      </c>
      <c r="J417">
        <f t="shared" si="44"/>
        <v>725.1823256025541</v>
      </c>
      <c r="K417" s="27">
        <f t="shared" si="45"/>
        <v>-5403.6953536533447</v>
      </c>
    </row>
    <row r="418" spans="1:11" x14ac:dyDescent="0.25">
      <c r="A418" s="26">
        <v>368</v>
      </c>
      <c r="B418" s="82">
        <f t="shared" si="46"/>
        <v>0</v>
      </c>
      <c r="C418" s="58">
        <f t="shared" si="50"/>
        <v>171.9194128119324</v>
      </c>
      <c r="D418" s="83">
        <f t="shared" si="47"/>
        <v>733.33333333333326</v>
      </c>
      <c r="E418">
        <f t="shared" si="43"/>
        <v>0</v>
      </c>
      <c r="G418">
        <v>368</v>
      </c>
      <c r="H418" s="13">
        <f t="shared" si="48"/>
        <v>-1.0275684203264746E-2</v>
      </c>
      <c r="I418">
        <f t="shared" si="49"/>
        <v>168.13796102513098</v>
      </c>
      <c r="J418">
        <f t="shared" si="44"/>
        <v>725.15842466381537</v>
      </c>
      <c r="K418" s="27">
        <f t="shared" si="45"/>
        <v>-5403.3390805821364</v>
      </c>
    </row>
    <row r="419" spans="1:11" x14ac:dyDescent="0.25">
      <c r="A419" s="26">
        <v>369</v>
      </c>
      <c r="B419" s="82">
        <f t="shared" si="46"/>
        <v>0</v>
      </c>
      <c r="C419" s="58">
        <f t="shared" si="50"/>
        <v>171.9194128119324</v>
      </c>
      <c r="D419" s="83">
        <f t="shared" si="47"/>
        <v>733.33333333333326</v>
      </c>
      <c r="E419">
        <f t="shared" si="43"/>
        <v>0</v>
      </c>
      <c r="G419">
        <v>369</v>
      </c>
      <c r="H419" s="13">
        <f t="shared" si="48"/>
        <v>-1.0275684203264746E-2</v>
      </c>
      <c r="I419">
        <f t="shared" si="49"/>
        <v>168.12768534092771</v>
      </c>
      <c r="J419">
        <f t="shared" si="44"/>
        <v>725.13451333358876</v>
      </c>
      <c r="K419" s="27">
        <f t="shared" si="45"/>
        <v>-5402.9826643141359</v>
      </c>
    </row>
    <row r="420" spans="1:11" x14ac:dyDescent="0.25">
      <c r="A420" s="26">
        <v>370</v>
      </c>
      <c r="B420" s="82">
        <f t="shared" si="46"/>
        <v>0</v>
      </c>
      <c r="C420" s="58">
        <f t="shared" si="50"/>
        <v>171.9194128119324</v>
      </c>
      <c r="D420" s="83">
        <f t="shared" si="47"/>
        <v>733.33333333333326</v>
      </c>
      <c r="E420">
        <f t="shared" si="43"/>
        <v>0</v>
      </c>
      <c r="G420">
        <v>370</v>
      </c>
      <c r="H420" s="13">
        <f t="shared" si="48"/>
        <v>-1.0275684203264746E-2</v>
      </c>
      <c r="I420">
        <f t="shared" si="49"/>
        <v>168.11740965672445</v>
      </c>
      <c r="J420">
        <f t="shared" si="44"/>
        <v>725.11059160042566</v>
      </c>
      <c r="K420" s="27">
        <f t="shared" si="45"/>
        <v>-5402.6261046939062</v>
      </c>
    </row>
    <row r="421" spans="1:11" x14ac:dyDescent="0.25">
      <c r="A421" s="26">
        <v>371</v>
      </c>
      <c r="B421" s="82">
        <f t="shared" si="46"/>
        <v>0</v>
      </c>
      <c r="C421" s="58">
        <f t="shared" si="50"/>
        <v>171.9194128119324</v>
      </c>
      <c r="D421" s="83">
        <f t="shared" si="47"/>
        <v>733.33333333333326</v>
      </c>
      <c r="E421">
        <f t="shared" si="43"/>
        <v>0</v>
      </c>
      <c r="G421">
        <v>371</v>
      </c>
      <c r="H421" s="13">
        <f t="shared" si="48"/>
        <v>-1.0275684203264746E-2</v>
      </c>
      <c r="I421">
        <f t="shared" si="49"/>
        <v>168.10713397252118</v>
      </c>
      <c r="J421">
        <f t="shared" si="44"/>
        <v>725.08665945285577</v>
      </c>
      <c r="K421" s="27">
        <f t="shared" si="45"/>
        <v>-5402.2694015657207</v>
      </c>
    </row>
    <row r="422" spans="1:11" x14ac:dyDescent="0.25">
      <c r="A422" s="26">
        <v>372</v>
      </c>
      <c r="B422" s="82">
        <f t="shared" si="46"/>
        <v>0</v>
      </c>
      <c r="C422" s="58">
        <f t="shared" si="50"/>
        <v>171.9194128119324</v>
      </c>
      <c r="D422" s="83">
        <f t="shared" si="47"/>
        <v>733.33333333333326</v>
      </c>
      <c r="E422">
        <f t="shared" si="43"/>
        <v>0</v>
      </c>
      <c r="G422">
        <v>372</v>
      </c>
      <c r="H422" s="13">
        <f t="shared" si="48"/>
        <v>-1.0275684203264746E-2</v>
      </c>
      <c r="I422">
        <f t="shared" si="49"/>
        <v>168.09685828831792</v>
      </c>
      <c r="J422">
        <f t="shared" si="44"/>
        <v>725.06271687938693</v>
      </c>
      <c r="K422" s="27">
        <f t="shared" si="45"/>
        <v>-5401.9125547735466</v>
      </c>
    </row>
    <row r="423" spans="1:11" x14ac:dyDescent="0.25">
      <c r="A423" s="26">
        <v>373</v>
      </c>
      <c r="B423" s="82">
        <f t="shared" si="46"/>
        <v>0</v>
      </c>
      <c r="C423" s="58">
        <f t="shared" si="50"/>
        <v>171.9194128119324</v>
      </c>
      <c r="D423" s="83">
        <f t="shared" si="47"/>
        <v>733.33333333333326</v>
      </c>
      <c r="E423">
        <f t="shared" si="43"/>
        <v>0</v>
      </c>
      <c r="G423">
        <v>373</v>
      </c>
      <c r="H423" s="13">
        <f t="shared" si="48"/>
        <v>-1.0275684203264746E-2</v>
      </c>
      <c r="I423">
        <f t="shared" si="49"/>
        <v>168.08658260411465</v>
      </c>
      <c r="J423">
        <f t="shared" si="44"/>
        <v>725.0387638685047</v>
      </c>
      <c r="K423" s="27">
        <f t="shared" si="45"/>
        <v>-5401.5555641610581</v>
      </c>
    </row>
    <row r="424" spans="1:11" x14ac:dyDescent="0.25">
      <c r="A424" s="26">
        <v>374</v>
      </c>
      <c r="B424" s="82">
        <f t="shared" si="46"/>
        <v>0</v>
      </c>
      <c r="C424" s="58">
        <f t="shared" si="50"/>
        <v>171.9194128119324</v>
      </c>
      <c r="D424" s="83">
        <f t="shared" si="47"/>
        <v>733.33333333333326</v>
      </c>
      <c r="E424">
        <f t="shared" si="43"/>
        <v>0</v>
      </c>
      <c r="G424">
        <v>374</v>
      </c>
      <c r="H424" s="13">
        <f t="shared" si="48"/>
        <v>-1.0275684203264746E-2</v>
      </c>
      <c r="I424">
        <f t="shared" si="49"/>
        <v>168.07630691991139</v>
      </c>
      <c r="J424">
        <f t="shared" si="44"/>
        <v>725.01480040867318</v>
      </c>
      <c r="K424" s="27">
        <f t="shared" si="45"/>
        <v>-5401.1984295716302</v>
      </c>
    </row>
    <row r="425" spans="1:11" x14ac:dyDescent="0.25">
      <c r="A425" s="26">
        <v>375</v>
      </c>
      <c r="B425" s="82">
        <f t="shared" si="46"/>
        <v>0</v>
      </c>
      <c r="C425" s="58">
        <f t="shared" si="50"/>
        <v>171.9194128119324</v>
      </c>
      <c r="D425" s="83">
        <f t="shared" si="47"/>
        <v>733.33333333333326</v>
      </c>
      <c r="E425">
        <f t="shared" si="43"/>
        <v>0</v>
      </c>
      <c r="G425">
        <v>375</v>
      </c>
      <c r="H425" s="13">
        <f t="shared" si="48"/>
        <v>-1.0275684203264746E-2</v>
      </c>
      <c r="I425">
        <f t="shared" si="49"/>
        <v>168.06603123570812</v>
      </c>
      <c r="J425">
        <f t="shared" si="44"/>
        <v>724.99082648833394</v>
      </c>
      <c r="K425" s="27">
        <f t="shared" si="45"/>
        <v>-5400.8411508483396</v>
      </c>
    </row>
    <row r="426" spans="1:11" x14ac:dyDescent="0.25">
      <c r="A426" s="26">
        <v>376</v>
      </c>
      <c r="B426" s="82">
        <f t="shared" si="46"/>
        <v>0</v>
      </c>
      <c r="C426" s="58">
        <f t="shared" si="50"/>
        <v>171.9194128119324</v>
      </c>
      <c r="D426" s="83">
        <f t="shared" si="47"/>
        <v>733.33333333333326</v>
      </c>
      <c r="E426">
        <f t="shared" si="43"/>
        <v>0</v>
      </c>
      <c r="G426">
        <v>376</v>
      </c>
      <c r="H426" s="13">
        <f t="shared" si="48"/>
        <v>-1.0275684203264746E-2</v>
      </c>
      <c r="I426">
        <f t="shared" si="49"/>
        <v>168.05575555150486</v>
      </c>
      <c r="J426">
        <f t="shared" si="44"/>
        <v>724.96684209590671</v>
      </c>
      <c r="K426" s="27">
        <f t="shared" si="45"/>
        <v>-5400.4837278339573</v>
      </c>
    </row>
    <row r="427" spans="1:11" x14ac:dyDescent="0.25">
      <c r="A427" s="26">
        <v>377</v>
      </c>
      <c r="B427" s="82">
        <f t="shared" si="46"/>
        <v>0</v>
      </c>
      <c r="C427" s="58">
        <f t="shared" si="50"/>
        <v>171.9194128119324</v>
      </c>
      <c r="D427" s="83">
        <f t="shared" si="47"/>
        <v>733.33333333333326</v>
      </c>
      <c r="E427">
        <f t="shared" si="43"/>
        <v>0</v>
      </c>
      <c r="G427">
        <v>377</v>
      </c>
      <c r="H427" s="13">
        <f t="shared" si="48"/>
        <v>-1.0275684203264746E-2</v>
      </c>
      <c r="I427">
        <f t="shared" si="49"/>
        <v>168.04547986730159</v>
      </c>
      <c r="J427">
        <f t="shared" si="44"/>
        <v>724.94284721978897</v>
      </c>
      <c r="K427" s="27">
        <f t="shared" si="45"/>
        <v>-5400.1261603709627</v>
      </c>
    </row>
    <row r="428" spans="1:11" x14ac:dyDescent="0.25">
      <c r="A428" s="26">
        <v>378</v>
      </c>
      <c r="B428" s="82">
        <f t="shared" si="46"/>
        <v>0</v>
      </c>
      <c r="C428" s="58">
        <f t="shared" si="50"/>
        <v>171.9194128119324</v>
      </c>
      <c r="D428" s="83">
        <f t="shared" si="47"/>
        <v>733.33333333333326</v>
      </c>
      <c r="E428">
        <f t="shared" si="43"/>
        <v>0</v>
      </c>
      <c r="G428">
        <v>378</v>
      </c>
      <c r="H428" s="13">
        <f t="shared" si="48"/>
        <v>-1.0275684203264746E-2</v>
      </c>
      <c r="I428">
        <f t="shared" si="49"/>
        <v>168.03520418309833</v>
      </c>
      <c r="J428">
        <f t="shared" si="44"/>
        <v>724.9188418483559</v>
      </c>
      <c r="K428" s="27">
        <f t="shared" si="45"/>
        <v>-5399.7684483015228</v>
      </c>
    </row>
    <row r="429" spans="1:11" x14ac:dyDescent="0.25">
      <c r="A429" s="26">
        <v>379</v>
      </c>
      <c r="B429" s="82">
        <f t="shared" si="46"/>
        <v>0</v>
      </c>
      <c r="C429" s="58">
        <f t="shared" si="50"/>
        <v>171.9194128119324</v>
      </c>
      <c r="D429" s="83">
        <f t="shared" si="47"/>
        <v>733.33333333333326</v>
      </c>
      <c r="E429">
        <f t="shared" si="43"/>
        <v>0</v>
      </c>
      <c r="G429">
        <v>379</v>
      </c>
      <c r="H429" s="13">
        <f t="shared" si="48"/>
        <v>-1.0275684203264746E-2</v>
      </c>
      <c r="I429">
        <f t="shared" si="49"/>
        <v>168.02492849889506</v>
      </c>
      <c r="J429">
        <f t="shared" si="44"/>
        <v>724.89482596996061</v>
      </c>
      <c r="K429" s="27">
        <f t="shared" si="45"/>
        <v>-5399.410591467511</v>
      </c>
    </row>
    <row r="430" spans="1:11" x14ac:dyDescent="0.25">
      <c r="A430" s="26">
        <v>380</v>
      </c>
      <c r="B430" s="82">
        <f t="shared" si="46"/>
        <v>0</v>
      </c>
      <c r="C430" s="58">
        <f t="shared" si="50"/>
        <v>171.9194128119324</v>
      </c>
      <c r="D430" s="83">
        <f t="shared" si="47"/>
        <v>733.33333333333326</v>
      </c>
      <c r="E430">
        <f t="shared" si="43"/>
        <v>0</v>
      </c>
      <c r="G430">
        <v>380</v>
      </c>
      <c r="H430" s="13">
        <f t="shared" si="48"/>
        <v>-1.0275684203264746E-2</v>
      </c>
      <c r="I430">
        <f t="shared" si="49"/>
        <v>168.0146528146918</v>
      </c>
      <c r="J430">
        <f t="shared" si="44"/>
        <v>724.87079957293372</v>
      </c>
      <c r="K430" s="27">
        <f t="shared" si="45"/>
        <v>-5399.0525897104908</v>
      </c>
    </row>
    <row r="431" spans="1:11" x14ac:dyDescent="0.25">
      <c r="A431" s="26">
        <v>381</v>
      </c>
      <c r="B431" s="82">
        <f t="shared" si="46"/>
        <v>0</v>
      </c>
      <c r="C431" s="58">
        <f t="shared" si="50"/>
        <v>171.9194128119324</v>
      </c>
      <c r="D431" s="83">
        <f t="shared" si="47"/>
        <v>733.33333333333326</v>
      </c>
      <c r="E431">
        <f t="shared" si="43"/>
        <v>0</v>
      </c>
      <c r="G431">
        <v>381</v>
      </c>
      <c r="H431" s="13">
        <f t="shared" si="48"/>
        <v>-1.0275684203264746E-2</v>
      </c>
      <c r="I431">
        <f t="shared" si="49"/>
        <v>168.00437713048854</v>
      </c>
      <c r="J431">
        <f t="shared" si="44"/>
        <v>724.84676264558334</v>
      </c>
      <c r="K431" s="27">
        <f t="shared" si="45"/>
        <v>-5398.6944428717234</v>
      </c>
    </row>
    <row r="432" spans="1:11" x14ac:dyDescent="0.25">
      <c r="A432" s="26">
        <v>382</v>
      </c>
      <c r="B432" s="82">
        <f t="shared" si="46"/>
        <v>0</v>
      </c>
      <c r="C432" s="58">
        <f t="shared" si="50"/>
        <v>171.9194128119324</v>
      </c>
      <c r="D432" s="83">
        <f t="shared" si="47"/>
        <v>733.33333333333326</v>
      </c>
      <c r="E432">
        <f t="shared" si="43"/>
        <v>0</v>
      </c>
      <c r="G432">
        <v>382</v>
      </c>
      <c r="H432" s="13">
        <f t="shared" si="48"/>
        <v>-1.0275684203264746E-2</v>
      </c>
      <c r="I432">
        <f t="shared" si="49"/>
        <v>167.99410144628527</v>
      </c>
      <c r="J432">
        <f t="shared" si="44"/>
        <v>724.82271517619529</v>
      </c>
      <c r="K432" s="27">
        <f t="shared" si="45"/>
        <v>-5398.3361507921663</v>
      </c>
    </row>
    <row r="433" spans="1:11" x14ac:dyDescent="0.25">
      <c r="A433" s="26">
        <v>383</v>
      </c>
      <c r="B433" s="82">
        <f t="shared" si="46"/>
        <v>0</v>
      </c>
      <c r="C433" s="58">
        <f t="shared" si="50"/>
        <v>171.9194128119324</v>
      </c>
      <c r="D433" s="83">
        <f t="shared" si="47"/>
        <v>733.33333333333326</v>
      </c>
      <c r="E433">
        <f t="shared" si="43"/>
        <v>0</v>
      </c>
      <c r="G433">
        <v>383</v>
      </c>
      <c r="H433" s="13">
        <f t="shared" si="48"/>
        <v>-1.0275684203264746E-2</v>
      </c>
      <c r="I433">
        <f t="shared" si="49"/>
        <v>167.98382576208201</v>
      </c>
      <c r="J433">
        <f t="shared" si="44"/>
        <v>724.79865715303276</v>
      </c>
      <c r="K433" s="27">
        <f t="shared" si="45"/>
        <v>-5397.9777133124689</v>
      </c>
    </row>
    <row r="434" spans="1:11" x14ac:dyDescent="0.25">
      <c r="A434" s="26">
        <v>384</v>
      </c>
      <c r="B434" s="82">
        <f t="shared" si="46"/>
        <v>0</v>
      </c>
      <c r="C434" s="58">
        <f t="shared" si="50"/>
        <v>171.9194128119324</v>
      </c>
      <c r="D434" s="83">
        <f t="shared" si="47"/>
        <v>733.33333333333326</v>
      </c>
      <c r="E434">
        <f t="shared" si="43"/>
        <v>0</v>
      </c>
      <c r="G434">
        <v>384</v>
      </c>
      <c r="H434" s="13">
        <f t="shared" si="48"/>
        <v>-1.0275684203264746E-2</v>
      </c>
      <c r="I434">
        <f t="shared" si="49"/>
        <v>167.97355007787874</v>
      </c>
      <c r="J434">
        <f t="shared" si="44"/>
        <v>724.77458856433645</v>
      </c>
      <c r="K434" s="27">
        <f t="shared" si="45"/>
        <v>-5397.619130272974</v>
      </c>
    </row>
    <row r="435" spans="1:11" x14ac:dyDescent="0.25">
      <c r="A435" s="26">
        <v>385</v>
      </c>
      <c r="B435" s="82">
        <f t="shared" si="46"/>
        <v>0</v>
      </c>
      <c r="C435" s="58">
        <f t="shared" si="50"/>
        <v>171.9194128119324</v>
      </c>
      <c r="D435" s="83">
        <f t="shared" si="47"/>
        <v>733.33333333333326</v>
      </c>
      <c r="E435">
        <f t="shared" ref="E435:E498" si="51">((D435^2)+(D435*D436)+(D436^2))*B436/3</f>
        <v>0</v>
      </c>
      <c r="G435">
        <v>385</v>
      </c>
      <c r="H435" s="13">
        <f t="shared" si="48"/>
        <v>-1.0275684203264746E-2</v>
      </c>
      <c r="I435">
        <f t="shared" si="49"/>
        <v>167.96327439367548</v>
      </c>
      <c r="J435">
        <f t="shared" ref="J435:J498" si="52">IF($G$28&lt;$C$14,0,((($C$11^2)-((I435-$C$13)^2))^0.5)+$C$16)</f>
        <v>724.75050939832408</v>
      </c>
      <c r="K435" s="27">
        <f t="shared" ref="K435:K498" si="53">((J435^2)+(J435*J436)+(J436^2))*H436/3</f>
        <v>-5397.2604015137176</v>
      </c>
    </row>
    <row r="436" spans="1:11" x14ac:dyDescent="0.25">
      <c r="A436" s="26">
        <v>386</v>
      </c>
      <c r="B436" s="82">
        <f t="shared" ref="B436:B499" si="54">C436-C435</f>
        <v>0</v>
      </c>
      <c r="C436" s="58">
        <f t="shared" si="50"/>
        <v>171.9194128119324</v>
      </c>
      <c r="D436" s="83">
        <f t="shared" ref="D436:D499" si="55">IF($G$28&lt;$C$14,0,((($C$11^2)-((C436-$C$13)^2))^0.5)+$C$16)</f>
        <v>733.33333333333326</v>
      </c>
      <c r="E436">
        <f t="shared" si="51"/>
        <v>0</v>
      </c>
      <c r="G436">
        <v>386</v>
      </c>
      <c r="H436" s="13">
        <f t="shared" ref="H436:H499" si="56">I436-I435</f>
        <v>-1.0275684203264746E-2</v>
      </c>
      <c r="I436">
        <f t="shared" ref="I436:I499" si="57">($G$27-$C$14)/2000+I435</f>
        <v>167.95299870947221</v>
      </c>
      <c r="J436">
        <f t="shared" si="52"/>
        <v>724.72641964319121</v>
      </c>
      <c r="K436" s="27">
        <f t="shared" si="53"/>
        <v>-5396.9015268744288</v>
      </c>
    </row>
    <row r="437" spans="1:11" x14ac:dyDescent="0.25">
      <c r="A437" s="26">
        <v>387</v>
      </c>
      <c r="B437" s="82">
        <f t="shared" si="54"/>
        <v>0</v>
      </c>
      <c r="C437" s="58">
        <f t="shared" si="50"/>
        <v>171.9194128119324</v>
      </c>
      <c r="D437" s="83">
        <f t="shared" si="55"/>
        <v>733.33333333333326</v>
      </c>
      <c r="E437">
        <f t="shared" si="51"/>
        <v>0</v>
      </c>
      <c r="G437">
        <v>387</v>
      </c>
      <c r="H437" s="13">
        <f t="shared" si="56"/>
        <v>-1.0275684203264746E-2</v>
      </c>
      <c r="I437">
        <f t="shared" si="57"/>
        <v>167.94272302526895</v>
      </c>
      <c r="J437">
        <f t="shared" si="52"/>
        <v>724.70231928711019</v>
      </c>
      <c r="K437" s="27">
        <f t="shared" si="53"/>
        <v>-5396.5425061945216</v>
      </c>
    </row>
    <row r="438" spans="1:11" x14ac:dyDescent="0.25">
      <c r="A438" s="26">
        <v>388</v>
      </c>
      <c r="B438" s="82">
        <f t="shared" si="54"/>
        <v>0</v>
      </c>
      <c r="C438" s="58">
        <f t="shared" si="50"/>
        <v>171.9194128119324</v>
      </c>
      <c r="D438" s="83">
        <f t="shared" si="55"/>
        <v>733.33333333333326</v>
      </c>
      <c r="E438">
        <f t="shared" si="51"/>
        <v>0</v>
      </c>
      <c r="G438">
        <v>388</v>
      </c>
      <c r="H438" s="13">
        <f t="shared" si="56"/>
        <v>-1.0275684203264746E-2</v>
      </c>
      <c r="I438">
        <f t="shared" si="57"/>
        <v>167.93244734106568</v>
      </c>
      <c r="J438">
        <f t="shared" si="52"/>
        <v>724.67820831823065</v>
      </c>
      <c r="K438" s="27">
        <f t="shared" si="53"/>
        <v>-5396.1833393131055</v>
      </c>
    </row>
    <row r="439" spans="1:11" x14ac:dyDescent="0.25">
      <c r="A439" s="26">
        <v>389</v>
      </c>
      <c r="B439" s="82">
        <f t="shared" si="54"/>
        <v>0</v>
      </c>
      <c r="C439" s="58">
        <f t="shared" si="50"/>
        <v>171.9194128119324</v>
      </c>
      <c r="D439" s="83">
        <f t="shared" si="55"/>
        <v>733.33333333333326</v>
      </c>
      <c r="E439">
        <f t="shared" si="51"/>
        <v>0</v>
      </c>
      <c r="G439">
        <v>389</v>
      </c>
      <c r="H439" s="13">
        <f t="shared" si="56"/>
        <v>-1.0275684203264746E-2</v>
      </c>
      <c r="I439">
        <f t="shared" si="57"/>
        <v>167.92217165686242</v>
      </c>
      <c r="J439">
        <f t="shared" si="52"/>
        <v>724.65408672467925</v>
      </c>
      <c r="K439" s="27">
        <f t="shared" si="53"/>
        <v>-5395.8240260689772</v>
      </c>
    </row>
    <row r="440" spans="1:11" x14ac:dyDescent="0.25">
      <c r="A440" s="26">
        <v>390</v>
      </c>
      <c r="B440" s="82">
        <f t="shared" si="54"/>
        <v>0</v>
      </c>
      <c r="C440" s="58">
        <f t="shared" si="50"/>
        <v>171.9194128119324</v>
      </c>
      <c r="D440" s="83">
        <f t="shared" si="55"/>
        <v>733.33333333333326</v>
      </c>
      <c r="E440">
        <f t="shared" si="51"/>
        <v>0</v>
      </c>
      <c r="G440">
        <v>390</v>
      </c>
      <c r="H440" s="13">
        <f t="shared" si="56"/>
        <v>-1.0275684203264746E-2</v>
      </c>
      <c r="I440">
        <f t="shared" si="57"/>
        <v>167.91189597265915</v>
      </c>
      <c r="J440">
        <f t="shared" si="52"/>
        <v>724.62995449455991</v>
      </c>
      <c r="K440" s="27">
        <f t="shared" si="53"/>
        <v>-5395.4645663006222</v>
      </c>
    </row>
    <row r="441" spans="1:11" x14ac:dyDescent="0.25">
      <c r="A441" s="26">
        <v>391</v>
      </c>
      <c r="B441" s="82">
        <f t="shared" si="54"/>
        <v>0</v>
      </c>
      <c r="C441" s="58">
        <f t="shared" si="50"/>
        <v>171.9194128119324</v>
      </c>
      <c r="D441" s="83">
        <f t="shared" si="55"/>
        <v>733.33333333333326</v>
      </c>
      <c r="E441">
        <f t="shared" si="51"/>
        <v>0</v>
      </c>
      <c r="G441">
        <v>391</v>
      </c>
      <c r="H441" s="13">
        <f t="shared" si="56"/>
        <v>-1.0275684203264746E-2</v>
      </c>
      <c r="I441">
        <f t="shared" si="57"/>
        <v>167.90162028845589</v>
      </c>
      <c r="J441">
        <f t="shared" si="52"/>
        <v>724.60581161595337</v>
      </c>
      <c r="K441" s="27">
        <f t="shared" si="53"/>
        <v>-5395.1049598462114</v>
      </c>
    </row>
    <row r="442" spans="1:11" x14ac:dyDescent="0.25">
      <c r="A442" s="26">
        <v>392</v>
      </c>
      <c r="B442" s="82">
        <f t="shared" si="54"/>
        <v>0</v>
      </c>
      <c r="C442" s="58">
        <f t="shared" si="50"/>
        <v>171.9194128119324</v>
      </c>
      <c r="D442" s="83">
        <f t="shared" si="55"/>
        <v>733.33333333333326</v>
      </c>
      <c r="E442">
        <f t="shared" si="51"/>
        <v>0</v>
      </c>
      <c r="G442">
        <v>392</v>
      </c>
      <c r="H442" s="13">
        <f t="shared" si="56"/>
        <v>-1.0275684203264746E-2</v>
      </c>
      <c r="I442">
        <f t="shared" si="57"/>
        <v>167.89134460425262</v>
      </c>
      <c r="J442">
        <f t="shared" si="52"/>
        <v>724.58165807691728</v>
      </c>
      <c r="K442" s="27">
        <f t="shared" si="53"/>
        <v>-5394.7452065436037</v>
      </c>
    </row>
    <row r="443" spans="1:11" x14ac:dyDescent="0.25">
      <c r="A443" s="26">
        <v>393</v>
      </c>
      <c r="B443" s="82">
        <f t="shared" si="54"/>
        <v>0</v>
      </c>
      <c r="C443" s="58">
        <f t="shared" si="50"/>
        <v>171.9194128119324</v>
      </c>
      <c r="D443" s="83">
        <f t="shared" si="55"/>
        <v>733.33333333333326</v>
      </c>
      <c r="E443">
        <f t="shared" si="51"/>
        <v>0</v>
      </c>
      <c r="G443">
        <v>393</v>
      </c>
      <c r="H443" s="13">
        <f t="shared" si="56"/>
        <v>-1.0275684203264746E-2</v>
      </c>
      <c r="I443">
        <f t="shared" si="57"/>
        <v>167.88106892004936</v>
      </c>
      <c r="J443">
        <f t="shared" si="52"/>
        <v>724.55749386548621</v>
      </c>
      <c r="K443" s="27">
        <f t="shared" si="53"/>
        <v>-5394.3853062303424</v>
      </c>
    </row>
    <row r="444" spans="1:11" x14ac:dyDescent="0.25">
      <c r="A444" s="26">
        <v>394</v>
      </c>
      <c r="B444" s="82">
        <f t="shared" si="54"/>
        <v>0</v>
      </c>
      <c r="C444" s="58">
        <f t="shared" si="50"/>
        <v>171.9194128119324</v>
      </c>
      <c r="D444" s="83">
        <f t="shared" si="55"/>
        <v>733.33333333333326</v>
      </c>
      <c r="E444">
        <f t="shared" si="51"/>
        <v>0</v>
      </c>
      <c r="G444">
        <v>394</v>
      </c>
      <c r="H444" s="13">
        <f t="shared" si="56"/>
        <v>-1.0275684203264746E-2</v>
      </c>
      <c r="I444">
        <f t="shared" si="57"/>
        <v>167.87079323584609</v>
      </c>
      <c r="J444">
        <f t="shared" si="52"/>
        <v>724.53331896967131</v>
      </c>
      <c r="K444" s="27">
        <f t="shared" si="53"/>
        <v>-5394.0252587436562</v>
      </c>
    </row>
    <row r="445" spans="1:11" x14ac:dyDescent="0.25">
      <c r="A445" s="26">
        <v>395</v>
      </c>
      <c r="B445" s="82">
        <f t="shared" si="54"/>
        <v>0</v>
      </c>
      <c r="C445" s="58">
        <f t="shared" si="50"/>
        <v>171.9194128119324</v>
      </c>
      <c r="D445" s="83">
        <f t="shared" si="55"/>
        <v>733.33333333333326</v>
      </c>
      <c r="E445">
        <f t="shared" si="51"/>
        <v>0</v>
      </c>
      <c r="G445">
        <v>395</v>
      </c>
      <c r="H445" s="13">
        <f t="shared" si="56"/>
        <v>-1.0275684203264746E-2</v>
      </c>
      <c r="I445">
        <f t="shared" si="57"/>
        <v>167.86051755164283</v>
      </c>
      <c r="J445">
        <f t="shared" si="52"/>
        <v>724.50913337746078</v>
      </c>
      <c r="K445" s="27">
        <f t="shared" si="53"/>
        <v>-5393.665063920459</v>
      </c>
    </row>
    <row r="446" spans="1:11" x14ac:dyDescent="0.25">
      <c r="A446" s="26">
        <v>396</v>
      </c>
      <c r="B446" s="82">
        <f t="shared" si="54"/>
        <v>0</v>
      </c>
      <c r="C446" s="58">
        <f t="shared" si="50"/>
        <v>171.9194128119324</v>
      </c>
      <c r="D446" s="83">
        <f t="shared" si="55"/>
        <v>733.33333333333326</v>
      </c>
      <c r="E446">
        <f t="shared" si="51"/>
        <v>0</v>
      </c>
      <c r="G446">
        <v>396</v>
      </c>
      <c r="H446" s="13">
        <f t="shared" si="56"/>
        <v>-1.0275684203264746E-2</v>
      </c>
      <c r="I446">
        <f t="shared" si="57"/>
        <v>167.85024186743956</v>
      </c>
      <c r="J446">
        <f t="shared" si="52"/>
        <v>724.48493707681928</v>
      </c>
      <c r="K446" s="27">
        <f t="shared" si="53"/>
        <v>-5393.3047215973447</v>
      </c>
    </row>
    <row r="447" spans="1:11" x14ac:dyDescent="0.25">
      <c r="A447" s="26">
        <v>397</v>
      </c>
      <c r="B447" s="82">
        <f t="shared" si="54"/>
        <v>0</v>
      </c>
      <c r="C447" s="58">
        <f t="shared" si="50"/>
        <v>171.9194128119324</v>
      </c>
      <c r="D447" s="83">
        <f t="shared" si="55"/>
        <v>733.33333333333326</v>
      </c>
      <c r="E447">
        <f t="shared" si="51"/>
        <v>0</v>
      </c>
      <c r="G447">
        <v>397</v>
      </c>
      <c r="H447" s="13">
        <f t="shared" si="56"/>
        <v>-1.0275684203264746E-2</v>
      </c>
      <c r="I447">
        <f t="shared" si="57"/>
        <v>167.8399661832363</v>
      </c>
      <c r="J447">
        <f t="shared" si="52"/>
        <v>724.46073005568803</v>
      </c>
      <c r="K447" s="27">
        <f t="shared" si="53"/>
        <v>-5392.9442316105915</v>
      </c>
    </row>
    <row r="448" spans="1:11" x14ac:dyDescent="0.25">
      <c r="A448" s="26">
        <v>398</v>
      </c>
      <c r="B448" s="82">
        <f t="shared" si="54"/>
        <v>0</v>
      </c>
      <c r="C448" s="58">
        <f t="shared" si="50"/>
        <v>171.9194128119324</v>
      </c>
      <c r="D448" s="83">
        <f t="shared" si="55"/>
        <v>733.33333333333326</v>
      </c>
      <c r="E448">
        <f t="shared" si="51"/>
        <v>0</v>
      </c>
      <c r="G448">
        <v>398</v>
      </c>
      <c r="H448" s="13">
        <f t="shared" si="56"/>
        <v>-1.0275684203264746E-2</v>
      </c>
      <c r="I448">
        <f t="shared" si="57"/>
        <v>167.82969049903303</v>
      </c>
      <c r="J448">
        <f t="shared" si="52"/>
        <v>724.43651230198486</v>
      </c>
      <c r="K448" s="27">
        <f t="shared" si="53"/>
        <v>-5392.5835937961574</v>
      </c>
    </row>
    <row r="449" spans="1:11" x14ac:dyDescent="0.25">
      <c r="A449" s="26">
        <v>399</v>
      </c>
      <c r="B449" s="82">
        <f t="shared" si="54"/>
        <v>0</v>
      </c>
      <c r="C449" s="58">
        <f t="shared" si="50"/>
        <v>171.9194128119324</v>
      </c>
      <c r="D449" s="83">
        <f t="shared" si="55"/>
        <v>733.33333333333326</v>
      </c>
      <c r="E449">
        <f t="shared" si="51"/>
        <v>0</v>
      </c>
      <c r="G449">
        <v>399</v>
      </c>
      <c r="H449" s="13">
        <f t="shared" si="56"/>
        <v>-1.0275684203264746E-2</v>
      </c>
      <c r="I449">
        <f t="shared" si="57"/>
        <v>167.81941481482977</v>
      </c>
      <c r="J449">
        <f t="shared" si="52"/>
        <v>724.41228380360417</v>
      </c>
      <c r="K449" s="27">
        <f t="shared" si="53"/>
        <v>-5392.222807989685</v>
      </c>
    </row>
    <row r="450" spans="1:11" x14ac:dyDescent="0.25">
      <c r="A450" s="26">
        <v>400</v>
      </c>
      <c r="B450" s="82">
        <f t="shared" si="54"/>
        <v>0</v>
      </c>
      <c r="C450" s="58">
        <f t="shared" si="50"/>
        <v>171.9194128119324</v>
      </c>
      <c r="D450" s="83">
        <f t="shared" si="55"/>
        <v>733.33333333333326</v>
      </c>
      <c r="E450">
        <f t="shared" si="51"/>
        <v>0</v>
      </c>
      <c r="G450">
        <v>400</v>
      </c>
      <c r="H450" s="13">
        <f t="shared" si="56"/>
        <v>-1.0275684203264746E-2</v>
      </c>
      <c r="I450">
        <f t="shared" si="57"/>
        <v>167.80913913062651</v>
      </c>
      <c r="J450">
        <f t="shared" si="52"/>
        <v>724.38804454841647</v>
      </c>
      <c r="K450" s="27">
        <f t="shared" si="53"/>
        <v>-5391.8618740264892</v>
      </c>
    </row>
    <row r="451" spans="1:11" x14ac:dyDescent="0.25">
      <c r="A451" s="26">
        <v>401</v>
      </c>
      <c r="B451" s="82">
        <f t="shared" si="54"/>
        <v>0</v>
      </c>
      <c r="C451" s="58">
        <f t="shared" si="50"/>
        <v>171.9194128119324</v>
      </c>
      <c r="D451" s="83">
        <f t="shared" si="55"/>
        <v>733.33333333333326</v>
      </c>
      <c r="E451">
        <f t="shared" si="51"/>
        <v>0</v>
      </c>
      <c r="G451">
        <v>401</v>
      </c>
      <c r="H451" s="13">
        <f t="shared" si="56"/>
        <v>-1.0275684203264746E-2</v>
      </c>
      <c r="I451">
        <f t="shared" si="57"/>
        <v>167.79886344642324</v>
      </c>
      <c r="J451">
        <f t="shared" si="52"/>
        <v>724.363794524269</v>
      </c>
      <c r="K451" s="27">
        <f t="shared" si="53"/>
        <v>-5391.5007917415696</v>
      </c>
    </row>
    <row r="452" spans="1:11" x14ac:dyDescent="0.25">
      <c r="A452" s="26">
        <v>402</v>
      </c>
      <c r="B452" s="82">
        <f t="shared" si="54"/>
        <v>0</v>
      </c>
      <c r="C452" s="58">
        <f t="shared" si="50"/>
        <v>171.9194128119324</v>
      </c>
      <c r="D452" s="83">
        <f t="shared" si="55"/>
        <v>733.33333333333326</v>
      </c>
      <c r="E452">
        <f t="shared" si="51"/>
        <v>0</v>
      </c>
      <c r="G452">
        <v>402</v>
      </c>
      <c r="H452" s="13">
        <f t="shared" si="56"/>
        <v>-1.0275684203264746E-2</v>
      </c>
      <c r="I452">
        <f t="shared" si="57"/>
        <v>167.78858776221998</v>
      </c>
      <c r="J452">
        <f t="shared" si="52"/>
        <v>724.33953371898497</v>
      </c>
      <c r="K452" s="27">
        <f t="shared" si="53"/>
        <v>-5391.1395609696019</v>
      </c>
    </row>
    <row r="453" spans="1:11" x14ac:dyDescent="0.25">
      <c r="A453" s="26">
        <v>403</v>
      </c>
      <c r="B453" s="82">
        <f t="shared" si="54"/>
        <v>0</v>
      </c>
      <c r="C453" s="58">
        <f t="shared" si="50"/>
        <v>171.9194128119324</v>
      </c>
      <c r="D453" s="83">
        <f t="shared" si="55"/>
        <v>733.33333333333326</v>
      </c>
      <c r="E453">
        <f t="shared" si="51"/>
        <v>0</v>
      </c>
      <c r="G453">
        <v>403</v>
      </c>
      <c r="H453" s="13">
        <f t="shared" si="56"/>
        <v>-1.0275684203264746E-2</v>
      </c>
      <c r="I453">
        <f t="shared" si="57"/>
        <v>167.77831207801671</v>
      </c>
      <c r="J453">
        <f t="shared" si="52"/>
        <v>724.31526212036397</v>
      </c>
      <c r="K453" s="27">
        <f t="shared" si="53"/>
        <v>-5390.7781815449362</v>
      </c>
    </row>
    <row r="454" spans="1:11" x14ac:dyDescent="0.25">
      <c r="A454" s="26">
        <v>404</v>
      </c>
      <c r="B454" s="82">
        <f t="shared" si="54"/>
        <v>0</v>
      </c>
      <c r="C454" s="58">
        <f t="shared" si="50"/>
        <v>171.9194128119324</v>
      </c>
      <c r="D454" s="83">
        <f t="shared" si="55"/>
        <v>733.33333333333326</v>
      </c>
      <c r="E454">
        <f t="shared" si="51"/>
        <v>0</v>
      </c>
      <c r="G454">
        <v>404</v>
      </c>
      <c r="H454" s="13">
        <f t="shared" si="56"/>
        <v>-1.0275684203264746E-2</v>
      </c>
      <c r="I454">
        <f t="shared" si="57"/>
        <v>167.76803639381345</v>
      </c>
      <c r="J454">
        <f t="shared" si="52"/>
        <v>724.29097971618148</v>
      </c>
      <c r="K454" s="27">
        <f t="shared" si="53"/>
        <v>-5390.4166533016005</v>
      </c>
    </row>
    <row r="455" spans="1:11" x14ac:dyDescent="0.25">
      <c r="A455" s="26">
        <v>405</v>
      </c>
      <c r="B455" s="82">
        <f t="shared" si="54"/>
        <v>0</v>
      </c>
      <c r="C455" s="58">
        <f t="shared" si="50"/>
        <v>171.9194128119324</v>
      </c>
      <c r="D455" s="83">
        <f t="shared" si="55"/>
        <v>733.33333333333326</v>
      </c>
      <c r="E455">
        <f t="shared" si="51"/>
        <v>0</v>
      </c>
      <c r="G455">
        <v>405</v>
      </c>
      <c r="H455" s="13">
        <f t="shared" si="56"/>
        <v>-1.0275684203264746E-2</v>
      </c>
      <c r="I455">
        <f t="shared" si="57"/>
        <v>167.75776070961018</v>
      </c>
      <c r="J455">
        <f t="shared" si="52"/>
        <v>724.26668649418934</v>
      </c>
      <c r="K455" s="27">
        <f t="shared" si="53"/>
        <v>-5390.0549760733002</v>
      </c>
    </row>
    <row r="456" spans="1:11" x14ac:dyDescent="0.25">
      <c r="A456" s="26">
        <v>406</v>
      </c>
      <c r="B456" s="82">
        <f t="shared" si="54"/>
        <v>0</v>
      </c>
      <c r="C456" s="58">
        <f t="shared" si="50"/>
        <v>171.9194128119324</v>
      </c>
      <c r="D456" s="83">
        <f t="shared" si="55"/>
        <v>733.33333333333326</v>
      </c>
      <c r="E456">
        <f t="shared" si="51"/>
        <v>0</v>
      </c>
      <c r="G456">
        <v>406</v>
      </c>
      <c r="H456" s="13">
        <f t="shared" si="56"/>
        <v>-1.0275684203264746E-2</v>
      </c>
      <c r="I456">
        <f t="shared" si="57"/>
        <v>167.74748502540692</v>
      </c>
      <c r="J456">
        <f t="shared" si="52"/>
        <v>724.2423824421154</v>
      </c>
      <c r="K456" s="27">
        <f t="shared" si="53"/>
        <v>-5389.6931496934112</v>
      </c>
    </row>
    <row r="457" spans="1:11" x14ac:dyDescent="0.25">
      <c r="A457" s="26">
        <v>407</v>
      </c>
      <c r="B457" s="82">
        <f t="shared" si="54"/>
        <v>0</v>
      </c>
      <c r="C457" s="58">
        <f t="shared" si="50"/>
        <v>171.9194128119324</v>
      </c>
      <c r="D457" s="83">
        <f t="shared" si="55"/>
        <v>733.33333333333326</v>
      </c>
      <c r="E457">
        <f t="shared" si="51"/>
        <v>0</v>
      </c>
      <c r="G457">
        <v>407</v>
      </c>
      <c r="H457" s="13">
        <f t="shared" si="56"/>
        <v>-1.0275684203264746E-2</v>
      </c>
      <c r="I457">
        <f t="shared" si="57"/>
        <v>167.73720934120365</v>
      </c>
      <c r="J457">
        <f t="shared" si="52"/>
        <v>724.21806754766328</v>
      </c>
      <c r="K457" s="27">
        <f t="shared" si="53"/>
        <v>-5389.331173994985</v>
      </c>
    </row>
    <row r="458" spans="1:11" x14ac:dyDescent="0.25">
      <c r="A458" s="26">
        <v>408</v>
      </c>
      <c r="B458" s="82">
        <f t="shared" si="54"/>
        <v>0</v>
      </c>
      <c r="C458" s="58">
        <f t="shared" si="50"/>
        <v>171.9194128119324</v>
      </c>
      <c r="D458" s="83">
        <f t="shared" si="55"/>
        <v>733.33333333333326</v>
      </c>
      <c r="E458">
        <f t="shared" si="51"/>
        <v>0</v>
      </c>
      <c r="G458">
        <v>408</v>
      </c>
      <c r="H458" s="13">
        <f t="shared" si="56"/>
        <v>-1.0275684203264746E-2</v>
      </c>
      <c r="I458">
        <f t="shared" si="57"/>
        <v>167.72693365700039</v>
      </c>
      <c r="J458">
        <f t="shared" si="52"/>
        <v>724.19374179851252</v>
      </c>
      <c r="K458" s="27">
        <f t="shared" si="53"/>
        <v>-5388.9690488107426</v>
      </c>
    </row>
    <row r="459" spans="1:11" x14ac:dyDescent="0.25">
      <c r="A459" s="26">
        <v>409</v>
      </c>
      <c r="B459" s="82">
        <f t="shared" si="54"/>
        <v>0</v>
      </c>
      <c r="C459" s="58">
        <f t="shared" si="50"/>
        <v>171.9194128119324</v>
      </c>
      <c r="D459" s="83">
        <f t="shared" si="55"/>
        <v>733.33333333333326</v>
      </c>
      <c r="E459">
        <f t="shared" si="51"/>
        <v>0</v>
      </c>
      <c r="G459">
        <v>409</v>
      </c>
      <c r="H459" s="13">
        <f t="shared" si="56"/>
        <v>-1.0275684203264746E-2</v>
      </c>
      <c r="I459">
        <f t="shared" si="57"/>
        <v>167.71665797279712</v>
      </c>
      <c r="J459">
        <f t="shared" si="52"/>
        <v>724.16940518231854</v>
      </c>
      <c r="K459" s="27">
        <f t="shared" si="53"/>
        <v>-5388.6067739730806</v>
      </c>
    </row>
    <row r="460" spans="1:11" x14ac:dyDescent="0.25">
      <c r="A460" s="26">
        <v>410</v>
      </c>
      <c r="B460" s="82">
        <f t="shared" si="54"/>
        <v>0</v>
      </c>
      <c r="C460" s="58">
        <f t="shared" si="50"/>
        <v>171.9194128119324</v>
      </c>
      <c r="D460" s="83">
        <f t="shared" si="55"/>
        <v>733.33333333333326</v>
      </c>
      <c r="E460">
        <f t="shared" si="51"/>
        <v>0</v>
      </c>
      <c r="G460">
        <v>410</v>
      </c>
      <c r="H460" s="13">
        <f t="shared" si="56"/>
        <v>-1.0275684203264746E-2</v>
      </c>
      <c r="I460">
        <f t="shared" si="57"/>
        <v>167.70638228859386</v>
      </c>
      <c r="J460">
        <f t="shared" si="52"/>
        <v>724.14505768671256</v>
      </c>
      <c r="K460" s="27">
        <f t="shared" si="53"/>
        <v>-5388.2443493140627</v>
      </c>
    </row>
    <row r="461" spans="1:11" x14ac:dyDescent="0.25">
      <c r="A461" s="26">
        <v>411</v>
      </c>
      <c r="B461" s="82">
        <f t="shared" si="54"/>
        <v>0</v>
      </c>
      <c r="C461" s="58">
        <f t="shared" si="50"/>
        <v>171.9194128119324</v>
      </c>
      <c r="D461" s="83">
        <f t="shared" si="55"/>
        <v>733.33333333333326</v>
      </c>
      <c r="E461">
        <f t="shared" si="51"/>
        <v>0</v>
      </c>
      <c r="G461">
        <v>411</v>
      </c>
      <c r="H461" s="13">
        <f t="shared" si="56"/>
        <v>-1.0275684203264746E-2</v>
      </c>
      <c r="I461">
        <f t="shared" si="57"/>
        <v>167.69610660439059</v>
      </c>
      <c r="J461">
        <f t="shared" si="52"/>
        <v>724.12069929930135</v>
      </c>
      <c r="K461" s="27">
        <f t="shared" si="53"/>
        <v>-5387.8817746654249</v>
      </c>
    </row>
    <row r="462" spans="1:11" x14ac:dyDescent="0.25">
      <c r="A462" s="26">
        <v>412</v>
      </c>
      <c r="B462" s="82">
        <f t="shared" si="54"/>
        <v>0</v>
      </c>
      <c r="C462" s="58">
        <f t="shared" si="50"/>
        <v>171.9194128119324</v>
      </c>
      <c r="D462" s="83">
        <f t="shared" si="55"/>
        <v>733.33333333333326</v>
      </c>
      <c r="E462">
        <f t="shared" si="51"/>
        <v>0</v>
      </c>
      <c r="G462">
        <v>412</v>
      </c>
      <c r="H462" s="13">
        <f t="shared" si="56"/>
        <v>-1.0275684203264746E-2</v>
      </c>
      <c r="I462">
        <f t="shared" si="57"/>
        <v>167.68583092018733</v>
      </c>
      <c r="J462">
        <f t="shared" si="52"/>
        <v>724.09633000766723</v>
      </c>
      <c r="K462" s="27">
        <f t="shared" si="53"/>
        <v>-5387.519049858568</v>
      </c>
    </row>
    <row r="463" spans="1:11" x14ac:dyDescent="0.25">
      <c r="A463" s="26">
        <v>413</v>
      </c>
      <c r="B463" s="82">
        <f t="shared" si="54"/>
        <v>0</v>
      </c>
      <c r="C463" s="58">
        <f t="shared" si="50"/>
        <v>171.9194128119324</v>
      </c>
      <c r="D463" s="83">
        <f t="shared" si="55"/>
        <v>733.33333333333326</v>
      </c>
      <c r="E463">
        <f t="shared" si="51"/>
        <v>0</v>
      </c>
      <c r="G463">
        <v>413</v>
      </c>
      <c r="H463" s="13">
        <f t="shared" si="56"/>
        <v>-1.0275684203264746E-2</v>
      </c>
      <c r="I463">
        <f t="shared" si="57"/>
        <v>167.67555523598406</v>
      </c>
      <c r="J463">
        <f t="shared" si="52"/>
        <v>724.07194979936833</v>
      </c>
      <c r="K463" s="27">
        <f t="shared" si="53"/>
        <v>-5387.156174724566</v>
      </c>
    </row>
    <row r="464" spans="1:11" x14ac:dyDescent="0.25">
      <c r="A464" s="26">
        <v>414</v>
      </c>
      <c r="B464" s="82">
        <f t="shared" si="54"/>
        <v>0</v>
      </c>
      <c r="C464" s="58">
        <f t="shared" ref="C464:C527" si="58">($C$37-$C$36)/2000+C463</f>
        <v>171.9194128119324</v>
      </c>
      <c r="D464" s="83">
        <f t="shared" si="55"/>
        <v>733.33333333333326</v>
      </c>
      <c r="E464">
        <f t="shared" si="51"/>
        <v>0</v>
      </c>
      <c r="G464">
        <v>414</v>
      </c>
      <c r="H464" s="13">
        <f t="shared" si="56"/>
        <v>-1.0275684203264746E-2</v>
      </c>
      <c r="I464">
        <f t="shared" si="57"/>
        <v>167.6652795517808</v>
      </c>
      <c r="J464">
        <f t="shared" si="52"/>
        <v>724.04755866193807</v>
      </c>
      <c r="K464" s="27">
        <f t="shared" si="53"/>
        <v>-5386.7931490941573</v>
      </c>
    </row>
    <row r="465" spans="1:11" x14ac:dyDescent="0.25">
      <c r="A465" s="26">
        <v>415</v>
      </c>
      <c r="B465" s="82">
        <f t="shared" si="54"/>
        <v>0</v>
      </c>
      <c r="C465" s="58">
        <f t="shared" si="58"/>
        <v>171.9194128119324</v>
      </c>
      <c r="D465" s="83">
        <f t="shared" si="55"/>
        <v>733.33333333333326</v>
      </c>
      <c r="E465">
        <f t="shared" si="51"/>
        <v>0</v>
      </c>
      <c r="G465">
        <v>415</v>
      </c>
      <c r="H465" s="13">
        <f t="shared" si="56"/>
        <v>-1.0275684203264746E-2</v>
      </c>
      <c r="I465">
        <f t="shared" si="57"/>
        <v>167.65500386757753</v>
      </c>
      <c r="J465">
        <f t="shared" si="52"/>
        <v>724.02315658288535</v>
      </c>
      <c r="K465" s="27">
        <f t="shared" si="53"/>
        <v>-5386.4299727977441</v>
      </c>
    </row>
    <row r="466" spans="1:11" x14ac:dyDescent="0.25">
      <c r="A466" s="26">
        <v>416</v>
      </c>
      <c r="B466" s="82">
        <f t="shared" si="54"/>
        <v>0</v>
      </c>
      <c r="C466" s="58">
        <f t="shared" si="58"/>
        <v>171.9194128119324</v>
      </c>
      <c r="D466" s="83">
        <f t="shared" si="55"/>
        <v>733.33333333333326</v>
      </c>
      <c r="E466">
        <f t="shared" si="51"/>
        <v>0</v>
      </c>
      <c r="G466">
        <v>416</v>
      </c>
      <c r="H466" s="13">
        <f t="shared" si="56"/>
        <v>-1.0275684203264746E-2</v>
      </c>
      <c r="I466">
        <f t="shared" si="57"/>
        <v>167.64472818337427</v>
      </c>
      <c r="J466">
        <f t="shared" si="52"/>
        <v>723.99874354969427</v>
      </c>
      <c r="K466" s="27">
        <f t="shared" si="53"/>
        <v>-5386.0666456653971</v>
      </c>
    </row>
    <row r="467" spans="1:11" x14ac:dyDescent="0.25">
      <c r="A467" s="26">
        <v>417</v>
      </c>
      <c r="B467" s="82">
        <f t="shared" si="54"/>
        <v>0</v>
      </c>
      <c r="C467" s="58">
        <f t="shared" si="58"/>
        <v>171.9194128119324</v>
      </c>
      <c r="D467" s="83">
        <f t="shared" si="55"/>
        <v>733.33333333333326</v>
      </c>
      <c r="E467">
        <f t="shared" si="51"/>
        <v>0</v>
      </c>
      <c r="G467">
        <v>417</v>
      </c>
      <c r="H467" s="13">
        <f t="shared" si="56"/>
        <v>-1.0275684203264746E-2</v>
      </c>
      <c r="I467">
        <f t="shared" si="57"/>
        <v>167.634452499171</v>
      </c>
      <c r="J467">
        <f t="shared" si="52"/>
        <v>723.97431954982437</v>
      </c>
      <c r="K467" s="27">
        <f t="shared" si="53"/>
        <v>-5385.703167526849</v>
      </c>
    </row>
    <row r="468" spans="1:11" x14ac:dyDescent="0.25">
      <c r="A468" s="26">
        <v>418</v>
      </c>
      <c r="B468" s="82">
        <f t="shared" si="54"/>
        <v>0</v>
      </c>
      <c r="C468" s="58">
        <f t="shared" si="58"/>
        <v>171.9194128119324</v>
      </c>
      <c r="D468" s="83">
        <f t="shared" si="55"/>
        <v>733.33333333333326</v>
      </c>
      <c r="E468">
        <f t="shared" si="51"/>
        <v>0</v>
      </c>
      <c r="G468">
        <v>418</v>
      </c>
      <c r="H468" s="13">
        <f t="shared" si="56"/>
        <v>-1.0275684203264746E-2</v>
      </c>
      <c r="I468">
        <f t="shared" si="57"/>
        <v>167.62417681496774</v>
      </c>
      <c r="J468">
        <f t="shared" si="52"/>
        <v>723.94988457071031</v>
      </c>
      <c r="K468" s="27">
        <f t="shared" si="53"/>
        <v>-5385.3395382114968</v>
      </c>
    </row>
    <row r="469" spans="1:11" x14ac:dyDescent="0.25">
      <c r="A469" s="26">
        <v>419</v>
      </c>
      <c r="B469" s="82">
        <f t="shared" si="54"/>
        <v>0</v>
      </c>
      <c r="C469" s="58">
        <f t="shared" si="58"/>
        <v>171.9194128119324</v>
      </c>
      <c r="D469" s="83">
        <f t="shared" si="55"/>
        <v>733.33333333333326</v>
      </c>
      <c r="E469">
        <f t="shared" si="51"/>
        <v>0</v>
      </c>
      <c r="G469">
        <v>419</v>
      </c>
      <c r="H469" s="13">
        <f t="shared" si="56"/>
        <v>-1.0275684203264746E-2</v>
      </c>
      <c r="I469">
        <f t="shared" si="57"/>
        <v>167.61390113076448</v>
      </c>
      <c r="J469">
        <f t="shared" si="52"/>
        <v>723.92543859976195</v>
      </c>
      <c r="K469" s="27">
        <f t="shared" si="53"/>
        <v>-5384.9757575483991</v>
      </c>
    </row>
    <row r="470" spans="1:11" x14ac:dyDescent="0.25">
      <c r="A470" s="26">
        <v>420</v>
      </c>
      <c r="B470" s="82">
        <f t="shared" si="54"/>
        <v>0</v>
      </c>
      <c r="C470" s="58">
        <f t="shared" si="58"/>
        <v>171.9194128119324</v>
      </c>
      <c r="D470" s="83">
        <f t="shared" si="55"/>
        <v>733.33333333333326</v>
      </c>
      <c r="E470">
        <f t="shared" si="51"/>
        <v>0</v>
      </c>
      <c r="G470">
        <v>420</v>
      </c>
      <c r="H470" s="13">
        <f t="shared" si="56"/>
        <v>-1.0275684203264746E-2</v>
      </c>
      <c r="I470">
        <f t="shared" si="57"/>
        <v>167.60362544656121</v>
      </c>
      <c r="J470">
        <f t="shared" si="52"/>
        <v>723.90098162436414</v>
      </c>
      <c r="K470" s="27">
        <f t="shared" si="53"/>
        <v>-5384.6118253662771</v>
      </c>
    </row>
    <row r="471" spans="1:11" x14ac:dyDescent="0.25">
      <c r="A471" s="26">
        <v>421</v>
      </c>
      <c r="B471" s="82">
        <f t="shared" si="54"/>
        <v>0</v>
      </c>
      <c r="C471" s="58">
        <f t="shared" si="58"/>
        <v>171.9194128119324</v>
      </c>
      <c r="D471" s="83">
        <f t="shared" si="55"/>
        <v>733.33333333333326</v>
      </c>
      <c r="E471">
        <f t="shared" si="51"/>
        <v>0</v>
      </c>
      <c r="G471">
        <v>421</v>
      </c>
      <c r="H471" s="13">
        <f t="shared" si="56"/>
        <v>-1.0275684203264746E-2</v>
      </c>
      <c r="I471">
        <f t="shared" si="57"/>
        <v>167.59334976235795</v>
      </c>
      <c r="J471">
        <f t="shared" si="52"/>
        <v>723.87651363187683</v>
      </c>
      <c r="K471" s="27">
        <f t="shared" si="53"/>
        <v>-5384.2477414935101</v>
      </c>
    </row>
    <row r="472" spans="1:11" x14ac:dyDescent="0.25">
      <c r="A472" s="26">
        <v>422</v>
      </c>
      <c r="B472" s="82">
        <f t="shared" si="54"/>
        <v>0</v>
      </c>
      <c r="C472" s="58">
        <f t="shared" si="58"/>
        <v>171.9194128119324</v>
      </c>
      <c r="D472" s="83">
        <f t="shared" si="55"/>
        <v>733.33333333333326</v>
      </c>
      <c r="E472">
        <f t="shared" si="51"/>
        <v>0</v>
      </c>
      <c r="G472">
        <v>422</v>
      </c>
      <c r="H472" s="13">
        <f t="shared" si="56"/>
        <v>-1.0275684203264746E-2</v>
      </c>
      <c r="I472">
        <f t="shared" si="57"/>
        <v>167.58307407815468</v>
      </c>
      <c r="J472">
        <f t="shared" si="52"/>
        <v>723.85203460963476</v>
      </c>
      <c r="K472" s="27">
        <f t="shared" si="53"/>
        <v>-5383.8835057581391</v>
      </c>
    </row>
    <row r="473" spans="1:11" x14ac:dyDescent="0.25">
      <c r="A473" s="26">
        <v>423</v>
      </c>
      <c r="B473" s="82">
        <f t="shared" si="54"/>
        <v>0</v>
      </c>
      <c r="C473" s="58">
        <f t="shared" si="58"/>
        <v>171.9194128119324</v>
      </c>
      <c r="D473" s="83">
        <f t="shared" si="55"/>
        <v>733.33333333333326</v>
      </c>
      <c r="E473">
        <f t="shared" si="51"/>
        <v>0</v>
      </c>
      <c r="G473">
        <v>423</v>
      </c>
      <c r="H473" s="13">
        <f t="shared" si="56"/>
        <v>-1.0275684203264746E-2</v>
      </c>
      <c r="I473">
        <f t="shared" si="57"/>
        <v>167.57279839395142</v>
      </c>
      <c r="J473">
        <f t="shared" si="52"/>
        <v>723.82754454494761</v>
      </c>
      <c r="K473" s="27">
        <f t="shared" si="53"/>
        <v>-5383.519117987863</v>
      </c>
    </row>
    <row r="474" spans="1:11" x14ac:dyDescent="0.25">
      <c r="A474" s="26">
        <v>424</v>
      </c>
      <c r="B474" s="82">
        <f t="shared" si="54"/>
        <v>0</v>
      </c>
      <c r="C474" s="58">
        <f t="shared" si="58"/>
        <v>171.9194128119324</v>
      </c>
      <c r="D474" s="83">
        <f t="shared" si="55"/>
        <v>733.33333333333326</v>
      </c>
      <c r="E474">
        <f t="shared" si="51"/>
        <v>0</v>
      </c>
      <c r="G474">
        <v>424</v>
      </c>
      <c r="H474" s="13">
        <f t="shared" si="56"/>
        <v>-1.0275684203264746E-2</v>
      </c>
      <c r="I474">
        <f t="shared" si="57"/>
        <v>167.56252270974815</v>
      </c>
      <c r="J474">
        <f t="shared" si="52"/>
        <v>723.80304342509987</v>
      </c>
      <c r="K474" s="27">
        <f t="shared" si="53"/>
        <v>-5383.1545780100369</v>
      </c>
    </row>
    <row r="475" spans="1:11" x14ac:dyDescent="0.25">
      <c r="A475" s="26">
        <v>425</v>
      </c>
      <c r="B475" s="82">
        <f t="shared" si="54"/>
        <v>0</v>
      </c>
      <c r="C475" s="58">
        <f t="shared" si="58"/>
        <v>171.9194128119324</v>
      </c>
      <c r="D475" s="83">
        <f t="shared" si="55"/>
        <v>733.33333333333326</v>
      </c>
      <c r="E475">
        <f t="shared" si="51"/>
        <v>0</v>
      </c>
      <c r="G475">
        <v>425</v>
      </c>
      <c r="H475" s="13">
        <f t="shared" si="56"/>
        <v>-1.0275684203264746E-2</v>
      </c>
      <c r="I475">
        <f t="shared" si="57"/>
        <v>167.55224702554489</v>
      </c>
      <c r="J475">
        <f t="shared" si="52"/>
        <v>723.77853123735065</v>
      </c>
      <c r="K475" s="27">
        <f t="shared" si="53"/>
        <v>-5382.7898856516731</v>
      </c>
    </row>
    <row r="476" spans="1:11" x14ac:dyDescent="0.25">
      <c r="A476" s="26">
        <v>426</v>
      </c>
      <c r="B476" s="82">
        <f t="shared" si="54"/>
        <v>0</v>
      </c>
      <c r="C476" s="58">
        <f t="shared" si="58"/>
        <v>171.9194128119324</v>
      </c>
      <c r="D476" s="83">
        <f t="shared" si="55"/>
        <v>733.33333333333326</v>
      </c>
      <c r="E476">
        <f t="shared" si="51"/>
        <v>0</v>
      </c>
      <c r="G476">
        <v>426</v>
      </c>
      <c r="H476" s="13">
        <f t="shared" si="56"/>
        <v>-1.0275684203264746E-2</v>
      </c>
      <c r="I476">
        <f t="shared" si="57"/>
        <v>167.54197134134162</v>
      </c>
      <c r="J476">
        <f t="shared" si="52"/>
        <v>723.75400796893382</v>
      </c>
      <c r="K476" s="27">
        <f t="shared" si="53"/>
        <v>-5382.4250407394411</v>
      </c>
    </row>
    <row r="477" spans="1:11" x14ac:dyDescent="0.25">
      <c r="A477" s="26">
        <v>427</v>
      </c>
      <c r="B477" s="82">
        <f t="shared" si="54"/>
        <v>0</v>
      </c>
      <c r="C477" s="58">
        <f t="shared" si="58"/>
        <v>171.9194128119324</v>
      </c>
      <c r="D477" s="83">
        <f t="shared" si="55"/>
        <v>733.33333333333326</v>
      </c>
      <c r="E477">
        <f t="shared" si="51"/>
        <v>0</v>
      </c>
      <c r="G477">
        <v>427</v>
      </c>
      <c r="H477" s="13">
        <f t="shared" si="56"/>
        <v>-1.0275684203264746E-2</v>
      </c>
      <c r="I477">
        <f t="shared" si="57"/>
        <v>167.53169565713836</v>
      </c>
      <c r="J477">
        <f t="shared" si="52"/>
        <v>723.72947360705768</v>
      </c>
      <c r="K477" s="27">
        <f t="shared" si="53"/>
        <v>-5382.0600430996628</v>
      </c>
    </row>
    <row r="478" spans="1:11" x14ac:dyDescent="0.25">
      <c r="A478" s="26">
        <v>428</v>
      </c>
      <c r="B478" s="82">
        <f t="shared" si="54"/>
        <v>0</v>
      </c>
      <c r="C478" s="58">
        <f t="shared" si="58"/>
        <v>171.9194128119324</v>
      </c>
      <c r="D478" s="83">
        <f t="shared" si="55"/>
        <v>733.33333333333326</v>
      </c>
      <c r="E478">
        <f t="shared" si="51"/>
        <v>0</v>
      </c>
      <c r="G478">
        <v>428</v>
      </c>
      <c r="H478" s="13">
        <f t="shared" si="56"/>
        <v>-1.0275684203264746E-2</v>
      </c>
      <c r="I478">
        <f t="shared" si="57"/>
        <v>167.52141997293509</v>
      </c>
      <c r="J478">
        <f t="shared" si="52"/>
        <v>723.70492813890519</v>
      </c>
      <c r="K478" s="27">
        <f t="shared" si="53"/>
        <v>-5381.6948925583165</v>
      </c>
    </row>
    <row r="479" spans="1:11" x14ac:dyDescent="0.25">
      <c r="A479" s="26">
        <v>429</v>
      </c>
      <c r="B479" s="82">
        <f t="shared" si="54"/>
        <v>0</v>
      </c>
      <c r="C479" s="58">
        <f t="shared" si="58"/>
        <v>171.9194128119324</v>
      </c>
      <c r="D479" s="83">
        <f t="shared" si="55"/>
        <v>733.33333333333326</v>
      </c>
      <c r="E479">
        <f t="shared" si="51"/>
        <v>0</v>
      </c>
      <c r="G479">
        <v>429</v>
      </c>
      <c r="H479" s="13">
        <f t="shared" si="56"/>
        <v>-1.0275684203264746E-2</v>
      </c>
      <c r="I479">
        <f t="shared" si="57"/>
        <v>167.51114428873183</v>
      </c>
      <c r="J479">
        <f t="shared" si="52"/>
        <v>723.68037155163381</v>
      </c>
      <c r="K479" s="27">
        <f t="shared" si="53"/>
        <v>-5381.3295889410301</v>
      </c>
    </row>
    <row r="480" spans="1:11" x14ac:dyDescent="0.25">
      <c r="A480" s="26">
        <v>430</v>
      </c>
      <c r="B480" s="82">
        <f t="shared" si="54"/>
        <v>0</v>
      </c>
      <c r="C480" s="58">
        <f t="shared" si="58"/>
        <v>171.9194128119324</v>
      </c>
      <c r="D480" s="83">
        <f t="shared" si="55"/>
        <v>733.33333333333326</v>
      </c>
      <c r="E480">
        <f t="shared" si="51"/>
        <v>0</v>
      </c>
      <c r="G480">
        <v>430</v>
      </c>
      <c r="H480" s="13">
        <f t="shared" si="56"/>
        <v>-1.0275684203264746E-2</v>
      </c>
      <c r="I480">
        <f t="shared" si="57"/>
        <v>167.50086860452856</v>
      </c>
      <c r="J480">
        <f t="shared" si="52"/>
        <v>723.655803832375</v>
      </c>
      <c r="K480" s="27">
        <f t="shared" si="53"/>
        <v>-5380.9641320730843</v>
      </c>
    </row>
    <row r="481" spans="1:11" x14ac:dyDescent="0.25">
      <c r="A481" s="26">
        <v>431</v>
      </c>
      <c r="B481" s="82">
        <f t="shared" si="54"/>
        <v>0</v>
      </c>
      <c r="C481" s="58">
        <f t="shared" si="58"/>
        <v>171.9194128119324</v>
      </c>
      <c r="D481" s="83">
        <f t="shared" si="55"/>
        <v>733.33333333333326</v>
      </c>
      <c r="E481">
        <f t="shared" si="51"/>
        <v>0</v>
      </c>
      <c r="G481">
        <v>431</v>
      </c>
      <c r="H481" s="13">
        <f t="shared" si="56"/>
        <v>-1.0275684203264746E-2</v>
      </c>
      <c r="I481">
        <f t="shared" si="57"/>
        <v>167.4905929203253</v>
      </c>
      <c r="J481">
        <f t="shared" si="52"/>
        <v>723.63122496823473</v>
      </c>
      <c r="K481" s="27">
        <f t="shared" si="53"/>
        <v>-5380.5985217794105</v>
      </c>
    </row>
    <row r="482" spans="1:11" x14ac:dyDescent="0.25">
      <c r="A482" s="26">
        <v>432</v>
      </c>
      <c r="B482" s="82">
        <f t="shared" si="54"/>
        <v>0</v>
      </c>
      <c r="C482" s="58">
        <f t="shared" si="58"/>
        <v>171.9194128119324</v>
      </c>
      <c r="D482" s="83">
        <f t="shared" si="55"/>
        <v>733.33333333333326</v>
      </c>
      <c r="E482">
        <f t="shared" si="51"/>
        <v>0</v>
      </c>
      <c r="G482">
        <v>432</v>
      </c>
      <c r="H482" s="13">
        <f t="shared" si="56"/>
        <v>-1.0275684203264746E-2</v>
      </c>
      <c r="I482">
        <f t="shared" si="57"/>
        <v>167.48031723612203</v>
      </c>
      <c r="J482">
        <f t="shared" si="52"/>
        <v>723.60663494629341</v>
      </c>
      <c r="K482" s="27">
        <f t="shared" si="53"/>
        <v>-5380.2327578845925</v>
      </c>
    </row>
    <row r="483" spans="1:11" x14ac:dyDescent="0.25">
      <c r="A483" s="26">
        <v>433</v>
      </c>
      <c r="B483" s="82">
        <f t="shared" si="54"/>
        <v>0</v>
      </c>
      <c r="C483" s="58">
        <f t="shared" si="58"/>
        <v>171.9194128119324</v>
      </c>
      <c r="D483" s="83">
        <f t="shared" si="55"/>
        <v>733.33333333333326</v>
      </c>
      <c r="E483">
        <f t="shared" si="51"/>
        <v>0</v>
      </c>
      <c r="G483">
        <v>433</v>
      </c>
      <c r="H483" s="13">
        <f t="shared" si="56"/>
        <v>-1.0275684203264746E-2</v>
      </c>
      <c r="I483">
        <f t="shared" si="57"/>
        <v>167.47004155191877</v>
      </c>
      <c r="J483">
        <f t="shared" si="52"/>
        <v>723.58203375360517</v>
      </c>
      <c r="K483" s="27">
        <f t="shared" si="53"/>
        <v>-5379.8668402128587</v>
      </c>
    </row>
    <row r="484" spans="1:11" x14ac:dyDescent="0.25">
      <c r="A484" s="26">
        <v>434</v>
      </c>
      <c r="B484" s="82">
        <f t="shared" si="54"/>
        <v>0</v>
      </c>
      <c r="C484" s="58">
        <f t="shared" si="58"/>
        <v>171.9194128119324</v>
      </c>
      <c r="D484" s="83">
        <f t="shared" si="55"/>
        <v>733.33333333333326</v>
      </c>
      <c r="E484">
        <f t="shared" si="51"/>
        <v>0</v>
      </c>
      <c r="G484">
        <v>434</v>
      </c>
      <c r="H484" s="13">
        <f t="shared" si="56"/>
        <v>-1.0275684203264746E-2</v>
      </c>
      <c r="I484">
        <f t="shared" si="57"/>
        <v>167.4597658677155</v>
      </c>
      <c r="J484">
        <f t="shared" si="52"/>
        <v>723.55742137719858</v>
      </c>
      <c r="K484" s="27">
        <f t="shared" si="53"/>
        <v>-5379.5007685880892</v>
      </c>
    </row>
    <row r="485" spans="1:11" x14ac:dyDescent="0.25">
      <c r="A485" s="26">
        <v>435</v>
      </c>
      <c r="B485" s="82">
        <f t="shared" si="54"/>
        <v>0</v>
      </c>
      <c r="C485" s="58">
        <f t="shared" si="58"/>
        <v>171.9194128119324</v>
      </c>
      <c r="D485" s="83">
        <f t="shared" si="55"/>
        <v>733.33333333333326</v>
      </c>
      <c r="E485">
        <f t="shared" si="51"/>
        <v>0</v>
      </c>
      <c r="G485">
        <v>435</v>
      </c>
      <c r="H485" s="13">
        <f t="shared" si="56"/>
        <v>-1.0275684203264746E-2</v>
      </c>
      <c r="I485">
        <f t="shared" si="57"/>
        <v>167.44949018351224</v>
      </c>
      <c r="J485">
        <f t="shared" si="52"/>
        <v>723.53279780407593</v>
      </c>
      <c r="K485" s="27">
        <f t="shared" si="53"/>
        <v>-5379.1345428338072</v>
      </c>
    </row>
    <row r="486" spans="1:11" x14ac:dyDescent="0.25">
      <c r="A486" s="26">
        <v>436</v>
      </c>
      <c r="B486" s="82">
        <f t="shared" si="54"/>
        <v>0</v>
      </c>
      <c r="C486" s="58">
        <f t="shared" si="58"/>
        <v>171.9194128119324</v>
      </c>
      <c r="D486" s="83">
        <f t="shared" si="55"/>
        <v>733.33333333333326</v>
      </c>
      <c r="E486">
        <f t="shared" si="51"/>
        <v>0</v>
      </c>
      <c r="G486">
        <v>436</v>
      </c>
      <c r="H486" s="13">
        <f t="shared" si="56"/>
        <v>-1.0275684203264746E-2</v>
      </c>
      <c r="I486">
        <f t="shared" si="57"/>
        <v>167.43921449930897</v>
      </c>
      <c r="J486">
        <f t="shared" si="52"/>
        <v>723.50816302121359</v>
      </c>
      <c r="K486" s="27">
        <f t="shared" si="53"/>
        <v>-5378.7681627731863</v>
      </c>
    </row>
    <row r="487" spans="1:11" x14ac:dyDescent="0.25">
      <c r="A487" s="26">
        <v>437</v>
      </c>
      <c r="B487" s="82">
        <f t="shared" si="54"/>
        <v>0</v>
      </c>
      <c r="C487" s="58">
        <f t="shared" si="58"/>
        <v>171.9194128119324</v>
      </c>
      <c r="D487" s="83">
        <f t="shared" si="55"/>
        <v>733.33333333333326</v>
      </c>
      <c r="E487">
        <f t="shared" si="51"/>
        <v>0</v>
      </c>
      <c r="G487">
        <v>437</v>
      </c>
      <c r="H487" s="13">
        <f t="shared" si="56"/>
        <v>-1.0275684203264746E-2</v>
      </c>
      <c r="I487">
        <f t="shared" si="57"/>
        <v>167.42893881510571</v>
      </c>
      <c r="J487">
        <f t="shared" si="52"/>
        <v>723.4835170155618</v>
      </c>
      <c r="K487" s="27">
        <f t="shared" si="53"/>
        <v>-5378.4016282290386</v>
      </c>
    </row>
    <row r="488" spans="1:11" x14ac:dyDescent="0.25">
      <c r="A488" s="26">
        <v>438</v>
      </c>
      <c r="B488" s="82">
        <f t="shared" si="54"/>
        <v>0</v>
      </c>
      <c r="C488" s="58">
        <f t="shared" si="58"/>
        <v>171.9194128119324</v>
      </c>
      <c r="D488" s="83">
        <f t="shared" si="55"/>
        <v>733.33333333333326</v>
      </c>
      <c r="E488">
        <f t="shared" si="51"/>
        <v>0</v>
      </c>
      <c r="G488">
        <v>438</v>
      </c>
      <c r="H488" s="13">
        <f t="shared" si="56"/>
        <v>-1.0275684203264746E-2</v>
      </c>
      <c r="I488">
        <f t="shared" si="57"/>
        <v>167.41866313090244</v>
      </c>
      <c r="J488">
        <f t="shared" si="52"/>
        <v>723.4588597740443</v>
      </c>
      <c r="K488" s="27">
        <f t="shared" si="53"/>
        <v>-5378.0349390238243</v>
      </c>
    </row>
    <row r="489" spans="1:11" x14ac:dyDescent="0.25">
      <c r="A489" s="26">
        <v>439</v>
      </c>
      <c r="B489" s="82">
        <f t="shared" si="54"/>
        <v>0</v>
      </c>
      <c r="C489" s="58">
        <f t="shared" si="58"/>
        <v>171.9194128119324</v>
      </c>
      <c r="D489" s="83">
        <f t="shared" si="55"/>
        <v>733.33333333333326</v>
      </c>
      <c r="E489">
        <f t="shared" si="51"/>
        <v>0</v>
      </c>
      <c r="G489">
        <v>439</v>
      </c>
      <c r="H489" s="13">
        <f t="shared" si="56"/>
        <v>-1.0275684203264746E-2</v>
      </c>
      <c r="I489">
        <f t="shared" si="57"/>
        <v>167.40838744669918</v>
      </c>
      <c r="J489">
        <f t="shared" si="52"/>
        <v>723.43419128355902</v>
      </c>
      <c r="K489" s="27">
        <f t="shared" si="53"/>
        <v>-5377.6680949796473</v>
      </c>
    </row>
    <row r="490" spans="1:11" x14ac:dyDescent="0.25">
      <c r="A490" s="26">
        <v>440</v>
      </c>
      <c r="B490" s="82">
        <f t="shared" si="54"/>
        <v>0</v>
      </c>
      <c r="C490" s="58">
        <f t="shared" si="58"/>
        <v>171.9194128119324</v>
      </c>
      <c r="D490" s="83">
        <f t="shared" si="55"/>
        <v>733.33333333333326</v>
      </c>
      <c r="E490">
        <f t="shared" si="51"/>
        <v>0</v>
      </c>
      <c r="G490">
        <v>440</v>
      </c>
      <c r="H490" s="13">
        <f t="shared" si="56"/>
        <v>-1.0275684203264746E-2</v>
      </c>
      <c r="I490">
        <f t="shared" si="57"/>
        <v>167.39811176249592</v>
      </c>
      <c r="J490">
        <f t="shared" si="52"/>
        <v>723.40951153097694</v>
      </c>
      <c r="K490" s="27">
        <f t="shared" si="53"/>
        <v>-5377.3010959182502</v>
      </c>
    </row>
    <row r="491" spans="1:11" x14ac:dyDescent="0.25">
      <c r="A491" s="26">
        <v>441</v>
      </c>
      <c r="B491" s="82">
        <f t="shared" si="54"/>
        <v>0</v>
      </c>
      <c r="C491" s="58">
        <f t="shared" si="58"/>
        <v>171.9194128119324</v>
      </c>
      <c r="D491" s="83">
        <f t="shared" si="55"/>
        <v>733.33333333333326</v>
      </c>
      <c r="E491">
        <f t="shared" si="51"/>
        <v>0</v>
      </c>
      <c r="G491">
        <v>441</v>
      </c>
      <c r="H491" s="13">
        <f t="shared" si="56"/>
        <v>-1.0275684203264746E-2</v>
      </c>
      <c r="I491">
        <f t="shared" si="57"/>
        <v>167.38783607829265</v>
      </c>
      <c r="J491">
        <f t="shared" si="52"/>
        <v>723.38482050314326</v>
      </c>
      <c r="K491" s="27">
        <f t="shared" si="53"/>
        <v>-5376.9339416610192</v>
      </c>
    </row>
    <row r="492" spans="1:11" x14ac:dyDescent="0.25">
      <c r="A492" s="26">
        <v>442</v>
      </c>
      <c r="B492" s="82">
        <f t="shared" si="54"/>
        <v>0</v>
      </c>
      <c r="C492" s="58">
        <f t="shared" si="58"/>
        <v>171.9194128119324</v>
      </c>
      <c r="D492" s="83">
        <f t="shared" si="55"/>
        <v>733.33333333333326</v>
      </c>
      <c r="E492">
        <f t="shared" si="51"/>
        <v>0</v>
      </c>
      <c r="G492">
        <v>442</v>
      </c>
      <c r="H492" s="13">
        <f t="shared" si="56"/>
        <v>-1.0275684203264746E-2</v>
      </c>
      <c r="I492">
        <f t="shared" si="57"/>
        <v>167.37756039408939</v>
      </c>
      <c r="J492">
        <f t="shared" si="52"/>
        <v>723.36011818687609</v>
      </c>
      <c r="K492" s="27">
        <f t="shared" si="53"/>
        <v>-5376.5666320289783</v>
      </c>
    </row>
    <row r="493" spans="1:11" x14ac:dyDescent="0.25">
      <c r="A493" s="26">
        <v>443</v>
      </c>
      <c r="B493" s="82">
        <f t="shared" si="54"/>
        <v>0</v>
      </c>
      <c r="C493" s="58">
        <f t="shared" si="58"/>
        <v>171.9194128119324</v>
      </c>
      <c r="D493" s="83">
        <f t="shared" si="55"/>
        <v>733.33333333333326</v>
      </c>
      <c r="E493">
        <f t="shared" si="51"/>
        <v>0</v>
      </c>
      <c r="G493">
        <v>443</v>
      </c>
      <c r="H493" s="13">
        <f t="shared" si="56"/>
        <v>-1.0275684203264746E-2</v>
      </c>
      <c r="I493">
        <f t="shared" si="57"/>
        <v>167.36728470988612</v>
      </c>
      <c r="J493">
        <f t="shared" si="52"/>
        <v>723.33540456896719</v>
      </c>
      <c r="K493" s="27">
        <f t="shared" si="53"/>
        <v>-5376.19916684279</v>
      </c>
    </row>
    <row r="494" spans="1:11" x14ac:dyDescent="0.25">
      <c r="A494" s="26">
        <v>444</v>
      </c>
      <c r="B494" s="82">
        <f t="shared" si="54"/>
        <v>0</v>
      </c>
      <c r="C494" s="58">
        <f t="shared" si="58"/>
        <v>171.9194128119324</v>
      </c>
      <c r="D494" s="83">
        <f t="shared" si="55"/>
        <v>733.33333333333326</v>
      </c>
      <c r="E494">
        <f t="shared" si="51"/>
        <v>0</v>
      </c>
      <c r="G494">
        <v>444</v>
      </c>
      <c r="H494" s="13">
        <f t="shared" si="56"/>
        <v>-1.0275684203264746E-2</v>
      </c>
      <c r="I494">
        <f t="shared" si="57"/>
        <v>167.35700902568286</v>
      </c>
      <c r="J494">
        <f t="shared" si="52"/>
        <v>723.31067963618159</v>
      </c>
      <c r="K494" s="27">
        <f t="shared" si="53"/>
        <v>-5375.831545922757</v>
      </c>
    </row>
    <row r="495" spans="1:11" x14ac:dyDescent="0.25">
      <c r="A495" s="26">
        <v>445</v>
      </c>
      <c r="B495" s="82">
        <f t="shared" si="54"/>
        <v>0</v>
      </c>
      <c r="C495" s="58">
        <f t="shared" si="58"/>
        <v>171.9194128119324</v>
      </c>
      <c r="D495" s="83">
        <f t="shared" si="55"/>
        <v>733.33333333333326</v>
      </c>
      <c r="E495">
        <f t="shared" si="51"/>
        <v>0</v>
      </c>
      <c r="G495">
        <v>445</v>
      </c>
      <c r="H495" s="13">
        <f t="shared" si="56"/>
        <v>-1.0275684203264746E-2</v>
      </c>
      <c r="I495">
        <f t="shared" si="57"/>
        <v>167.34673334147959</v>
      </c>
      <c r="J495">
        <f t="shared" si="52"/>
        <v>723.28594337525772</v>
      </c>
      <c r="K495" s="27">
        <f t="shared" si="53"/>
        <v>-5375.4637690888158</v>
      </c>
    </row>
    <row r="496" spans="1:11" x14ac:dyDescent="0.25">
      <c r="A496" s="26">
        <v>446</v>
      </c>
      <c r="B496" s="82">
        <f t="shared" si="54"/>
        <v>0</v>
      </c>
      <c r="C496" s="58">
        <f t="shared" si="58"/>
        <v>171.9194128119324</v>
      </c>
      <c r="D496" s="83">
        <f t="shared" si="55"/>
        <v>733.33333333333326</v>
      </c>
      <c r="E496">
        <f t="shared" si="51"/>
        <v>0</v>
      </c>
      <c r="G496">
        <v>446</v>
      </c>
      <c r="H496" s="13">
        <f t="shared" si="56"/>
        <v>-1.0275684203264746E-2</v>
      </c>
      <c r="I496">
        <f t="shared" si="57"/>
        <v>167.33645765727633</v>
      </c>
      <c r="J496">
        <f t="shared" si="52"/>
        <v>723.26119577290683</v>
      </c>
      <c r="K496" s="27">
        <f t="shared" si="53"/>
        <v>-5375.0958361605399</v>
      </c>
    </row>
    <row r="497" spans="1:11" x14ac:dyDescent="0.25">
      <c r="A497" s="26">
        <v>447</v>
      </c>
      <c r="B497" s="82">
        <f t="shared" si="54"/>
        <v>0</v>
      </c>
      <c r="C497" s="58">
        <f t="shared" si="58"/>
        <v>171.9194128119324</v>
      </c>
      <c r="D497" s="83">
        <f t="shared" si="55"/>
        <v>733.33333333333326</v>
      </c>
      <c r="E497">
        <f t="shared" si="51"/>
        <v>0</v>
      </c>
      <c r="G497">
        <v>447</v>
      </c>
      <c r="H497" s="13">
        <f t="shared" si="56"/>
        <v>-1.0275684203264746E-2</v>
      </c>
      <c r="I497">
        <f t="shared" si="57"/>
        <v>167.32618197307306</v>
      </c>
      <c r="J497">
        <f t="shared" si="52"/>
        <v>723.2364368158137</v>
      </c>
      <c r="K497" s="27">
        <f t="shared" si="53"/>
        <v>-5374.7277469571382</v>
      </c>
    </row>
    <row r="498" spans="1:11" x14ac:dyDescent="0.25">
      <c r="A498" s="26">
        <v>448</v>
      </c>
      <c r="B498" s="82">
        <f t="shared" si="54"/>
        <v>0</v>
      </c>
      <c r="C498" s="58">
        <f t="shared" si="58"/>
        <v>171.9194128119324</v>
      </c>
      <c r="D498" s="83">
        <f t="shared" si="55"/>
        <v>733.33333333333326</v>
      </c>
      <c r="E498">
        <f t="shared" si="51"/>
        <v>0</v>
      </c>
      <c r="G498">
        <v>448</v>
      </c>
      <c r="H498" s="13">
        <f t="shared" si="56"/>
        <v>-1.0275684203264746E-2</v>
      </c>
      <c r="I498">
        <f t="shared" si="57"/>
        <v>167.3159062888698</v>
      </c>
      <c r="J498">
        <f t="shared" si="52"/>
        <v>723.21166649063593</v>
      </c>
      <c r="K498" s="27">
        <f t="shared" si="53"/>
        <v>-5374.359501297452</v>
      </c>
    </row>
    <row r="499" spans="1:11" x14ac:dyDescent="0.25">
      <c r="A499" s="26">
        <v>449</v>
      </c>
      <c r="B499" s="82">
        <f t="shared" si="54"/>
        <v>0</v>
      </c>
      <c r="C499" s="58">
        <f t="shared" si="58"/>
        <v>171.9194128119324</v>
      </c>
      <c r="D499" s="83">
        <f t="shared" si="55"/>
        <v>733.33333333333326</v>
      </c>
      <c r="E499">
        <f t="shared" ref="E499:E562" si="59">((D499^2)+(D499*D500)+(D500^2))*B500/3</f>
        <v>0</v>
      </c>
      <c r="G499">
        <v>449</v>
      </c>
      <c r="H499" s="13">
        <f t="shared" si="56"/>
        <v>-1.0275684203264746E-2</v>
      </c>
      <c r="I499">
        <f t="shared" si="57"/>
        <v>167.30563060466653</v>
      </c>
      <c r="J499">
        <f t="shared" ref="J499:J562" si="60">IF($G$28&lt;$C$14,0,((($C$11^2)-((I499-$C$13)^2))^0.5)+$C$16)</f>
        <v>723.18688478400406</v>
      </c>
      <c r="K499" s="27">
        <f t="shared" ref="K499:K562" si="61">((J499^2)+(J499*J500)+(J500^2))*H500/3</f>
        <v>-5373.9910989999562</v>
      </c>
    </row>
    <row r="500" spans="1:11" x14ac:dyDescent="0.25">
      <c r="A500" s="26">
        <v>450</v>
      </c>
      <c r="B500" s="82">
        <f t="shared" ref="B500:B563" si="62">C500-C499</f>
        <v>0</v>
      </c>
      <c r="C500" s="58">
        <f t="shared" si="58"/>
        <v>171.9194128119324</v>
      </c>
      <c r="D500" s="83">
        <f t="shared" ref="D500:D563" si="63">IF($G$28&lt;$C$14,0,((($C$11^2)-((C500-$C$13)^2))^0.5)+$C$16)</f>
        <v>733.33333333333326</v>
      </c>
      <c r="E500">
        <f t="shared" si="59"/>
        <v>0</v>
      </c>
      <c r="G500">
        <v>450</v>
      </c>
      <c r="H500" s="13">
        <f t="shared" ref="H500:H563" si="64">I500-I499</f>
        <v>-1.0275684203264746E-2</v>
      </c>
      <c r="I500">
        <f t="shared" ref="I500:I563" si="65">($G$27-$C$14)/2000+I499</f>
        <v>167.29535492046327</v>
      </c>
      <c r="J500">
        <f t="shared" si="60"/>
        <v>723.16209168252146</v>
      </c>
      <c r="K500" s="27">
        <f t="shared" si="61"/>
        <v>-5373.6225398827537</v>
      </c>
    </row>
    <row r="501" spans="1:11" x14ac:dyDescent="0.25">
      <c r="A501" s="26">
        <v>451</v>
      </c>
      <c r="B501" s="82">
        <f t="shared" si="62"/>
        <v>0</v>
      </c>
      <c r="C501" s="58">
        <f t="shared" si="58"/>
        <v>171.9194128119324</v>
      </c>
      <c r="D501" s="83">
        <f t="shared" si="63"/>
        <v>733.33333333333326</v>
      </c>
      <c r="E501">
        <f t="shared" si="59"/>
        <v>0</v>
      </c>
      <c r="G501">
        <v>451</v>
      </c>
      <c r="H501" s="13">
        <f t="shared" si="64"/>
        <v>-1.0275684203264746E-2</v>
      </c>
      <c r="I501">
        <f t="shared" si="65"/>
        <v>167.28507923626</v>
      </c>
      <c r="J501">
        <f t="shared" si="60"/>
        <v>723.13728717276433</v>
      </c>
      <c r="K501" s="27">
        <f t="shared" si="61"/>
        <v>-5373.2538237635827</v>
      </c>
    </row>
    <row r="502" spans="1:11" x14ac:dyDescent="0.25">
      <c r="A502" s="26">
        <v>452</v>
      </c>
      <c r="B502" s="82">
        <f t="shared" si="62"/>
        <v>0</v>
      </c>
      <c r="C502" s="58">
        <f t="shared" si="58"/>
        <v>171.9194128119324</v>
      </c>
      <c r="D502" s="83">
        <f t="shared" si="63"/>
        <v>733.33333333333326</v>
      </c>
      <c r="E502">
        <f t="shared" si="59"/>
        <v>0</v>
      </c>
      <c r="G502">
        <v>452</v>
      </c>
      <c r="H502" s="13">
        <f t="shared" si="64"/>
        <v>-1.0275684203264746E-2</v>
      </c>
      <c r="I502">
        <f t="shared" si="65"/>
        <v>167.27480355205674</v>
      </c>
      <c r="J502">
        <f t="shared" si="60"/>
        <v>723.1124712412817</v>
      </c>
      <c r="K502" s="27">
        <f t="shared" si="61"/>
        <v>-5372.8849504598093</v>
      </c>
    </row>
    <row r="503" spans="1:11" x14ac:dyDescent="0.25">
      <c r="A503" s="26">
        <v>453</v>
      </c>
      <c r="B503" s="82">
        <f t="shared" si="62"/>
        <v>0</v>
      </c>
      <c r="C503" s="58">
        <f t="shared" si="58"/>
        <v>171.9194128119324</v>
      </c>
      <c r="D503" s="83">
        <f t="shared" si="63"/>
        <v>733.33333333333326</v>
      </c>
      <c r="E503">
        <f t="shared" si="59"/>
        <v>0</v>
      </c>
      <c r="G503">
        <v>453</v>
      </c>
      <c r="H503" s="13">
        <f t="shared" si="64"/>
        <v>-1.0275684203264746E-2</v>
      </c>
      <c r="I503">
        <f t="shared" si="65"/>
        <v>167.26452786785347</v>
      </c>
      <c r="J503">
        <f t="shared" si="60"/>
        <v>723.08764387459507</v>
      </c>
      <c r="K503" s="27">
        <f t="shared" si="61"/>
        <v>-5372.5159197884268</v>
      </c>
    </row>
    <row r="504" spans="1:11" x14ac:dyDescent="0.25">
      <c r="A504" s="26">
        <v>454</v>
      </c>
      <c r="B504" s="82">
        <f t="shared" si="62"/>
        <v>0</v>
      </c>
      <c r="C504" s="58">
        <f t="shared" si="58"/>
        <v>171.9194128119324</v>
      </c>
      <c r="D504" s="83">
        <f t="shared" si="63"/>
        <v>733.33333333333326</v>
      </c>
      <c r="E504">
        <f t="shared" si="59"/>
        <v>0</v>
      </c>
      <c r="G504">
        <v>454</v>
      </c>
      <c r="H504" s="13">
        <f t="shared" si="64"/>
        <v>-1.0275684203264746E-2</v>
      </c>
      <c r="I504">
        <f t="shared" si="65"/>
        <v>167.25425218365021</v>
      </c>
      <c r="J504">
        <f t="shared" si="60"/>
        <v>723.06280505919869</v>
      </c>
      <c r="K504" s="27">
        <f t="shared" si="61"/>
        <v>-5372.1467315660548</v>
      </c>
    </row>
    <row r="505" spans="1:11" x14ac:dyDescent="0.25">
      <c r="A505" s="26">
        <v>455</v>
      </c>
      <c r="B505" s="82">
        <f t="shared" si="62"/>
        <v>0</v>
      </c>
      <c r="C505" s="58">
        <f t="shared" si="58"/>
        <v>171.9194128119324</v>
      </c>
      <c r="D505" s="83">
        <f t="shared" si="63"/>
        <v>733.33333333333326</v>
      </c>
      <c r="E505">
        <f t="shared" si="59"/>
        <v>0</v>
      </c>
      <c r="G505">
        <v>455</v>
      </c>
      <c r="H505" s="13">
        <f t="shared" si="64"/>
        <v>-1.0275684203264746E-2</v>
      </c>
      <c r="I505">
        <f t="shared" si="65"/>
        <v>167.24397649944694</v>
      </c>
      <c r="J505">
        <f t="shared" si="60"/>
        <v>723.03795478155894</v>
      </c>
      <c r="K505" s="27">
        <f t="shared" si="61"/>
        <v>-5371.7773856089416</v>
      </c>
    </row>
    <row r="506" spans="1:11" x14ac:dyDescent="0.25">
      <c r="A506" s="26">
        <v>456</v>
      </c>
      <c r="B506" s="82">
        <f t="shared" si="62"/>
        <v>0</v>
      </c>
      <c r="C506" s="58">
        <f t="shared" si="58"/>
        <v>171.9194128119324</v>
      </c>
      <c r="D506" s="83">
        <f t="shared" si="63"/>
        <v>733.33333333333326</v>
      </c>
      <c r="E506">
        <f t="shared" si="59"/>
        <v>0</v>
      </c>
      <c r="G506">
        <v>456</v>
      </c>
      <c r="H506" s="13">
        <f t="shared" si="64"/>
        <v>-1.0275684203264746E-2</v>
      </c>
      <c r="I506">
        <f t="shared" si="65"/>
        <v>167.23370081524368</v>
      </c>
      <c r="J506">
        <f t="shared" si="60"/>
        <v>723.01309302811501</v>
      </c>
      <c r="K506" s="27">
        <f t="shared" si="61"/>
        <v>-5371.407881732961</v>
      </c>
    </row>
    <row r="507" spans="1:11" x14ac:dyDescent="0.25">
      <c r="A507" s="26">
        <v>457</v>
      </c>
      <c r="B507" s="82">
        <f t="shared" si="62"/>
        <v>0</v>
      </c>
      <c r="C507" s="58">
        <f t="shared" si="58"/>
        <v>171.9194128119324</v>
      </c>
      <c r="D507" s="83">
        <f t="shared" si="63"/>
        <v>733.33333333333326</v>
      </c>
      <c r="E507">
        <f t="shared" si="59"/>
        <v>0</v>
      </c>
      <c r="G507">
        <v>457</v>
      </c>
      <c r="H507" s="13">
        <f t="shared" si="64"/>
        <v>-1.0275684203264746E-2</v>
      </c>
      <c r="I507">
        <f t="shared" si="65"/>
        <v>167.22342513104041</v>
      </c>
      <c r="J507">
        <f t="shared" si="60"/>
        <v>722.98821978527826</v>
      </c>
      <c r="K507" s="27">
        <f t="shared" si="61"/>
        <v>-5371.0382197536064</v>
      </c>
    </row>
    <row r="508" spans="1:11" x14ac:dyDescent="0.25">
      <c r="A508" s="26">
        <v>458</v>
      </c>
      <c r="B508" s="82">
        <f t="shared" si="62"/>
        <v>0</v>
      </c>
      <c r="C508" s="58">
        <f t="shared" si="58"/>
        <v>171.9194128119324</v>
      </c>
      <c r="D508" s="83">
        <f t="shared" si="63"/>
        <v>733.33333333333326</v>
      </c>
      <c r="E508">
        <f t="shared" si="59"/>
        <v>0</v>
      </c>
      <c r="G508">
        <v>458</v>
      </c>
      <c r="H508" s="13">
        <f t="shared" si="64"/>
        <v>-1.0275684203264746E-2</v>
      </c>
      <c r="I508">
        <f t="shared" si="65"/>
        <v>167.21314944683715</v>
      </c>
      <c r="J508">
        <f t="shared" si="60"/>
        <v>722.9633350394322</v>
      </c>
      <c r="K508" s="27">
        <f t="shared" si="61"/>
        <v>-5370.6683994860014</v>
      </c>
    </row>
    <row r="509" spans="1:11" x14ac:dyDescent="0.25">
      <c r="A509" s="26">
        <v>459</v>
      </c>
      <c r="B509" s="82">
        <f t="shared" si="62"/>
        <v>0</v>
      </c>
      <c r="C509" s="58">
        <f t="shared" si="58"/>
        <v>171.9194128119324</v>
      </c>
      <c r="D509" s="83">
        <f t="shared" si="63"/>
        <v>733.33333333333326</v>
      </c>
      <c r="E509">
        <f t="shared" si="59"/>
        <v>0</v>
      </c>
      <c r="G509">
        <v>459</v>
      </c>
      <c r="H509" s="13">
        <f t="shared" si="64"/>
        <v>-1.0275684203264746E-2</v>
      </c>
      <c r="I509">
        <f t="shared" si="65"/>
        <v>167.20287376263389</v>
      </c>
      <c r="J509">
        <f t="shared" si="60"/>
        <v>722.93843877693257</v>
      </c>
      <c r="K509" s="27">
        <f t="shared" si="61"/>
        <v>-5370.2984207448826</v>
      </c>
    </row>
    <row r="510" spans="1:11" x14ac:dyDescent="0.25">
      <c r="A510" s="26">
        <v>460</v>
      </c>
      <c r="B510" s="82">
        <f t="shared" si="62"/>
        <v>0</v>
      </c>
      <c r="C510" s="58">
        <f t="shared" si="58"/>
        <v>171.9194128119324</v>
      </c>
      <c r="D510" s="83">
        <f t="shared" si="63"/>
        <v>733.33333333333326</v>
      </c>
      <c r="E510">
        <f t="shared" si="59"/>
        <v>0</v>
      </c>
      <c r="G510">
        <v>460</v>
      </c>
      <c r="H510" s="13">
        <f t="shared" si="64"/>
        <v>-1.0275684203264746E-2</v>
      </c>
      <c r="I510">
        <f t="shared" si="65"/>
        <v>167.19259807843062</v>
      </c>
      <c r="J510">
        <f t="shared" si="60"/>
        <v>722.91353098410718</v>
      </c>
      <c r="K510" s="27">
        <f t="shared" si="61"/>
        <v>-5369.928283344615</v>
      </c>
    </row>
    <row r="511" spans="1:11" x14ac:dyDescent="0.25">
      <c r="A511" s="26">
        <v>461</v>
      </c>
      <c r="B511" s="82">
        <f t="shared" si="62"/>
        <v>0</v>
      </c>
      <c r="C511" s="58">
        <f t="shared" si="58"/>
        <v>171.9194128119324</v>
      </c>
      <c r="D511" s="83">
        <f t="shared" si="63"/>
        <v>733.33333333333326</v>
      </c>
      <c r="E511">
        <f t="shared" si="59"/>
        <v>0</v>
      </c>
      <c r="G511">
        <v>461</v>
      </c>
      <c r="H511" s="13">
        <f t="shared" si="64"/>
        <v>-1.0275684203264746E-2</v>
      </c>
      <c r="I511">
        <f t="shared" si="65"/>
        <v>167.18232239422736</v>
      </c>
      <c r="J511">
        <f t="shared" si="60"/>
        <v>722.88861164725586</v>
      </c>
      <c r="K511" s="27">
        <f t="shared" si="61"/>
        <v>-5369.5579870991778</v>
      </c>
    </row>
    <row r="512" spans="1:11" x14ac:dyDescent="0.25">
      <c r="A512" s="26">
        <v>462</v>
      </c>
      <c r="B512" s="82">
        <f t="shared" si="62"/>
        <v>0</v>
      </c>
      <c r="C512" s="58">
        <f t="shared" si="58"/>
        <v>171.9194128119324</v>
      </c>
      <c r="D512" s="83">
        <f t="shared" si="63"/>
        <v>733.33333333333326</v>
      </c>
      <c r="E512">
        <f t="shared" si="59"/>
        <v>0</v>
      </c>
      <c r="G512">
        <v>462</v>
      </c>
      <c r="H512" s="13">
        <f t="shared" si="64"/>
        <v>-1.0275684203264746E-2</v>
      </c>
      <c r="I512">
        <f t="shared" si="65"/>
        <v>167.17204671002409</v>
      </c>
      <c r="J512">
        <f t="shared" si="60"/>
        <v>722.86368075265034</v>
      </c>
      <c r="K512" s="27">
        <f t="shared" si="61"/>
        <v>-5369.1875318221737</v>
      </c>
    </row>
    <row r="513" spans="1:11" x14ac:dyDescent="0.25">
      <c r="A513" s="26">
        <v>463</v>
      </c>
      <c r="B513" s="82">
        <f t="shared" si="62"/>
        <v>0</v>
      </c>
      <c r="C513" s="58">
        <f t="shared" si="58"/>
        <v>171.9194128119324</v>
      </c>
      <c r="D513" s="83">
        <f t="shared" si="63"/>
        <v>733.33333333333326</v>
      </c>
      <c r="E513">
        <f t="shared" si="59"/>
        <v>0</v>
      </c>
      <c r="G513">
        <v>463</v>
      </c>
      <c r="H513" s="13">
        <f t="shared" si="64"/>
        <v>-1.0275684203264746E-2</v>
      </c>
      <c r="I513">
        <f t="shared" si="65"/>
        <v>167.16177102582083</v>
      </c>
      <c r="J513">
        <f t="shared" si="60"/>
        <v>722.83873828653429</v>
      </c>
      <c r="K513" s="27">
        <f t="shared" si="61"/>
        <v>-5368.8169173268207</v>
      </c>
    </row>
    <row r="514" spans="1:11" x14ac:dyDescent="0.25">
      <c r="A514" s="26">
        <v>464</v>
      </c>
      <c r="B514" s="82">
        <f t="shared" si="62"/>
        <v>0</v>
      </c>
      <c r="C514" s="58">
        <f t="shared" si="58"/>
        <v>171.9194128119324</v>
      </c>
      <c r="D514" s="83">
        <f t="shared" si="63"/>
        <v>733.33333333333326</v>
      </c>
      <c r="E514">
        <f t="shared" si="59"/>
        <v>0</v>
      </c>
      <c r="G514">
        <v>464</v>
      </c>
      <c r="H514" s="13">
        <f t="shared" si="64"/>
        <v>-1.0275684203264746E-2</v>
      </c>
      <c r="I514">
        <f t="shared" si="65"/>
        <v>167.15149534161756</v>
      </c>
      <c r="J514">
        <f t="shared" si="60"/>
        <v>722.81378423512297</v>
      </c>
      <c r="K514" s="27">
        <f t="shared" si="61"/>
        <v>-5368.446143425951</v>
      </c>
    </row>
    <row r="515" spans="1:11" x14ac:dyDescent="0.25">
      <c r="A515" s="26">
        <v>465</v>
      </c>
      <c r="B515" s="82">
        <f t="shared" si="62"/>
        <v>0</v>
      </c>
      <c r="C515" s="58">
        <f t="shared" si="58"/>
        <v>171.9194128119324</v>
      </c>
      <c r="D515" s="83">
        <f t="shared" si="63"/>
        <v>733.33333333333326</v>
      </c>
      <c r="E515">
        <f t="shared" si="59"/>
        <v>0</v>
      </c>
      <c r="G515">
        <v>465</v>
      </c>
      <c r="H515" s="13">
        <f t="shared" si="64"/>
        <v>-1.0275684203264746E-2</v>
      </c>
      <c r="I515">
        <f t="shared" si="65"/>
        <v>167.1412196574143</v>
      </c>
      <c r="J515">
        <f t="shared" si="60"/>
        <v>722.78881858460352</v>
      </c>
      <c r="K515" s="27">
        <f t="shared" si="61"/>
        <v>-5368.0752099320162</v>
      </c>
    </row>
    <row r="516" spans="1:11" x14ac:dyDescent="0.25">
      <c r="A516" s="26">
        <v>466</v>
      </c>
      <c r="B516" s="82">
        <f t="shared" si="62"/>
        <v>0</v>
      </c>
      <c r="C516" s="58">
        <f t="shared" si="58"/>
        <v>171.9194128119324</v>
      </c>
      <c r="D516" s="83">
        <f t="shared" si="63"/>
        <v>733.33333333333326</v>
      </c>
      <c r="E516">
        <f t="shared" si="59"/>
        <v>0</v>
      </c>
      <c r="G516">
        <v>466</v>
      </c>
      <c r="H516" s="13">
        <f t="shared" si="64"/>
        <v>-1.0275684203264746E-2</v>
      </c>
      <c r="I516">
        <f t="shared" si="65"/>
        <v>167.13094397321103</v>
      </c>
      <c r="J516">
        <f t="shared" si="60"/>
        <v>722.76384132113446</v>
      </c>
      <c r="K516" s="27">
        <f t="shared" si="61"/>
        <v>-5367.7041166570789</v>
      </c>
    </row>
    <row r="517" spans="1:11" x14ac:dyDescent="0.25">
      <c r="A517" s="26">
        <v>467</v>
      </c>
      <c r="B517" s="82">
        <f t="shared" si="62"/>
        <v>0</v>
      </c>
      <c r="C517" s="58">
        <f t="shared" si="58"/>
        <v>171.9194128119324</v>
      </c>
      <c r="D517" s="83">
        <f t="shared" si="63"/>
        <v>733.33333333333326</v>
      </c>
      <c r="E517">
        <f t="shared" si="59"/>
        <v>0</v>
      </c>
      <c r="G517">
        <v>467</v>
      </c>
      <c r="H517" s="13">
        <f t="shared" si="64"/>
        <v>-1.0275684203264746E-2</v>
      </c>
      <c r="I517">
        <f t="shared" si="65"/>
        <v>167.12066828900777</v>
      </c>
      <c r="J517">
        <f t="shared" si="60"/>
        <v>722.73885243084601</v>
      </c>
      <c r="K517" s="27">
        <f t="shared" si="61"/>
        <v>-5367.3328634128184</v>
      </c>
    </row>
    <row r="518" spans="1:11" x14ac:dyDescent="0.25">
      <c r="A518" s="26">
        <v>468</v>
      </c>
      <c r="B518" s="82">
        <f t="shared" si="62"/>
        <v>0</v>
      </c>
      <c r="C518" s="58">
        <f t="shared" si="58"/>
        <v>171.9194128119324</v>
      </c>
      <c r="D518" s="83">
        <f t="shared" si="63"/>
        <v>733.33333333333326</v>
      </c>
      <c r="E518">
        <f t="shared" si="59"/>
        <v>0</v>
      </c>
      <c r="G518">
        <v>468</v>
      </c>
      <c r="H518" s="13">
        <f t="shared" si="64"/>
        <v>-1.0275684203264746E-2</v>
      </c>
      <c r="I518">
        <f t="shared" si="65"/>
        <v>167.1103926048045</v>
      </c>
      <c r="J518">
        <f t="shared" si="60"/>
        <v>722.71385189983971</v>
      </c>
      <c r="K518" s="27">
        <f t="shared" si="61"/>
        <v>-5366.9614500105181</v>
      </c>
    </row>
    <row r="519" spans="1:11" x14ac:dyDescent="0.25">
      <c r="A519" s="26">
        <v>469</v>
      </c>
      <c r="B519" s="82">
        <f t="shared" si="62"/>
        <v>0</v>
      </c>
      <c r="C519" s="58">
        <f t="shared" si="58"/>
        <v>171.9194128119324</v>
      </c>
      <c r="D519" s="83">
        <f t="shared" si="63"/>
        <v>733.33333333333326</v>
      </c>
      <c r="E519">
        <f t="shared" si="59"/>
        <v>0</v>
      </c>
      <c r="G519">
        <v>469</v>
      </c>
      <c r="H519" s="13">
        <f t="shared" si="64"/>
        <v>-1.0275684203264746E-2</v>
      </c>
      <c r="I519">
        <f t="shared" si="65"/>
        <v>167.10011692060124</v>
      </c>
      <c r="J519">
        <f t="shared" si="60"/>
        <v>722.68883971418836</v>
      </c>
      <c r="K519" s="27">
        <f t="shared" si="61"/>
        <v>-5366.5898762610823</v>
      </c>
    </row>
    <row r="520" spans="1:11" x14ac:dyDescent="0.25">
      <c r="A520" s="26">
        <v>470</v>
      </c>
      <c r="B520" s="82">
        <f t="shared" si="62"/>
        <v>0</v>
      </c>
      <c r="C520" s="58">
        <f t="shared" si="58"/>
        <v>171.9194128119324</v>
      </c>
      <c r="D520" s="83">
        <f t="shared" si="63"/>
        <v>733.33333333333326</v>
      </c>
      <c r="E520">
        <f t="shared" si="59"/>
        <v>0</v>
      </c>
      <c r="G520">
        <v>470</v>
      </c>
      <c r="H520" s="13">
        <f t="shared" si="64"/>
        <v>-1.0275684203264746E-2</v>
      </c>
      <c r="I520">
        <f t="shared" si="65"/>
        <v>167.08984123639797</v>
      </c>
      <c r="J520">
        <f t="shared" si="60"/>
        <v>722.66381585993634</v>
      </c>
      <c r="K520" s="27">
        <f t="shared" si="61"/>
        <v>-5366.2181419750177</v>
      </c>
    </row>
    <row r="521" spans="1:11" x14ac:dyDescent="0.25">
      <c r="A521" s="26">
        <v>471</v>
      </c>
      <c r="B521" s="82">
        <f t="shared" si="62"/>
        <v>0</v>
      </c>
      <c r="C521" s="58">
        <f t="shared" si="58"/>
        <v>171.9194128119324</v>
      </c>
      <c r="D521" s="83">
        <f t="shared" si="63"/>
        <v>733.33333333333326</v>
      </c>
      <c r="E521">
        <f t="shared" si="59"/>
        <v>0</v>
      </c>
      <c r="G521">
        <v>471</v>
      </c>
      <c r="H521" s="13">
        <f t="shared" si="64"/>
        <v>-1.0275684203264746E-2</v>
      </c>
      <c r="I521">
        <f t="shared" si="65"/>
        <v>167.07956555219471</v>
      </c>
      <c r="J521">
        <f t="shared" si="60"/>
        <v>722.6387803230989</v>
      </c>
      <c r="K521" s="27">
        <f t="shared" si="61"/>
        <v>-5365.8462469624437</v>
      </c>
    </row>
    <row r="522" spans="1:11" x14ac:dyDescent="0.25">
      <c r="A522" s="26">
        <v>472</v>
      </c>
      <c r="B522" s="82">
        <f t="shared" si="62"/>
        <v>0</v>
      </c>
      <c r="C522" s="58">
        <f t="shared" si="58"/>
        <v>171.9194128119324</v>
      </c>
      <c r="D522" s="83">
        <f t="shared" si="63"/>
        <v>733.33333333333326</v>
      </c>
      <c r="E522">
        <f t="shared" si="59"/>
        <v>0</v>
      </c>
      <c r="G522">
        <v>472</v>
      </c>
      <c r="H522" s="13">
        <f t="shared" si="64"/>
        <v>-1.0275684203264746E-2</v>
      </c>
      <c r="I522">
        <f t="shared" si="65"/>
        <v>167.06928986799144</v>
      </c>
      <c r="J522">
        <f t="shared" si="60"/>
        <v>722.61373308966256</v>
      </c>
      <c r="K522" s="27">
        <f t="shared" si="61"/>
        <v>-5365.4741910330858</v>
      </c>
    </row>
    <row r="523" spans="1:11" x14ac:dyDescent="0.25">
      <c r="A523" s="26">
        <v>473</v>
      </c>
      <c r="B523" s="82">
        <f t="shared" si="62"/>
        <v>0</v>
      </c>
      <c r="C523" s="58">
        <f t="shared" si="58"/>
        <v>171.9194128119324</v>
      </c>
      <c r="D523" s="83">
        <f t="shared" si="63"/>
        <v>733.33333333333326</v>
      </c>
      <c r="E523">
        <f t="shared" si="59"/>
        <v>0</v>
      </c>
      <c r="G523">
        <v>473</v>
      </c>
      <c r="H523" s="13">
        <f t="shared" si="64"/>
        <v>-1.0275684203264746E-2</v>
      </c>
      <c r="I523">
        <f t="shared" si="65"/>
        <v>167.05901418378818</v>
      </c>
      <c r="J523">
        <f t="shared" si="60"/>
        <v>722.58867414558483</v>
      </c>
      <c r="K523" s="27">
        <f t="shared" si="61"/>
        <v>-5365.1019739962749</v>
      </c>
    </row>
    <row r="524" spans="1:11" x14ac:dyDescent="0.25">
      <c r="A524" s="26">
        <v>474</v>
      </c>
      <c r="B524" s="82">
        <f t="shared" si="62"/>
        <v>0</v>
      </c>
      <c r="C524" s="58">
        <f t="shared" si="58"/>
        <v>171.9194128119324</v>
      </c>
      <c r="D524" s="83">
        <f t="shared" si="63"/>
        <v>733.33333333333326</v>
      </c>
      <c r="E524">
        <f t="shared" si="59"/>
        <v>0</v>
      </c>
      <c r="G524">
        <v>474</v>
      </c>
      <c r="H524" s="13">
        <f t="shared" si="64"/>
        <v>-1.0275684203264746E-2</v>
      </c>
      <c r="I524">
        <f t="shared" si="65"/>
        <v>167.04873849958491</v>
      </c>
      <c r="J524">
        <f t="shared" si="60"/>
        <v>722.56360347679401</v>
      </c>
      <c r="K524" s="27">
        <f t="shared" si="61"/>
        <v>-5364.729595660946</v>
      </c>
    </row>
    <row r="525" spans="1:11" x14ac:dyDescent="0.25">
      <c r="A525" s="26">
        <v>475</v>
      </c>
      <c r="B525" s="82">
        <f t="shared" si="62"/>
        <v>0</v>
      </c>
      <c r="C525" s="58">
        <f t="shared" si="58"/>
        <v>171.9194128119324</v>
      </c>
      <c r="D525" s="83">
        <f t="shared" si="63"/>
        <v>733.33333333333326</v>
      </c>
      <c r="E525">
        <f t="shared" si="59"/>
        <v>0</v>
      </c>
      <c r="G525">
        <v>475</v>
      </c>
      <c r="H525" s="13">
        <f t="shared" si="64"/>
        <v>-1.0275684203264746E-2</v>
      </c>
      <c r="I525">
        <f t="shared" si="65"/>
        <v>167.03846281538165</v>
      </c>
      <c r="J525">
        <f t="shared" si="60"/>
        <v>722.53852106918953</v>
      </c>
      <c r="K525" s="27">
        <f t="shared" si="61"/>
        <v>-5364.3570558356432</v>
      </c>
    </row>
    <row r="526" spans="1:11" x14ac:dyDescent="0.25">
      <c r="A526" s="26">
        <v>476</v>
      </c>
      <c r="B526" s="82">
        <f t="shared" si="62"/>
        <v>0</v>
      </c>
      <c r="C526" s="58">
        <f t="shared" si="58"/>
        <v>171.9194128119324</v>
      </c>
      <c r="D526" s="83">
        <f t="shared" si="63"/>
        <v>733.33333333333326</v>
      </c>
      <c r="E526">
        <f t="shared" si="59"/>
        <v>0</v>
      </c>
      <c r="G526">
        <v>476</v>
      </c>
      <c r="H526" s="13">
        <f t="shared" si="64"/>
        <v>-1.0275684203264746E-2</v>
      </c>
      <c r="I526">
        <f t="shared" si="65"/>
        <v>167.02818713117838</v>
      </c>
      <c r="J526">
        <f t="shared" si="60"/>
        <v>722.51342690864135</v>
      </c>
      <c r="K526" s="27">
        <f t="shared" si="61"/>
        <v>-5363.9843543285078</v>
      </c>
    </row>
    <row r="527" spans="1:11" x14ac:dyDescent="0.25">
      <c r="A527" s="26">
        <v>477</v>
      </c>
      <c r="B527" s="82">
        <f t="shared" si="62"/>
        <v>0</v>
      </c>
      <c r="C527" s="58">
        <f t="shared" si="58"/>
        <v>171.9194128119324</v>
      </c>
      <c r="D527" s="83">
        <f t="shared" si="63"/>
        <v>733.33333333333326</v>
      </c>
      <c r="E527">
        <f t="shared" si="59"/>
        <v>0</v>
      </c>
      <c r="G527">
        <v>477</v>
      </c>
      <c r="H527" s="13">
        <f t="shared" si="64"/>
        <v>-1.0275684203264746E-2</v>
      </c>
      <c r="I527">
        <f t="shared" si="65"/>
        <v>167.01791144697512</v>
      </c>
      <c r="J527">
        <f t="shared" si="60"/>
        <v>722.48832098099012</v>
      </c>
      <c r="K527" s="27">
        <f t="shared" si="61"/>
        <v>-5363.6114909472844</v>
      </c>
    </row>
    <row r="528" spans="1:11" x14ac:dyDescent="0.25">
      <c r="A528" s="26">
        <v>478</v>
      </c>
      <c r="B528" s="82">
        <f t="shared" si="62"/>
        <v>0</v>
      </c>
      <c r="C528" s="58">
        <f t="shared" ref="C528:C591" si="66">($C$37-$C$36)/2000+C527</f>
        <v>171.9194128119324</v>
      </c>
      <c r="D528" s="83">
        <f t="shared" si="63"/>
        <v>733.33333333333326</v>
      </c>
      <c r="E528">
        <f t="shared" si="59"/>
        <v>0</v>
      </c>
      <c r="G528">
        <v>478</v>
      </c>
      <c r="H528" s="13">
        <f t="shared" si="64"/>
        <v>-1.0275684203264746E-2</v>
      </c>
      <c r="I528">
        <f t="shared" si="65"/>
        <v>167.00763576277186</v>
      </c>
      <c r="J528">
        <f t="shared" si="60"/>
        <v>722.46320327204717</v>
      </c>
      <c r="K528" s="27">
        <f t="shared" si="61"/>
        <v>-5363.238465499322</v>
      </c>
    </row>
    <row r="529" spans="1:11" x14ac:dyDescent="0.25">
      <c r="A529" s="26">
        <v>479</v>
      </c>
      <c r="B529" s="82">
        <f t="shared" si="62"/>
        <v>0</v>
      </c>
      <c r="C529" s="58">
        <f t="shared" si="66"/>
        <v>171.9194128119324</v>
      </c>
      <c r="D529" s="83">
        <f t="shared" si="63"/>
        <v>733.33333333333326</v>
      </c>
      <c r="E529">
        <f t="shared" si="59"/>
        <v>0</v>
      </c>
      <c r="G529">
        <v>479</v>
      </c>
      <c r="H529" s="13">
        <f t="shared" si="64"/>
        <v>-1.0275684203264746E-2</v>
      </c>
      <c r="I529">
        <f t="shared" si="65"/>
        <v>166.99736007856859</v>
      </c>
      <c r="J529">
        <f t="shared" si="60"/>
        <v>722.43807376759435</v>
      </c>
      <c r="K529" s="27">
        <f t="shared" si="61"/>
        <v>-5362.8652777915613</v>
      </c>
    </row>
    <row r="530" spans="1:11" x14ac:dyDescent="0.25">
      <c r="A530" s="26">
        <v>480</v>
      </c>
      <c r="B530" s="82">
        <f t="shared" si="62"/>
        <v>0</v>
      </c>
      <c r="C530" s="58">
        <f t="shared" si="66"/>
        <v>171.9194128119324</v>
      </c>
      <c r="D530" s="83">
        <f t="shared" si="63"/>
        <v>733.33333333333326</v>
      </c>
      <c r="E530">
        <f t="shared" si="59"/>
        <v>0</v>
      </c>
      <c r="G530">
        <v>480</v>
      </c>
      <c r="H530" s="13">
        <f t="shared" si="64"/>
        <v>-1.0275684203264746E-2</v>
      </c>
      <c r="I530">
        <f t="shared" si="65"/>
        <v>166.98708439436533</v>
      </c>
      <c r="J530">
        <f t="shared" si="60"/>
        <v>722.41293245338375</v>
      </c>
      <c r="K530" s="27">
        <f t="shared" si="61"/>
        <v>-5362.4919276305482</v>
      </c>
    </row>
    <row r="531" spans="1:11" x14ac:dyDescent="0.25">
      <c r="A531" s="26">
        <v>481</v>
      </c>
      <c r="B531" s="82">
        <f t="shared" si="62"/>
        <v>0</v>
      </c>
      <c r="C531" s="58">
        <f t="shared" si="66"/>
        <v>171.9194128119324</v>
      </c>
      <c r="D531" s="83">
        <f t="shared" si="63"/>
        <v>733.33333333333326</v>
      </c>
      <c r="E531">
        <f t="shared" si="59"/>
        <v>0</v>
      </c>
      <c r="G531">
        <v>481</v>
      </c>
      <c r="H531" s="13">
        <f t="shared" si="64"/>
        <v>-1.0275684203264746E-2</v>
      </c>
      <c r="I531">
        <f t="shared" si="65"/>
        <v>166.97680871016206</v>
      </c>
      <c r="J531">
        <f t="shared" si="60"/>
        <v>722.387779315138</v>
      </c>
      <c r="K531" s="27">
        <f t="shared" si="61"/>
        <v>-5362.1184148224229</v>
      </c>
    </row>
    <row r="532" spans="1:11" x14ac:dyDescent="0.25">
      <c r="A532" s="26">
        <v>482</v>
      </c>
      <c r="B532" s="82">
        <f t="shared" si="62"/>
        <v>0</v>
      </c>
      <c r="C532" s="58">
        <f t="shared" si="66"/>
        <v>171.9194128119324</v>
      </c>
      <c r="D532" s="83">
        <f t="shared" si="63"/>
        <v>733.33333333333326</v>
      </c>
      <c r="E532">
        <f t="shared" si="59"/>
        <v>0</v>
      </c>
      <c r="G532">
        <v>482</v>
      </c>
      <c r="H532" s="13">
        <f t="shared" si="64"/>
        <v>-1.0275684203264746E-2</v>
      </c>
      <c r="I532">
        <f t="shared" si="65"/>
        <v>166.9665330259588</v>
      </c>
      <c r="J532">
        <f t="shared" si="60"/>
        <v>722.36261433854986</v>
      </c>
      <c r="K532" s="27">
        <f t="shared" si="61"/>
        <v>-5361.7447391729193</v>
      </c>
    </row>
    <row r="533" spans="1:11" x14ac:dyDescent="0.25">
      <c r="A533" s="26">
        <v>483</v>
      </c>
      <c r="B533" s="82">
        <f t="shared" si="62"/>
        <v>0</v>
      </c>
      <c r="C533" s="58">
        <f t="shared" si="66"/>
        <v>171.9194128119324</v>
      </c>
      <c r="D533" s="83">
        <f t="shared" si="63"/>
        <v>733.33333333333326</v>
      </c>
      <c r="E533">
        <f t="shared" si="59"/>
        <v>0</v>
      </c>
      <c r="G533">
        <v>483</v>
      </c>
      <c r="H533" s="13">
        <f t="shared" si="64"/>
        <v>-1.0275684203264746E-2</v>
      </c>
      <c r="I533">
        <f t="shared" si="65"/>
        <v>166.95625734175553</v>
      </c>
      <c r="J533">
        <f t="shared" si="60"/>
        <v>722.33743750928227</v>
      </c>
      <c r="K533" s="27">
        <f t="shared" si="61"/>
        <v>-5361.3709004873699</v>
      </c>
    </row>
    <row r="534" spans="1:11" x14ac:dyDescent="0.25">
      <c r="A534" s="26">
        <v>484</v>
      </c>
      <c r="B534" s="82">
        <f t="shared" si="62"/>
        <v>0</v>
      </c>
      <c r="C534" s="58">
        <f t="shared" si="66"/>
        <v>171.9194128119324</v>
      </c>
      <c r="D534" s="83">
        <f t="shared" si="63"/>
        <v>733.33333333333326</v>
      </c>
      <c r="E534">
        <f t="shared" si="59"/>
        <v>0</v>
      </c>
      <c r="G534">
        <v>484</v>
      </c>
      <c r="H534" s="13">
        <f t="shared" si="64"/>
        <v>-1.0275684203264746E-2</v>
      </c>
      <c r="I534">
        <f t="shared" si="65"/>
        <v>166.94598165755227</v>
      </c>
      <c r="J534">
        <f t="shared" si="60"/>
        <v>722.31224881296839</v>
      </c>
      <c r="K534" s="27">
        <f t="shared" si="61"/>
        <v>-5360.9968985706992</v>
      </c>
    </row>
    <row r="535" spans="1:11" x14ac:dyDescent="0.25">
      <c r="A535" s="26">
        <v>485</v>
      </c>
      <c r="B535" s="82">
        <f t="shared" si="62"/>
        <v>0</v>
      </c>
      <c r="C535" s="58">
        <f t="shared" si="66"/>
        <v>171.9194128119324</v>
      </c>
      <c r="D535" s="83">
        <f t="shared" si="63"/>
        <v>733.33333333333326</v>
      </c>
      <c r="E535">
        <f t="shared" si="59"/>
        <v>0</v>
      </c>
      <c r="G535">
        <v>485</v>
      </c>
      <c r="H535" s="13">
        <f t="shared" si="64"/>
        <v>-1.0275684203264746E-2</v>
      </c>
      <c r="I535">
        <f t="shared" si="65"/>
        <v>166.935705973349</v>
      </c>
      <c r="J535">
        <f t="shared" si="60"/>
        <v>722.28704823521105</v>
      </c>
      <c r="K535" s="27">
        <f t="shared" si="61"/>
        <v>-5360.6227332274229</v>
      </c>
    </row>
    <row r="536" spans="1:11" x14ac:dyDescent="0.25">
      <c r="A536" s="26">
        <v>486</v>
      </c>
      <c r="B536" s="82">
        <f t="shared" si="62"/>
        <v>0</v>
      </c>
      <c r="C536" s="58">
        <f t="shared" si="66"/>
        <v>171.9194128119324</v>
      </c>
      <c r="D536" s="83">
        <f t="shared" si="63"/>
        <v>733.33333333333326</v>
      </c>
      <c r="E536">
        <f t="shared" si="59"/>
        <v>0</v>
      </c>
      <c r="G536">
        <v>486</v>
      </c>
      <c r="H536" s="13">
        <f t="shared" si="64"/>
        <v>-1.0275684203264746E-2</v>
      </c>
      <c r="I536">
        <f t="shared" si="65"/>
        <v>166.92543028914574</v>
      </c>
      <c r="J536">
        <f t="shared" si="60"/>
        <v>722.26183576158326</v>
      </c>
      <c r="K536" s="27">
        <f t="shared" si="61"/>
        <v>-5360.2484042616488</v>
      </c>
    </row>
    <row r="537" spans="1:11" x14ac:dyDescent="0.25">
      <c r="A537" s="26">
        <v>487</v>
      </c>
      <c r="B537" s="82">
        <f t="shared" si="62"/>
        <v>0</v>
      </c>
      <c r="C537" s="58">
        <f t="shared" si="66"/>
        <v>171.9194128119324</v>
      </c>
      <c r="D537" s="83">
        <f t="shared" si="63"/>
        <v>733.33333333333326</v>
      </c>
      <c r="E537">
        <f t="shared" si="59"/>
        <v>0</v>
      </c>
      <c r="G537">
        <v>487</v>
      </c>
      <c r="H537" s="13">
        <f t="shared" si="64"/>
        <v>-1.0275684203264746E-2</v>
      </c>
      <c r="I537">
        <f t="shared" si="65"/>
        <v>166.91515460494247</v>
      </c>
      <c r="J537">
        <f t="shared" si="60"/>
        <v>722.2366113776277</v>
      </c>
      <c r="K537" s="27">
        <f t="shared" si="61"/>
        <v>-5359.8739114770751</v>
      </c>
    </row>
    <row r="538" spans="1:11" x14ac:dyDescent="0.25">
      <c r="A538" s="26">
        <v>488</v>
      </c>
      <c r="B538" s="82">
        <f t="shared" si="62"/>
        <v>0</v>
      </c>
      <c r="C538" s="58">
        <f t="shared" si="66"/>
        <v>171.9194128119324</v>
      </c>
      <c r="D538" s="83">
        <f t="shared" si="63"/>
        <v>733.33333333333326</v>
      </c>
      <c r="E538">
        <f t="shared" si="59"/>
        <v>0</v>
      </c>
      <c r="G538">
        <v>488</v>
      </c>
      <c r="H538" s="13">
        <f t="shared" si="64"/>
        <v>-1.0275684203264746E-2</v>
      </c>
      <c r="I538">
        <f t="shared" si="65"/>
        <v>166.90487892073921</v>
      </c>
      <c r="J538">
        <f t="shared" si="60"/>
        <v>722.2113750688568</v>
      </c>
      <c r="K538" s="27">
        <f t="shared" si="61"/>
        <v>-5359.4992546769845</v>
      </c>
    </row>
    <row r="539" spans="1:11" x14ac:dyDescent="0.25">
      <c r="A539" s="26">
        <v>489</v>
      </c>
      <c r="B539" s="82">
        <f t="shared" si="62"/>
        <v>0</v>
      </c>
      <c r="C539" s="58">
        <f t="shared" si="66"/>
        <v>171.9194128119324</v>
      </c>
      <c r="D539" s="83">
        <f t="shared" si="63"/>
        <v>733.33333333333326</v>
      </c>
      <c r="E539">
        <f t="shared" si="59"/>
        <v>0</v>
      </c>
      <c r="G539">
        <v>489</v>
      </c>
      <c r="H539" s="13">
        <f t="shared" si="64"/>
        <v>-1.0275684203264746E-2</v>
      </c>
      <c r="I539">
        <f t="shared" si="65"/>
        <v>166.89460323653594</v>
      </c>
      <c r="J539">
        <f t="shared" si="60"/>
        <v>722.18612682075252</v>
      </c>
      <c r="K539" s="27">
        <f t="shared" si="61"/>
        <v>-5359.124433664253</v>
      </c>
    </row>
    <row r="540" spans="1:11" x14ac:dyDescent="0.25">
      <c r="A540" s="26">
        <v>490</v>
      </c>
      <c r="B540" s="82">
        <f t="shared" si="62"/>
        <v>0</v>
      </c>
      <c r="C540" s="58">
        <f t="shared" si="66"/>
        <v>171.9194128119324</v>
      </c>
      <c r="D540" s="83">
        <f t="shared" si="63"/>
        <v>733.33333333333326</v>
      </c>
      <c r="E540">
        <f t="shared" si="59"/>
        <v>0</v>
      </c>
      <c r="G540">
        <v>490</v>
      </c>
      <c r="H540" s="13">
        <f t="shared" si="64"/>
        <v>-1.0275684203264746E-2</v>
      </c>
      <c r="I540">
        <f t="shared" si="65"/>
        <v>166.88432755233268</v>
      </c>
      <c r="J540">
        <f t="shared" si="60"/>
        <v>722.16086661876659</v>
      </c>
      <c r="K540" s="27">
        <f t="shared" si="61"/>
        <v>-5358.7494482413413</v>
      </c>
    </row>
    <row r="541" spans="1:11" x14ac:dyDescent="0.25">
      <c r="A541" s="26">
        <v>491</v>
      </c>
      <c r="B541" s="82">
        <f t="shared" si="62"/>
        <v>0</v>
      </c>
      <c r="C541" s="58">
        <f t="shared" si="66"/>
        <v>171.9194128119324</v>
      </c>
      <c r="D541" s="83">
        <f t="shared" si="63"/>
        <v>733.33333333333326</v>
      </c>
      <c r="E541">
        <f t="shared" si="59"/>
        <v>0</v>
      </c>
      <c r="G541">
        <v>491</v>
      </c>
      <c r="H541" s="13">
        <f t="shared" si="64"/>
        <v>-1.0275684203264746E-2</v>
      </c>
      <c r="I541">
        <f t="shared" si="65"/>
        <v>166.87405186812941</v>
      </c>
      <c r="J541">
        <f t="shared" si="60"/>
        <v>722.13559444832003</v>
      </c>
      <c r="K541" s="27">
        <f t="shared" si="61"/>
        <v>-5358.3742982102913</v>
      </c>
    </row>
    <row r="542" spans="1:11" x14ac:dyDescent="0.25">
      <c r="A542" s="26">
        <v>492</v>
      </c>
      <c r="B542" s="82">
        <f t="shared" si="62"/>
        <v>0</v>
      </c>
      <c r="C542" s="58">
        <f t="shared" si="66"/>
        <v>171.9194128119324</v>
      </c>
      <c r="D542" s="83">
        <f t="shared" si="63"/>
        <v>733.33333333333326</v>
      </c>
      <c r="E542">
        <f t="shared" si="59"/>
        <v>0</v>
      </c>
      <c r="G542">
        <v>492</v>
      </c>
      <c r="H542" s="13">
        <f t="shared" si="64"/>
        <v>-1.0275684203264746E-2</v>
      </c>
      <c r="I542">
        <f t="shared" si="65"/>
        <v>166.86377618392615</v>
      </c>
      <c r="J542">
        <f t="shared" si="60"/>
        <v>722.11031029480318</v>
      </c>
      <c r="K542" s="27">
        <f t="shared" si="61"/>
        <v>-5357.9989833727323</v>
      </c>
    </row>
    <row r="543" spans="1:11" x14ac:dyDescent="0.25">
      <c r="A543" s="26">
        <v>493</v>
      </c>
      <c r="B543" s="82">
        <f t="shared" si="62"/>
        <v>0</v>
      </c>
      <c r="C543" s="58">
        <f t="shared" si="66"/>
        <v>171.9194128119324</v>
      </c>
      <c r="D543" s="83">
        <f t="shared" si="63"/>
        <v>733.33333333333326</v>
      </c>
      <c r="E543">
        <f t="shared" si="59"/>
        <v>0</v>
      </c>
      <c r="G543">
        <v>493</v>
      </c>
      <c r="H543" s="13">
        <f t="shared" si="64"/>
        <v>-1.0275684203264746E-2</v>
      </c>
      <c r="I543">
        <f t="shared" si="65"/>
        <v>166.85350049972288</v>
      </c>
      <c r="J543">
        <f t="shared" si="60"/>
        <v>722.08501414357568</v>
      </c>
      <c r="K543" s="27">
        <f t="shared" si="61"/>
        <v>-5357.6235035298741</v>
      </c>
    </row>
    <row r="544" spans="1:11" x14ac:dyDescent="0.25">
      <c r="A544" s="26">
        <v>494</v>
      </c>
      <c r="B544" s="82">
        <f t="shared" si="62"/>
        <v>0</v>
      </c>
      <c r="C544" s="58">
        <f t="shared" si="66"/>
        <v>171.9194128119324</v>
      </c>
      <c r="D544" s="83">
        <f t="shared" si="63"/>
        <v>733.33333333333326</v>
      </c>
      <c r="E544">
        <f t="shared" si="59"/>
        <v>0</v>
      </c>
      <c r="G544">
        <v>494</v>
      </c>
      <c r="H544" s="13">
        <f t="shared" si="64"/>
        <v>-1.0275684203264746E-2</v>
      </c>
      <c r="I544">
        <f t="shared" si="65"/>
        <v>166.84322481551962</v>
      </c>
      <c r="J544">
        <f t="shared" si="60"/>
        <v>722.05970597996634</v>
      </c>
      <c r="K544" s="27">
        <f t="shared" si="61"/>
        <v>-5357.2478584825103</v>
      </c>
    </row>
    <row r="545" spans="1:11" x14ac:dyDescent="0.25">
      <c r="A545" s="26">
        <v>495</v>
      </c>
      <c r="B545" s="82">
        <f t="shared" si="62"/>
        <v>0</v>
      </c>
      <c r="C545" s="58">
        <f t="shared" si="66"/>
        <v>171.9194128119324</v>
      </c>
      <c r="D545" s="83">
        <f t="shared" si="63"/>
        <v>733.33333333333326</v>
      </c>
      <c r="E545">
        <f t="shared" si="59"/>
        <v>0</v>
      </c>
      <c r="G545">
        <v>495</v>
      </c>
      <c r="H545" s="13">
        <f t="shared" si="64"/>
        <v>-1.0275684203264746E-2</v>
      </c>
      <c r="I545">
        <f t="shared" si="65"/>
        <v>166.83294913131635</v>
      </c>
      <c r="J545">
        <f t="shared" si="60"/>
        <v>722.0343857892733</v>
      </c>
      <c r="K545" s="27">
        <f t="shared" si="61"/>
        <v>-5356.8720480310139</v>
      </c>
    </row>
    <row r="546" spans="1:11" x14ac:dyDescent="0.25">
      <c r="A546" s="26">
        <v>496</v>
      </c>
      <c r="B546" s="82">
        <f t="shared" si="62"/>
        <v>0</v>
      </c>
      <c r="C546" s="58">
        <f t="shared" si="66"/>
        <v>171.9194128119324</v>
      </c>
      <c r="D546" s="83">
        <f t="shared" si="63"/>
        <v>733.33333333333326</v>
      </c>
      <c r="E546">
        <f t="shared" si="59"/>
        <v>0</v>
      </c>
      <c r="G546">
        <v>496</v>
      </c>
      <c r="H546" s="13">
        <f t="shared" si="64"/>
        <v>-1.0275684203264746E-2</v>
      </c>
      <c r="I546">
        <f t="shared" si="65"/>
        <v>166.82267344711309</v>
      </c>
      <c r="J546">
        <f t="shared" si="60"/>
        <v>722.00905355676321</v>
      </c>
      <c r="K546" s="27">
        <f t="shared" si="61"/>
        <v>-5356.4960719753326</v>
      </c>
    </row>
    <row r="547" spans="1:11" x14ac:dyDescent="0.25">
      <c r="A547" s="26">
        <v>497</v>
      </c>
      <c r="B547" s="82">
        <f t="shared" si="62"/>
        <v>0</v>
      </c>
      <c r="C547" s="58">
        <f t="shared" si="66"/>
        <v>171.9194128119324</v>
      </c>
      <c r="D547" s="83">
        <f t="shared" si="63"/>
        <v>733.33333333333326</v>
      </c>
      <c r="E547">
        <f t="shared" si="59"/>
        <v>0</v>
      </c>
      <c r="G547">
        <v>497</v>
      </c>
      <c r="H547" s="13">
        <f t="shared" si="64"/>
        <v>-1.0275684203264746E-2</v>
      </c>
      <c r="I547">
        <f t="shared" si="65"/>
        <v>166.81239776290982</v>
      </c>
      <c r="J547">
        <f t="shared" si="60"/>
        <v>721.98370926767211</v>
      </c>
      <c r="K547" s="27">
        <f t="shared" si="61"/>
        <v>-5356.119930115</v>
      </c>
    </row>
    <row r="548" spans="1:11" x14ac:dyDescent="0.25">
      <c r="A548" s="26">
        <v>498</v>
      </c>
      <c r="B548" s="82">
        <f t="shared" si="62"/>
        <v>0</v>
      </c>
      <c r="C548" s="58">
        <f t="shared" si="66"/>
        <v>171.9194128119324</v>
      </c>
      <c r="D548" s="83">
        <f t="shared" si="63"/>
        <v>733.33333333333326</v>
      </c>
      <c r="E548">
        <f t="shared" si="59"/>
        <v>0</v>
      </c>
      <c r="G548">
        <v>498</v>
      </c>
      <c r="H548" s="13">
        <f t="shared" si="64"/>
        <v>-1.0275684203264746E-2</v>
      </c>
      <c r="I548">
        <f t="shared" si="65"/>
        <v>166.80212207870656</v>
      </c>
      <c r="J548">
        <f t="shared" si="60"/>
        <v>721.95835290720458</v>
      </c>
      <c r="K548" s="27">
        <f t="shared" si="61"/>
        <v>-5355.7436222491169</v>
      </c>
    </row>
    <row r="549" spans="1:11" x14ac:dyDescent="0.25">
      <c r="A549" s="26">
        <v>499</v>
      </c>
      <c r="B549" s="82">
        <f t="shared" si="62"/>
        <v>0</v>
      </c>
      <c r="C549" s="58">
        <f t="shared" si="66"/>
        <v>171.9194128119324</v>
      </c>
      <c r="D549" s="83">
        <f t="shared" si="63"/>
        <v>733.33333333333326</v>
      </c>
      <c r="E549">
        <f t="shared" si="59"/>
        <v>0</v>
      </c>
      <c r="G549">
        <v>499</v>
      </c>
      <c r="H549" s="13">
        <f t="shared" si="64"/>
        <v>-1.0275684203264746E-2</v>
      </c>
      <c r="I549">
        <f t="shared" si="65"/>
        <v>166.7918463945033</v>
      </c>
      <c r="J549">
        <f t="shared" si="60"/>
        <v>721.93298446053382</v>
      </c>
      <c r="K549" s="27">
        <f t="shared" si="61"/>
        <v>-5355.3671481763658</v>
      </c>
    </row>
    <row r="550" spans="1:11" x14ac:dyDescent="0.25">
      <c r="A550" s="26">
        <v>500</v>
      </c>
      <c r="B550" s="82">
        <f t="shared" si="62"/>
        <v>0</v>
      </c>
      <c r="C550" s="58">
        <f t="shared" si="66"/>
        <v>171.9194128119324</v>
      </c>
      <c r="D550" s="83">
        <f t="shared" si="63"/>
        <v>733.33333333333326</v>
      </c>
      <c r="E550">
        <f t="shared" si="59"/>
        <v>0</v>
      </c>
      <c r="G550">
        <v>500</v>
      </c>
      <c r="H550" s="13">
        <f t="shared" si="64"/>
        <v>-1.0275684203264746E-2</v>
      </c>
      <c r="I550">
        <f t="shared" si="65"/>
        <v>166.78157071030003</v>
      </c>
      <c r="J550">
        <f t="shared" si="60"/>
        <v>721.90760391280207</v>
      </c>
      <c r="K550" s="27">
        <f t="shared" si="61"/>
        <v>-5354.990507694999</v>
      </c>
    </row>
    <row r="551" spans="1:11" x14ac:dyDescent="0.25">
      <c r="A551" s="26">
        <v>501</v>
      </c>
      <c r="B551" s="82">
        <f t="shared" si="62"/>
        <v>0</v>
      </c>
      <c r="C551" s="58">
        <f t="shared" si="66"/>
        <v>171.9194128119324</v>
      </c>
      <c r="D551" s="83">
        <f t="shared" si="63"/>
        <v>733.33333333333326</v>
      </c>
      <c r="E551">
        <f t="shared" si="59"/>
        <v>0</v>
      </c>
      <c r="G551">
        <v>501</v>
      </c>
      <c r="H551" s="13">
        <f t="shared" si="64"/>
        <v>-1.0275684203264746E-2</v>
      </c>
      <c r="I551">
        <f t="shared" si="65"/>
        <v>166.77129502609677</v>
      </c>
      <c r="J551">
        <f t="shared" si="60"/>
        <v>721.88221124911968</v>
      </c>
      <c r="K551" s="27">
        <f t="shared" si="61"/>
        <v>-5354.613700602843</v>
      </c>
    </row>
    <row r="552" spans="1:11" x14ac:dyDescent="0.25">
      <c r="A552" s="26">
        <v>502</v>
      </c>
      <c r="B552" s="82">
        <f t="shared" si="62"/>
        <v>0</v>
      </c>
      <c r="C552" s="58">
        <f t="shared" si="66"/>
        <v>171.9194128119324</v>
      </c>
      <c r="D552" s="83">
        <f t="shared" si="63"/>
        <v>733.33333333333326</v>
      </c>
      <c r="E552">
        <f t="shared" si="59"/>
        <v>0</v>
      </c>
      <c r="G552">
        <v>502</v>
      </c>
      <c r="H552" s="13">
        <f t="shared" si="64"/>
        <v>-1.0275684203264746E-2</v>
      </c>
      <c r="I552">
        <f t="shared" si="65"/>
        <v>166.7610193418935</v>
      </c>
      <c r="J552">
        <f t="shared" si="60"/>
        <v>721.85680645456557</v>
      </c>
      <c r="K552" s="27">
        <f t="shared" si="61"/>
        <v>-5354.2367266972951</v>
      </c>
    </row>
    <row r="553" spans="1:11" x14ac:dyDescent="0.25">
      <c r="A553" s="26">
        <v>503</v>
      </c>
      <c r="B553" s="82">
        <f t="shared" si="62"/>
        <v>0</v>
      </c>
      <c r="C553" s="58">
        <f t="shared" si="66"/>
        <v>171.9194128119324</v>
      </c>
      <c r="D553" s="83">
        <f t="shared" si="63"/>
        <v>733.33333333333326</v>
      </c>
      <c r="E553">
        <f t="shared" si="59"/>
        <v>0</v>
      </c>
      <c r="G553">
        <v>503</v>
      </c>
      <c r="H553" s="13">
        <f t="shared" si="64"/>
        <v>-1.0275684203264746E-2</v>
      </c>
      <c r="I553">
        <f t="shared" si="65"/>
        <v>166.75074365769024</v>
      </c>
      <c r="J553">
        <f t="shared" si="60"/>
        <v>721.83138951418709</v>
      </c>
      <c r="K553" s="27">
        <f t="shared" si="61"/>
        <v>-5353.8595857753244</v>
      </c>
    </row>
    <row r="554" spans="1:11" x14ac:dyDescent="0.25">
      <c r="A554" s="26">
        <v>504</v>
      </c>
      <c r="B554" s="82">
        <f t="shared" si="62"/>
        <v>0</v>
      </c>
      <c r="C554" s="58">
        <f t="shared" si="66"/>
        <v>171.9194128119324</v>
      </c>
      <c r="D554" s="83">
        <f t="shared" si="63"/>
        <v>733.33333333333326</v>
      </c>
      <c r="E554">
        <f t="shared" si="59"/>
        <v>0</v>
      </c>
      <c r="G554">
        <v>504</v>
      </c>
      <c r="H554" s="13">
        <f t="shared" si="64"/>
        <v>-1.0275684203264746E-2</v>
      </c>
      <c r="I554">
        <f t="shared" si="65"/>
        <v>166.74046797348697</v>
      </c>
      <c r="J554">
        <f t="shared" si="60"/>
        <v>721.80596041299975</v>
      </c>
      <c r="K554" s="27">
        <f t="shared" si="61"/>
        <v>-5353.4822776334659</v>
      </c>
    </row>
    <row r="555" spans="1:11" x14ac:dyDescent="0.25">
      <c r="A555" s="26">
        <v>505</v>
      </c>
      <c r="B555" s="82">
        <f t="shared" si="62"/>
        <v>0</v>
      </c>
      <c r="C555" s="58">
        <f t="shared" si="66"/>
        <v>171.9194128119324</v>
      </c>
      <c r="D555" s="83">
        <f t="shared" si="63"/>
        <v>733.33333333333326</v>
      </c>
      <c r="E555">
        <f t="shared" si="59"/>
        <v>0</v>
      </c>
      <c r="G555">
        <v>505</v>
      </c>
      <c r="H555" s="13">
        <f t="shared" si="64"/>
        <v>-1.0275684203264746E-2</v>
      </c>
      <c r="I555">
        <f t="shared" si="65"/>
        <v>166.73019228928371</v>
      </c>
      <c r="J555">
        <f t="shared" si="60"/>
        <v>721.78051913598733</v>
      </c>
      <c r="K555" s="27">
        <f t="shared" si="61"/>
        <v>-5353.1048020678236</v>
      </c>
    </row>
    <row r="556" spans="1:11" x14ac:dyDescent="0.25">
      <c r="A556" s="26">
        <v>506</v>
      </c>
      <c r="B556" s="82">
        <f t="shared" si="62"/>
        <v>0</v>
      </c>
      <c r="C556" s="58">
        <f t="shared" si="66"/>
        <v>171.9194128119324</v>
      </c>
      <c r="D556" s="83">
        <f t="shared" si="63"/>
        <v>733.33333333333326</v>
      </c>
      <c r="E556">
        <f t="shared" si="59"/>
        <v>0</v>
      </c>
      <c r="G556">
        <v>506</v>
      </c>
      <c r="H556" s="13">
        <f t="shared" si="64"/>
        <v>-1.0275684203264746E-2</v>
      </c>
      <c r="I556">
        <f t="shared" si="65"/>
        <v>166.71991660508044</v>
      </c>
      <c r="J556">
        <f t="shared" si="60"/>
        <v>721.75506566810145</v>
      </c>
      <c r="K556" s="27">
        <f t="shared" si="61"/>
        <v>-5352.7271588740668</v>
      </c>
    </row>
    <row r="557" spans="1:11" x14ac:dyDescent="0.25">
      <c r="A557" s="26">
        <v>507</v>
      </c>
      <c r="B557" s="82">
        <f t="shared" si="62"/>
        <v>0</v>
      </c>
      <c r="C557" s="58">
        <f t="shared" si="66"/>
        <v>171.9194128119324</v>
      </c>
      <c r="D557" s="83">
        <f t="shared" si="63"/>
        <v>733.33333333333326</v>
      </c>
      <c r="E557">
        <f t="shared" si="59"/>
        <v>0</v>
      </c>
      <c r="G557">
        <v>507</v>
      </c>
      <c r="H557" s="13">
        <f t="shared" si="64"/>
        <v>-1.0275684203264746E-2</v>
      </c>
      <c r="I557">
        <f t="shared" si="65"/>
        <v>166.70964092087718</v>
      </c>
      <c r="J557">
        <f t="shared" si="60"/>
        <v>721.72959999426189</v>
      </c>
      <c r="K557" s="27">
        <f t="shared" si="61"/>
        <v>-5352.3493478474293</v>
      </c>
    </row>
    <row r="558" spans="1:11" x14ac:dyDescent="0.25">
      <c r="A558" s="26">
        <v>508</v>
      </c>
      <c r="B558" s="82">
        <f t="shared" si="62"/>
        <v>0</v>
      </c>
      <c r="C558" s="58">
        <f t="shared" si="66"/>
        <v>171.9194128119324</v>
      </c>
      <c r="D558" s="83">
        <f t="shared" si="63"/>
        <v>733.33333333333326</v>
      </c>
      <c r="E558">
        <f t="shared" si="59"/>
        <v>0</v>
      </c>
      <c r="G558">
        <v>508</v>
      </c>
      <c r="H558" s="13">
        <f t="shared" si="64"/>
        <v>-1.0275684203264746E-2</v>
      </c>
      <c r="I558">
        <f t="shared" si="65"/>
        <v>166.69936523667391</v>
      </c>
      <c r="J558">
        <f t="shared" si="60"/>
        <v>721.70412209935625</v>
      </c>
      <c r="K558" s="27">
        <f t="shared" si="61"/>
        <v>-5351.9713687827107</v>
      </c>
    </row>
    <row r="559" spans="1:11" x14ac:dyDescent="0.25">
      <c r="A559" s="26">
        <v>509</v>
      </c>
      <c r="B559" s="82">
        <f t="shared" si="62"/>
        <v>0</v>
      </c>
      <c r="C559" s="58">
        <f t="shared" si="66"/>
        <v>171.9194128119324</v>
      </c>
      <c r="D559" s="83">
        <f t="shared" si="63"/>
        <v>733.33333333333326</v>
      </c>
      <c r="E559">
        <f t="shared" si="59"/>
        <v>0</v>
      </c>
      <c r="G559">
        <v>509</v>
      </c>
      <c r="H559" s="13">
        <f t="shared" si="64"/>
        <v>-1.0275684203264746E-2</v>
      </c>
      <c r="I559">
        <f t="shared" si="65"/>
        <v>166.68908955247065</v>
      </c>
      <c r="J559">
        <f t="shared" si="60"/>
        <v>721.67863196823976</v>
      </c>
      <c r="K559" s="27">
        <f t="shared" si="61"/>
        <v>-5351.5932214742716</v>
      </c>
    </row>
    <row r="560" spans="1:11" x14ac:dyDescent="0.25">
      <c r="A560" s="26">
        <v>510</v>
      </c>
      <c r="B560" s="82">
        <f t="shared" si="62"/>
        <v>0</v>
      </c>
      <c r="C560" s="58">
        <f t="shared" si="66"/>
        <v>171.9194128119324</v>
      </c>
      <c r="D560" s="83">
        <f t="shared" si="63"/>
        <v>733.33333333333326</v>
      </c>
      <c r="E560">
        <f t="shared" si="59"/>
        <v>0</v>
      </c>
      <c r="G560">
        <v>510</v>
      </c>
      <c r="H560" s="13">
        <f t="shared" si="64"/>
        <v>-1.0275684203264746E-2</v>
      </c>
      <c r="I560">
        <f t="shared" si="65"/>
        <v>166.67881386826738</v>
      </c>
      <c r="J560">
        <f t="shared" si="60"/>
        <v>721.65312958573566</v>
      </c>
      <c r="K560" s="27">
        <f t="shared" si="61"/>
        <v>-5351.2149057160314</v>
      </c>
    </row>
    <row r="561" spans="1:11" x14ac:dyDescent="0.25">
      <c r="A561" s="26">
        <v>511</v>
      </c>
      <c r="B561" s="82">
        <f t="shared" si="62"/>
        <v>0</v>
      </c>
      <c r="C561" s="58">
        <f t="shared" si="66"/>
        <v>171.9194128119324</v>
      </c>
      <c r="D561" s="83">
        <f t="shared" si="63"/>
        <v>733.33333333333326</v>
      </c>
      <c r="E561">
        <f t="shared" si="59"/>
        <v>0</v>
      </c>
      <c r="G561">
        <v>511</v>
      </c>
      <c r="H561" s="13">
        <f t="shared" si="64"/>
        <v>-1.0275684203264746E-2</v>
      </c>
      <c r="I561">
        <f t="shared" si="65"/>
        <v>166.66853818406412</v>
      </c>
      <c r="J561">
        <f t="shared" si="60"/>
        <v>721.62761493663436</v>
      </c>
      <c r="K561" s="27">
        <f t="shared" si="61"/>
        <v>-5350.8364213014711</v>
      </c>
    </row>
    <row r="562" spans="1:11" x14ac:dyDescent="0.25">
      <c r="A562" s="26">
        <v>512</v>
      </c>
      <c r="B562" s="82">
        <f t="shared" si="62"/>
        <v>0</v>
      </c>
      <c r="C562" s="58">
        <f t="shared" si="66"/>
        <v>171.9194128119324</v>
      </c>
      <c r="D562" s="83">
        <f t="shared" si="63"/>
        <v>733.33333333333326</v>
      </c>
      <c r="E562">
        <f t="shared" si="59"/>
        <v>0</v>
      </c>
      <c r="G562">
        <v>512</v>
      </c>
      <c r="H562" s="13">
        <f t="shared" si="64"/>
        <v>-1.0275684203264746E-2</v>
      </c>
      <c r="I562">
        <f t="shared" si="65"/>
        <v>166.65826249986085</v>
      </c>
      <c r="J562">
        <f t="shared" si="60"/>
        <v>721.60208800569399</v>
      </c>
      <c r="K562" s="27">
        <f t="shared" si="61"/>
        <v>-5350.4577680236307</v>
      </c>
    </row>
    <row r="563" spans="1:11" x14ac:dyDescent="0.25">
      <c r="A563" s="26">
        <v>513</v>
      </c>
      <c r="B563" s="82">
        <f t="shared" si="62"/>
        <v>0</v>
      </c>
      <c r="C563" s="58">
        <f t="shared" si="66"/>
        <v>171.9194128119324</v>
      </c>
      <c r="D563" s="83">
        <f t="shared" si="63"/>
        <v>733.33333333333326</v>
      </c>
      <c r="E563">
        <f t="shared" ref="E563:E626" si="67">((D563^2)+(D563*D564)+(D564^2))*B564/3</f>
        <v>0</v>
      </c>
      <c r="G563">
        <v>513</v>
      </c>
      <c r="H563" s="13">
        <f t="shared" si="64"/>
        <v>-1.0275684203264746E-2</v>
      </c>
      <c r="I563">
        <f t="shared" si="65"/>
        <v>166.64798681565759</v>
      </c>
      <c r="J563">
        <f t="shared" ref="J563:J626" si="68">IF($G$28&lt;$C$14,0,((($C$11^2)-((I563-$C$13)^2))^0.5)+$C$16)</f>
        <v>721.57654877764014</v>
      </c>
      <c r="K563" s="27">
        <f t="shared" ref="K563:K626" si="69">((J563^2)+(J563*J564)+(J564^2))*H564/3</f>
        <v>-5350.0789456751054</v>
      </c>
    </row>
    <row r="564" spans="1:11" x14ac:dyDescent="0.25">
      <c r="A564" s="26">
        <v>514</v>
      </c>
      <c r="B564" s="82">
        <f t="shared" ref="B564:B627" si="70">C564-C563</f>
        <v>0</v>
      </c>
      <c r="C564" s="58">
        <f t="shared" si="66"/>
        <v>171.9194128119324</v>
      </c>
      <c r="D564" s="83">
        <f t="shared" ref="D564:D627" si="71">IF($G$28&lt;$C$14,0,((($C$11^2)-((C564-$C$13)^2))^0.5)+$C$16)</f>
        <v>733.33333333333326</v>
      </c>
      <c r="E564">
        <f t="shared" si="67"/>
        <v>0</v>
      </c>
      <c r="G564">
        <v>514</v>
      </c>
      <c r="H564" s="13">
        <f t="shared" ref="H564:H627" si="72">I564-I563</f>
        <v>-1.0275684203264746E-2</v>
      </c>
      <c r="I564">
        <f t="shared" ref="I564:I627" si="73">($G$27-$C$14)/2000+I563</f>
        <v>166.63771113145432</v>
      </c>
      <c r="J564">
        <f t="shared" si="68"/>
        <v>721.55099723716546</v>
      </c>
      <c r="K564" s="27">
        <f t="shared" si="69"/>
        <v>-5349.6999540480465</v>
      </c>
    </row>
    <row r="565" spans="1:11" x14ac:dyDescent="0.25">
      <c r="A565" s="26">
        <v>515</v>
      </c>
      <c r="B565" s="82">
        <f t="shared" si="70"/>
        <v>0</v>
      </c>
      <c r="C565" s="58">
        <f t="shared" si="66"/>
        <v>171.9194128119324</v>
      </c>
      <c r="D565" s="83">
        <f t="shared" si="71"/>
        <v>733.33333333333326</v>
      </c>
      <c r="E565">
        <f t="shared" si="67"/>
        <v>0</v>
      </c>
      <c r="G565">
        <v>515</v>
      </c>
      <c r="H565" s="13">
        <f t="shared" si="72"/>
        <v>-1.0275684203264746E-2</v>
      </c>
      <c r="I565">
        <f t="shared" si="73"/>
        <v>166.62743544725106</v>
      </c>
      <c r="J565">
        <f t="shared" si="68"/>
        <v>721.52543336892984</v>
      </c>
      <c r="K565" s="27">
        <f t="shared" si="69"/>
        <v>-5349.3207929341597</v>
      </c>
    </row>
    <row r="566" spans="1:11" x14ac:dyDescent="0.25">
      <c r="A566" s="26">
        <v>516</v>
      </c>
      <c r="B566" s="82">
        <f t="shared" si="70"/>
        <v>0</v>
      </c>
      <c r="C566" s="58">
        <f t="shared" si="66"/>
        <v>171.9194128119324</v>
      </c>
      <c r="D566" s="83">
        <f t="shared" si="71"/>
        <v>733.33333333333326</v>
      </c>
      <c r="E566">
        <f t="shared" si="67"/>
        <v>0</v>
      </c>
      <c r="G566">
        <v>516</v>
      </c>
      <c r="H566" s="13">
        <f t="shared" si="72"/>
        <v>-1.0275684203264746E-2</v>
      </c>
      <c r="I566">
        <f t="shared" si="73"/>
        <v>166.61715976304779</v>
      </c>
      <c r="J566">
        <f t="shared" si="68"/>
        <v>721.49985715756043</v>
      </c>
      <c r="K566" s="27">
        <f t="shared" si="69"/>
        <v>-5348.9414621247042</v>
      </c>
    </row>
    <row r="567" spans="1:11" x14ac:dyDescent="0.25">
      <c r="A567" s="26">
        <v>517</v>
      </c>
      <c r="B567" s="82">
        <f t="shared" si="70"/>
        <v>0</v>
      </c>
      <c r="C567" s="58">
        <f t="shared" si="66"/>
        <v>171.9194128119324</v>
      </c>
      <c r="D567" s="83">
        <f t="shared" si="71"/>
        <v>733.33333333333326</v>
      </c>
      <c r="E567">
        <f t="shared" si="67"/>
        <v>0</v>
      </c>
      <c r="G567">
        <v>517</v>
      </c>
      <c r="H567" s="13">
        <f t="shared" si="72"/>
        <v>-1.0275684203264746E-2</v>
      </c>
      <c r="I567">
        <f t="shared" si="73"/>
        <v>166.60688407884453</v>
      </c>
      <c r="J567">
        <f t="shared" si="68"/>
        <v>721.47426858765118</v>
      </c>
      <c r="K567" s="27">
        <f t="shared" si="69"/>
        <v>-5348.5619614104899</v>
      </c>
    </row>
    <row r="568" spans="1:11" x14ac:dyDescent="0.25">
      <c r="A568" s="26">
        <v>518</v>
      </c>
      <c r="B568" s="82">
        <f t="shared" si="70"/>
        <v>0</v>
      </c>
      <c r="C568" s="58">
        <f t="shared" si="66"/>
        <v>171.9194128119324</v>
      </c>
      <c r="D568" s="83">
        <f t="shared" si="71"/>
        <v>733.33333333333326</v>
      </c>
      <c r="E568">
        <f t="shared" si="67"/>
        <v>0</v>
      </c>
      <c r="G568">
        <v>518</v>
      </c>
      <c r="H568" s="13">
        <f t="shared" si="72"/>
        <v>-1.0275684203264746E-2</v>
      </c>
      <c r="I568">
        <f t="shared" si="73"/>
        <v>166.59660839464127</v>
      </c>
      <c r="J568">
        <f t="shared" si="68"/>
        <v>721.44866764376297</v>
      </c>
      <c r="K568" s="27">
        <f t="shared" si="69"/>
        <v>-5348.1822905818763</v>
      </c>
    </row>
    <row r="569" spans="1:11" x14ac:dyDescent="0.25">
      <c r="A569" s="26">
        <v>519</v>
      </c>
      <c r="B569" s="82">
        <f t="shared" si="70"/>
        <v>0</v>
      </c>
      <c r="C569" s="58">
        <f t="shared" si="66"/>
        <v>171.9194128119324</v>
      </c>
      <c r="D569" s="83">
        <f t="shared" si="71"/>
        <v>733.33333333333326</v>
      </c>
      <c r="E569">
        <f t="shared" si="67"/>
        <v>0</v>
      </c>
      <c r="G569">
        <v>519</v>
      </c>
      <c r="H569" s="13">
        <f t="shared" si="72"/>
        <v>-1.0275684203264746E-2</v>
      </c>
      <c r="I569">
        <f t="shared" si="73"/>
        <v>166.586332710438</v>
      </c>
      <c r="J569">
        <f t="shared" si="68"/>
        <v>721.42305431042348</v>
      </c>
      <c r="K569" s="27">
        <f t="shared" si="69"/>
        <v>-5347.8024494287729</v>
      </c>
    </row>
    <row r="570" spans="1:11" x14ac:dyDescent="0.25">
      <c r="A570" s="26">
        <v>520</v>
      </c>
      <c r="B570" s="82">
        <f t="shared" si="70"/>
        <v>0</v>
      </c>
      <c r="C570" s="58">
        <f t="shared" si="66"/>
        <v>171.9194128119324</v>
      </c>
      <c r="D570" s="83">
        <f t="shared" si="71"/>
        <v>733.33333333333326</v>
      </c>
      <c r="E570">
        <f t="shared" si="67"/>
        <v>0</v>
      </c>
      <c r="G570">
        <v>520</v>
      </c>
      <c r="H570" s="13">
        <f t="shared" si="72"/>
        <v>-1.0275684203264746E-2</v>
      </c>
      <c r="I570">
        <f t="shared" si="73"/>
        <v>166.57605702623474</v>
      </c>
      <c r="J570">
        <f t="shared" si="68"/>
        <v>721.39742857212718</v>
      </c>
      <c r="K570" s="27">
        <f t="shared" si="69"/>
        <v>-5347.4224377406363</v>
      </c>
    </row>
    <row r="571" spans="1:11" x14ac:dyDescent="0.25">
      <c r="A571" s="26">
        <v>521</v>
      </c>
      <c r="B571" s="82">
        <f t="shared" si="70"/>
        <v>0</v>
      </c>
      <c r="C571" s="58">
        <f t="shared" si="66"/>
        <v>171.9194128119324</v>
      </c>
      <c r="D571" s="83">
        <f t="shared" si="71"/>
        <v>733.33333333333326</v>
      </c>
      <c r="E571">
        <f t="shared" si="67"/>
        <v>0</v>
      </c>
      <c r="G571">
        <v>521</v>
      </c>
      <c r="H571" s="13">
        <f t="shared" si="72"/>
        <v>-1.0275684203264746E-2</v>
      </c>
      <c r="I571">
        <f t="shared" si="73"/>
        <v>166.56578134203147</v>
      </c>
      <c r="J571">
        <f t="shared" si="68"/>
        <v>721.37179041333491</v>
      </c>
      <c r="K571" s="27">
        <f t="shared" si="69"/>
        <v>-5347.0422553064709</v>
      </c>
    </row>
    <row r="572" spans="1:11" x14ac:dyDescent="0.25">
      <c r="A572" s="26">
        <v>522</v>
      </c>
      <c r="B572" s="82">
        <f t="shared" si="70"/>
        <v>0</v>
      </c>
      <c r="C572" s="58">
        <f t="shared" si="66"/>
        <v>171.9194128119324</v>
      </c>
      <c r="D572" s="83">
        <f t="shared" si="71"/>
        <v>733.33333333333326</v>
      </c>
      <c r="E572">
        <f t="shared" si="67"/>
        <v>0</v>
      </c>
      <c r="G572">
        <v>522</v>
      </c>
      <c r="H572" s="13">
        <f t="shared" si="72"/>
        <v>-1.0275684203264746E-2</v>
      </c>
      <c r="I572">
        <f t="shared" si="73"/>
        <v>166.55550565782821</v>
      </c>
      <c r="J572">
        <f t="shared" si="68"/>
        <v>721.34613981847428</v>
      </c>
      <c r="K572" s="27">
        <f t="shared" si="69"/>
        <v>-5346.661901914822</v>
      </c>
    </row>
    <row r="573" spans="1:11" x14ac:dyDescent="0.25">
      <c r="A573" s="26">
        <v>523</v>
      </c>
      <c r="B573" s="82">
        <f t="shared" si="70"/>
        <v>0</v>
      </c>
      <c r="C573" s="58">
        <f t="shared" si="66"/>
        <v>171.9194128119324</v>
      </c>
      <c r="D573" s="83">
        <f t="shared" si="71"/>
        <v>733.33333333333326</v>
      </c>
      <c r="E573">
        <f t="shared" si="67"/>
        <v>0</v>
      </c>
      <c r="G573">
        <v>523</v>
      </c>
      <c r="H573" s="13">
        <f t="shared" si="72"/>
        <v>-1.0275684203264746E-2</v>
      </c>
      <c r="I573">
        <f t="shared" si="73"/>
        <v>166.54522997362494</v>
      </c>
      <c r="J573">
        <f t="shared" si="68"/>
        <v>721.32047677193896</v>
      </c>
      <c r="K573" s="27">
        <f t="shared" si="69"/>
        <v>-5346.28137735378</v>
      </c>
    </row>
    <row r="574" spans="1:11" x14ac:dyDescent="0.25">
      <c r="A574" s="26">
        <v>524</v>
      </c>
      <c r="B574" s="82">
        <f t="shared" si="70"/>
        <v>0</v>
      </c>
      <c r="C574" s="58">
        <f t="shared" si="66"/>
        <v>171.9194128119324</v>
      </c>
      <c r="D574" s="83">
        <f t="shared" si="71"/>
        <v>733.33333333333326</v>
      </c>
      <c r="E574">
        <f t="shared" si="67"/>
        <v>0</v>
      </c>
      <c r="G574">
        <v>524</v>
      </c>
      <c r="H574" s="13">
        <f t="shared" si="72"/>
        <v>-1.0275684203264746E-2</v>
      </c>
      <c r="I574">
        <f t="shared" si="73"/>
        <v>166.53495428942168</v>
      </c>
      <c r="J574">
        <f t="shared" si="68"/>
        <v>721.29480125808902</v>
      </c>
      <c r="K574" s="27">
        <f t="shared" si="69"/>
        <v>-5345.900681410978</v>
      </c>
    </row>
    <row r="575" spans="1:11" x14ac:dyDescent="0.25">
      <c r="A575" s="26">
        <v>525</v>
      </c>
      <c r="B575" s="82">
        <f t="shared" si="70"/>
        <v>0</v>
      </c>
      <c r="C575" s="58">
        <f t="shared" si="66"/>
        <v>171.9194128119324</v>
      </c>
      <c r="D575" s="83">
        <f t="shared" si="71"/>
        <v>733.33333333333326</v>
      </c>
      <c r="E575">
        <f t="shared" si="67"/>
        <v>0</v>
      </c>
      <c r="G575">
        <v>525</v>
      </c>
      <c r="H575" s="13">
        <f t="shared" si="72"/>
        <v>-1.0275684203264746E-2</v>
      </c>
      <c r="I575">
        <f t="shared" si="73"/>
        <v>166.52467860521841</v>
      </c>
      <c r="J575">
        <f t="shared" si="68"/>
        <v>721.26911326125094</v>
      </c>
      <c r="K575" s="27">
        <f t="shared" si="69"/>
        <v>-5345.5198138735914</v>
      </c>
    </row>
    <row r="576" spans="1:11" x14ac:dyDescent="0.25">
      <c r="A576" s="26">
        <v>526</v>
      </c>
      <c r="B576" s="82">
        <f t="shared" si="70"/>
        <v>0</v>
      </c>
      <c r="C576" s="58">
        <f t="shared" si="66"/>
        <v>171.9194128119324</v>
      </c>
      <c r="D576" s="83">
        <f t="shared" si="71"/>
        <v>733.33333333333326</v>
      </c>
      <c r="E576">
        <f t="shared" si="67"/>
        <v>0</v>
      </c>
      <c r="G576">
        <v>526</v>
      </c>
      <c r="H576" s="13">
        <f t="shared" si="72"/>
        <v>-1.0275684203264746E-2</v>
      </c>
      <c r="I576">
        <f t="shared" si="73"/>
        <v>166.51440292101515</v>
      </c>
      <c r="J576">
        <f t="shared" si="68"/>
        <v>721.24341276571704</v>
      </c>
      <c r="K576" s="27">
        <f t="shared" si="69"/>
        <v>-5345.1387745283309</v>
      </c>
    </row>
    <row r="577" spans="1:11" x14ac:dyDescent="0.25">
      <c r="A577" s="26">
        <v>527</v>
      </c>
      <c r="B577" s="82">
        <f t="shared" si="70"/>
        <v>0</v>
      </c>
      <c r="C577" s="58">
        <f t="shared" si="66"/>
        <v>171.9194128119324</v>
      </c>
      <c r="D577" s="83">
        <f t="shared" si="71"/>
        <v>733.33333333333326</v>
      </c>
      <c r="E577">
        <f t="shared" si="67"/>
        <v>0</v>
      </c>
      <c r="G577">
        <v>527</v>
      </c>
      <c r="H577" s="13">
        <f t="shared" si="72"/>
        <v>-1.0275684203264746E-2</v>
      </c>
      <c r="I577">
        <f t="shared" si="73"/>
        <v>166.50412723681188</v>
      </c>
      <c r="J577">
        <f t="shared" si="68"/>
        <v>721.21769975574557</v>
      </c>
      <c r="K577" s="27">
        <f t="shared" si="69"/>
        <v>-5344.7575631614454</v>
      </c>
    </row>
    <row r="578" spans="1:11" x14ac:dyDescent="0.25">
      <c r="A578" s="26">
        <v>528</v>
      </c>
      <c r="B578" s="82">
        <f t="shared" si="70"/>
        <v>0</v>
      </c>
      <c r="C578" s="58">
        <f t="shared" si="66"/>
        <v>171.9194128119324</v>
      </c>
      <c r="D578" s="83">
        <f t="shared" si="71"/>
        <v>733.33333333333326</v>
      </c>
      <c r="E578">
        <f t="shared" si="67"/>
        <v>0</v>
      </c>
      <c r="G578">
        <v>528</v>
      </c>
      <c r="H578" s="13">
        <f t="shared" si="72"/>
        <v>-1.0275684203264746E-2</v>
      </c>
      <c r="I578">
        <f t="shared" si="73"/>
        <v>166.49385155260862</v>
      </c>
      <c r="J578">
        <f t="shared" si="68"/>
        <v>721.19197421556078</v>
      </c>
      <c r="K578" s="27">
        <f t="shared" si="69"/>
        <v>-5344.3761795587252</v>
      </c>
    </row>
    <row r="579" spans="1:11" x14ac:dyDescent="0.25">
      <c r="A579" s="26">
        <v>529</v>
      </c>
      <c r="B579" s="82">
        <f t="shared" si="70"/>
        <v>0</v>
      </c>
      <c r="C579" s="58">
        <f t="shared" si="66"/>
        <v>171.9194128119324</v>
      </c>
      <c r="D579" s="83">
        <f t="shared" si="71"/>
        <v>733.33333333333326</v>
      </c>
      <c r="E579">
        <f t="shared" si="67"/>
        <v>0</v>
      </c>
      <c r="G579">
        <v>529</v>
      </c>
      <c r="H579" s="13">
        <f t="shared" si="72"/>
        <v>-1.0275684203264746E-2</v>
      </c>
      <c r="I579">
        <f t="shared" si="73"/>
        <v>166.48357586840535</v>
      </c>
      <c r="J579">
        <f t="shared" si="68"/>
        <v>721.1662361293528</v>
      </c>
      <c r="K579" s="27">
        <f t="shared" si="69"/>
        <v>-5343.9946235054895</v>
      </c>
    </row>
    <row r="580" spans="1:11" x14ac:dyDescent="0.25">
      <c r="A580" s="26">
        <v>530</v>
      </c>
      <c r="B580" s="82">
        <f t="shared" si="70"/>
        <v>0</v>
      </c>
      <c r="C580" s="58">
        <f t="shared" si="66"/>
        <v>171.9194128119324</v>
      </c>
      <c r="D580" s="83">
        <f t="shared" si="71"/>
        <v>733.33333333333326</v>
      </c>
      <c r="E580">
        <f t="shared" si="67"/>
        <v>0</v>
      </c>
      <c r="G580">
        <v>530</v>
      </c>
      <c r="H580" s="13">
        <f t="shared" si="72"/>
        <v>-1.0275684203264746E-2</v>
      </c>
      <c r="I580">
        <f t="shared" si="73"/>
        <v>166.47330018420209</v>
      </c>
      <c r="J580">
        <f t="shared" si="68"/>
        <v>721.14048548127698</v>
      </c>
      <c r="K580" s="27">
        <f t="shared" si="69"/>
        <v>-5343.6128947865918</v>
      </c>
    </row>
    <row r="581" spans="1:11" x14ac:dyDescent="0.25">
      <c r="A581" s="26">
        <v>531</v>
      </c>
      <c r="B581" s="82">
        <f t="shared" si="70"/>
        <v>0</v>
      </c>
      <c r="C581" s="58">
        <f t="shared" si="66"/>
        <v>171.9194128119324</v>
      </c>
      <c r="D581" s="83">
        <f t="shared" si="71"/>
        <v>733.33333333333326</v>
      </c>
      <c r="E581">
        <f t="shared" si="67"/>
        <v>0</v>
      </c>
      <c r="G581">
        <v>531</v>
      </c>
      <c r="H581" s="13">
        <f t="shared" si="72"/>
        <v>-1.0275684203264746E-2</v>
      </c>
      <c r="I581">
        <f t="shared" si="73"/>
        <v>166.46302449999882</v>
      </c>
      <c r="J581">
        <f t="shared" si="68"/>
        <v>721.11472225545481</v>
      </c>
      <c r="K581" s="27">
        <f t="shared" si="69"/>
        <v>-5343.2309931864229</v>
      </c>
    </row>
    <row r="582" spans="1:11" x14ac:dyDescent="0.25">
      <c r="A582" s="26">
        <v>532</v>
      </c>
      <c r="B582" s="82">
        <f t="shared" si="70"/>
        <v>0</v>
      </c>
      <c r="C582" s="58">
        <f t="shared" si="66"/>
        <v>171.9194128119324</v>
      </c>
      <c r="D582" s="83">
        <f t="shared" si="71"/>
        <v>733.33333333333326</v>
      </c>
      <c r="E582">
        <f t="shared" si="67"/>
        <v>0</v>
      </c>
      <c r="G582">
        <v>532</v>
      </c>
      <c r="H582" s="13">
        <f t="shared" si="72"/>
        <v>-1.0275684203264746E-2</v>
      </c>
      <c r="I582">
        <f t="shared" si="73"/>
        <v>166.45274881579556</v>
      </c>
      <c r="J582">
        <f t="shared" si="68"/>
        <v>721.08894643597273</v>
      </c>
      <c r="K582" s="27">
        <f t="shared" si="69"/>
        <v>-5342.8489184888967</v>
      </c>
    </row>
    <row r="583" spans="1:11" x14ac:dyDescent="0.25">
      <c r="A583" s="26">
        <v>533</v>
      </c>
      <c r="B583" s="82">
        <f t="shared" si="70"/>
        <v>0</v>
      </c>
      <c r="C583" s="58">
        <f t="shared" si="66"/>
        <v>171.9194128119324</v>
      </c>
      <c r="D583" s="83">
        <f t="shared" si="71"/>
        <v>733.33333333333326</v>
      </c>
      <c r="E583">
        <f t="shared" si="67"/>
        <v>0</v>
      </c>
      <c r="G583">
        <v>533</v>
      </c>
      <c r="H583" s="13">
        <f t="shared" si="72"/>
        <v>-1.0275684203264746E-2</v>
      </c>
      <c r="I583">
        <f t="shared" si="73"/>
        <v>166.44247313159229</v>
      </c>
      <c r="J583">
        <f t="shared" si="68"/>
        <v>721.06315800688276</v>
      </c>
      <c r="K583" s="27">
        <f t="shared" si="69"/>
        <v>-5342.4666704774627</v>
      </c>
    </row>
    <row r="584" spans="1:11" x14ac:dyDescent="0.25">
      <c r="A584" s="26">
        <v>534</v>
      </c>
      <c r="B584" s="82">
        <f t="shared" si="70"/>
        <v>0</v>
      </c>
      <c r="C584" s="58">
        <f t="shared" si="66"/>
        <v>171.9194128119324</v>
      </c>
      <c r="D584" s="83">
        <f t="shared" si="71"/>
        <v>733.33333333333326</v>
      </c>
      <c r="E584">
        <f t="shared" si="67"/>
        <v>0</v>
      </c>
      <c r="G584">
        <v>534</v>
      </c>
      <c r="H584" s="13">
        <f t="shared" si="72"/>
        <v>-1.0275684203264746E-2</v>
      </c>
      <c r="I584">
        <f t="shared" si="73"/>
        <v>166.43219744738903</v>
      </c>
      <c r="J584">
        <f t="shared" si="68"/>
        <v>721.03735695220223</v>
      </c>
      <c r="K584" s="27">
        <f t="shared" si="69"/>
        <v>-5342.0842489350953</v>
      </c>
    </row>
    <row r="585" spans="1:11" x14ac:dyDescent="0.25">
      <c r="A585" s="26">
        <v>535</v>
      </c>
      <c r="B585" s="82">
        <f t="shared" si="70"/>
        <v>0</v>
      </c>
      <c r="C585" s="58">
        <f t="shared" si="66"/>
        <v>171.9194128119324</v>
      </c>
      <c r="D585" s="83">
        <f t="shared" si="71"/>
        <v>733.33333333333326</v>
      </c>
      <c r="E585">
        <f t="shared" si="67"/>
        <v>0</v>
      </c>
      <c r="G585">
        <v>535</v>
      </c>
      <c r="H585" s="13">
        <f t="shared" si="72"/>
        <v>-1.0275684203264746E-2</v>
      </c>
      <c r="I585">
        <f t="shared" si="73"/>
        <v>166.42192176318576</v>
      </c>
      <c r="J585">
        <f t="shared" si="68"/>
        <v>721.01154325591347</v>
      </c>
      <c r="K585" s="27">
        <f t="shared" si="69"/>
        <v>-5341.7016536442943</v>
      </c>
    </row>
    <row r="586" spans="1:11" x14ac:dyDescent="0.25">
      <c r="A586" s="26">
        <v>536</v>
      </c>
      <c r="B586" s="82">
        <f t="shared" si="70"/>
        <v>0</v>
      </c>
      <c r="C586" s="58">
        <f t="shared" si="66"/>
        <v>171.9194128119324</v>
      </c>
      <c r="D586" s="83">
        <f t="shared" si="71"/>
        <v>733.33333333333326</v>
      </c>
      <c r="E586">
        <f t="shared" si="67"/>
        <v>0</v>
      </c>
      <c r="G586">
        <v>536</v>
      </c>
      <c r="H586" s="13">
        <f t="shared" si="72"/>
        <v>-1.0275684203264746E-2</v>
      </c>
      <c r="I586">
        <f t="shared" si="73"/>
        <v>166.4116460789825</v>
      </c>
      <c r="J586">
        <f t="shared" si="68"/>
        <v>720.98571690196377</v>
      </c>
      <c r="K586" s="27">
        <f t="shared" si="69"/>
        <v>-5341.3188843870885</v>
      </c>
    </row>
    <row r="587" spans="1:11" x14ac:dyDescent="0.25">
      <c r="A587" s="26">
        <v>537</v>
      </c>
      <c r="B587" s="82">
        <f t="shared" si="70"/>
        <v>0</v>
      </c>
      <c r="C587" s="58">
        <f t="shared" si="66"/>
        <v>171.9194128119324</v>
      </c>
      <c r="D587" s="83">
        <f t="shared" si="71"/>
        <v>733.33333333333326</v>
      </c>
      <c r="E587">
        <f t="shared" si="67"/>
        <v>0</v>
      </c>
      <c r="G587">
        <v>537</v>
      </c>
      <c r="H587" s="13">
        <f t="shared" si="72"/>
        <v>-1.0275684203264746E-2</v>
      </c>
      <c r="I587">
        <f t="shared" si="73"/>
        <v>166.40137039477924</v>
      </c>
      <c r="J587">
        <f t="shared" si="68"/>
        <v>720.95987787426566</v>
      </c>
      <c r="K587" s="27">
        <f t="shared" si="69"/>
        <v>-5340.9359409450253</v>
      </c>
    </row>
    <row r="588" spans="1:11" x14ac:dyDescent="0.25">
      <c r="A588" s="26">
        <v>538</v>
      </c>
      <c r="B588" s="82">
        <f t="shared" si="70"/>
        <v>0</v>
      </c>
      <c r="C588" s="58">
        <f t="shared" si="66"/>
        <v>171.9194128119324</v>
      </c>
      <c r="D588" s="83">
        <f t="shared" si="71"/>
        <v>733.33333333333326</v>
      </c>
      <c r="E588">
        <f t="shared" si="67"/>
        <v>0</v>
      </c>
      <c r="G588">
        <v>538</v>
      </c>
      <c r="H588" s="13">
        <f t="shared" si="72"/>
        <v>-1.0275684203264746E-2</v>
      </c>
      <c r="I588">
        <f t="shared" si="73"/>
        <v>166.39109471057597</v>
      </c>
      <c r="J588">
        <f t="shared" si="68"/>
        <v>720.93402615669595</v>
      </c>
      <c r="K588" s="27">
        <f t="shared" si="69"/>
        <v>-5340.5528230991758</v>
      </c>
    </row>
    <row r="589" spans="1:11" x14ac:dyDescent="0.25">
      <c r="A589" s="26">
        <v>539</v>
      </c>
      <c r="B589" s="82">
        <f t="shared" si="70"/>
        <v>0</v>
      </c>
      <c r="C589" s="58">
        <f t="shared" si="66"/>
        <v>171.9194128119324</v>
      </c>
      <c r="D589" s="83">
        <f t="shared" si="71"/>
        <v>733.33333333333326</v>
      </c>
      <c r="E589">
        <f t="shared" si="67"/>
        <v>0</v>
      </c>
      <c r="G589">
        <v>539</v>
      </c>
      <c r="H589" s="13">
        <f t="shared" si="72"/>
        <v>-1.0275684203264746E-2</v>
      </c>
      <c r="I589">
        <f t="shared" si="73"/>
        <v>166.38081902637271</v>
      </c>
      <c r="J589">
        <f t="shared" si="68"/>
        <v>720.90816173309679</v>
      </c>
      <c r="K589" s="27">
        <f t="shared" si="69"/>
        <v>-5340.1695306301344</v>
      </c>
    </row>
    <row r="590" spans="1:11" x14ac:dyDescent="0.25">
      <c r="A590" s="26">
        <v>540</v>
      </c>
      <c r="B590" s="82">
        <f t="shared" si="70"/>
        <v>0</v>
      </c>
      <c r="C590" s="58">
        <f t="shared" si="66"/>
        <v>171.9194128119324</v>
      </c>
      <c r="D590" s="83">
        <f t="shared" si="71"/>
        <v>733.33333333333326</v>
      </c>
      <c r="E590">
        <f t="shared" si="67"/>
        <v>0</v>
      </c>
      <c r="G590">
        <v>540</v>
      </c>
      <c r="H590" s="13">
        <f t="shared" si="72"/>
        <v>-1.0275684203264746E-2</v>
      </c>
      <c r="I590">
        <f t="shared" si="73"/>
        <v>166.37054334216944</v>
      </c>
      <c r="J590">
        <f t="shared" si="68"/>
        <v>720.88228458727428</v>
      </c>
      <c r="K590" s="27">
        <f t="shared" si="69"/>
        <v>-5339.7860633180089</v>
      </c>
    </row>
    <row r="591" spans="1:11" x14ac:dyDescent="0.25">
      <c r="A591" s="26">
        <v>541</v>
      </c>
      <c r="B591" s="82">
        <f t="shared" si="70"/>
        <v>0</v>
      </c>
      <c r="C591" s="58">
        <f t="shared" si="66"/>
        <v>171.9194128119324</v>
      </c>
      <c r="D591" s="83">
        <f t="shared" si="71"/>
        <v>733.33333333333326</v>
      </c>
      <c r="E591">
        <f t="shared" si="67"/>
        <v>0</v>
      </c>
      <c r="G591">
        <v>541</v>
      </c>
      <c r="H591" s="13">
        <f t="shared" si="72"/>
        <v>-1.0275684203264746E-2</v>
      </c>
      <c r="I591">
        <f t="shared" si="73"/>
        <v>166.36026765796618</v>
      </c>
      <c r="J591">
        <f t="shared" si="68"/>
        <v>720.85639470299964</v>
      </c>
      <c r="K591" s="27">
        <f t="shared" si="69"/>
        <v>-5339.4024209424288</v>
      </c>
    </row>
    <row r="592" spans="1:11" x14ac:dyDescent="0.25">
      <c r="A592" s="26">
        <v>542</v>
      </c>
      <c r="B592" s="82">
        <f t="shared" si="70"/>
        <v>0</v>
      </c>
      <c r="C592" s="58">
        <f t="shared" ref="C592:C655" si="74">($C$37-$C$36)/2000+C591</f>
        <v>171.9194128119324</v>
      </c>
      <c r="D592" s="83">
        <f t="shared" si="71"/>
        <v>733.33333333333326</v>
      </c>
      <c r="E592">
        <f t="shared" si="67"/>
        <v>0</v>
      </c>
      <c r="G592">
        <v>542</v>
      </c>
      <c r="H592" s="13">
        <f t="shared" si="72"/>
        <v>-1.0275684203264746E-2</v>
      </c>
      <c r="I592">
        <f t="shared" si="73"/>
        <v>166.34999197376291</v>
      </c>
      <c r="J592">
        <f t="shared" si="68"/>
        <v>720.8304920640079</v>
      </c>
      <c r="K592" s="27">
        <f t="shared" si="69"/>
        <v>-5339.0186032825395</v>
      </c>
    </row>
    <row r="593" spans="1:11" x14ac:dyDescent="0.25">
      <c r="A593" s="26">
        <v>543</v>
      </c>
      <c r="B593" s="82">
        <f t="shared" si="70"/>
        <v>0</v>
      </c>
      <c r="C593" s="58">
        <f t="shared" si="74"/>
        <v>171.9194128119324</v>
      </c>
      <c r="D593" s="83">
        <f t="shared" si="71"/>
        <v>733.33333333333326</v>
      </c>
      <c r="E593">
        <f t="shared" si="67"/>
        <v>0</v>
      </c>
      <c r="G593">
        <v>543</v>
      </c>
      <c r="H593" s="13">
        <f t="shared" si="72"/>
        <v>-1.0275684203264746E-2</v>
      </c>
      <c r="I593">
        <f t="shared" si="73"/>
        <v>166.33971628955965</v>
      </c>
      <c r="J593">
        <f t="shared" si="68"/>
        <v>720.80457665399865</v>
      </c>
      <c r="K593" s="27">
        <f t="shared" si="69"/>
        <v>-5338.6346101170002</v>
      </c>
    </row>
    <row r="594" spans="1:11" x14ac:dyDescent="0.25">
      <c r="A594" s="26">
        <v>544</v>
      </c>
      <c r="B594" s="82">
        <f t="shared" si="70"/>
        <v>0</v>
      </c>
      <c r="C594" s="58">
        <f t="shared" si="74"/>
        <v>171.9194128119324</v>
      </c>
      <c r="D594" s="83">
        <f t="shared" si="71"/>
        <v>733.33333333333326</v>
      </c>
      <c r="E594">
        <f t="shared" si="67"/>
        <v>0</v>
      </c>
      <c r="G594">
        <v>544</v>
      </c>
      <c r="H594" s="13">
        <f t="shared" si="72"/>
        <v>-1.0275684203264746E-2</v>
      </c>
      <c r="I594">
        <f t="shared" si="73"/>
        <v>166.32944060535638</v>
      </c>
      <c r="J594">
        <f t="shared" si="68"/>
        <v>720.77864845663566</v>
      </c>
      <c r="K594" s="27">
        <f t="shared" si="69"/>
        <v>-5338.2504412239823</v>
      </c>
    </row>
    <row r="595" spans="1:11" x14ac:dyDescent="0.25">
      <c r="A595" s="26">
        <v>545</v>
      </c>
      <c r="B595" s="82">
        <f t="shared" si="70"/>
        <v>0</v>
      </c>
      <c r="C595" s="58">
        <f t="shared" si="74"/>
        <v>171.9194128119324</v>
      </c>
      <c r="D595" s="83">
        <f t="shared" si="71"/>
        <v>733.33333333333326</v>
      </c>
      <c r="E595">
        <f t="shared" si="67"/>
        <v>0</v>
      </c>
      <c r="G595">
        <v>545</v>
      </c>
      <c r="H595" s="13">
        <f t="shared" si="72"/>
        <v>-1.0275684203264746E-2</v>
      </c>
      <c r="I595">
        <f t="shared" si="73"/>
        <v>166.31916492115312</v>
      </c>
      <c r="J595">
        <f t="shared" si="68"/>
        <v>720.75270745554667</v>
      </c>
      <c r="K595" s="27">
        <f t="shared" si="69"/>
        <v>-5337.8660963811681</v>
      </c>
    </row>
    <row r="596" spans="1:11" x14ac:dyDescent="0.25">
      <c r="A596" s="26">
        <v>546</v>
      </c>
      <c r="B596" s="82">
        <f t="shared" si="70"/>
        <v>0</v>
      </c>
      <c r="C596" s="58">
        <f t="shared" si="74"/>
        <v>171.9194128119324</v>
      </c>
      <c r="D596" s="83">
        <f t="shared" si="71"/>
        <v>733.33333333333326</v>
      </c>
      <c r="E596">
        <f t="shared" si="67"/>
        <v>0</v>
      </c>
      <c r="G596">
        <v>546</v>
      </c>
      <c r="H596" s="13">
        <f t="shared" si="72"/>
        <v>-1.0275684203264746E-2</v>
      </c>
      <c r="I596">
        <f t="shared" si="73"/>
        <v>166.30888923694985</v>
      </c>
      <c r="J596">
        <f t="shared" si="68"/>
        <v>720.72675363432325</v>
      </c>
      <c r="K596" s="27">
        <f t="shared" si="69"/>
        <v>-5337.4815753657531</v>
      </c>
    </row>
    <row r="597" spans="1:11" x14ac:dyDescent="0.25">
      <c r="A597" s="26">
        <v>547</v>
      </c>
      <c r="B597" s="82">
        <f t="shared" si="70"/>
        <v>0</v>
      </c>
      <c r="C597" s="58">
        <f t="shared" si="74"/>
        <v>171.9194128119324</v>
      </c>
      <c r="D597" s="83">
        <f t="shared" si="71"/>
        <v>733.33333333333326</v>
      </c>
      <c r="E597">
        <f t="shared" si="67"/>
        <v>0</v>
      </c>
      <c r="G597">
        <v>547</v>
      </c>
      <c r="H597" s="13">
        <f t="shared" si="72"/>
        <v>-1.0275684203264746E-2</v>
      </c>
      <c r="I597">
        <f t="shared" si="73"/>
        <v>166.29861355274659</v>
      </c>
      <c r="J597">
        <f t="shared" si="68"/>
        <v>720.70078697652093</v>
      </c>
      <c r="K597" s="27">
        <f t="shared" si="69"/>
        <v>-5337.0968779544392</v>
      </c>
    </row>
    <row r="598" spans="1:11" x14ac:dyDescent="0.25">
      <c r="A598" s="26">
        <v>548</v>
      </c>
      <c r="B598" s="82">
        <f t="shared" si="70"/>
        <v>0</v>
      </c>
      <c r="C598" s="58">
        <f t="shared" si="74"/>
        <v>171.9194128119324</v>
      </c>
      <c r="D598" s="83">
        <f t="shared" si="71"/>
        <v>733.33333333333326</v>
      </c>
      <c r="E598">
        <f t="shared" si="67"/>
        <v>0</v>
      </c>
      <c r="G598">
        <v>548</v>
      </c>
      <c r="H598" s="13">
        <f t="shared" si="72"/>
        <v>-1.0275684203264746E-2</v>
      </c>
      <c r="I598">
        <f t="shared" si="73"/>
        <v>166.28833786854332</v>
      </c>
      <c r="J598">
        <f t="shared" si="68"/>
        <v>720.674807465659</v>
      </c>
      <c r="K598" s="27">
        <f t="shared" si="69"/>
        <v>-5336.7120039234351</v>
      </c>
    </row>
    <row r="599" spans="1:11" x14ac:dyDescent="0.25">
      <c r="A599" s="26">
        <v>549</v>
      </c>
      <c r="B599" s="82">
        <f t="shared" si="70"/>
        <v>0</v>
      </c>
      <c r="C599" s="58">
        <f t="shared" si="74"/>
        <v>171.9194128119324</v>
      </c>
      <c r="D599" s="83">
        <f t="shared" si="71"/>
        <v>733.33333333333326</v>
      </c>
      <c r="E599">
        <f t="shared" si="67"/>
        <v>0</v>
      </c>
      <c r="G599">
        <v>549</v>
      </c>
      <c r="H599" s="13">
        <f t="shared" si="72"/>
        <v>-1.0275684203264746E-2</v>
      </c>
      <c r="I599">
        <f t="shared" si="73"/>
        <v>166.27806218434006</v>
      </c>
      <c r="J599">
        <f t="shared" si="68"/>
        <v>720.64881508522024</v>
      </c>
      <c r="K599" s="27">
        <f t="shared" si="69"/>
        <v>-5336.3269530484558</v>
      </c>
    </row>
    <row r="600" spans="1:11" x14ac:dyDescent="0.25">
      <c r="A600" s="26">
        <v>550</v>
      </c>
      <c r="B600" s="82">
        <f t="shared" si="70"/>
        <v>0</v>
      </c>
      <c r="C600" s="58">
        <f t="shared" si="74"/>
        <v>171.9194128119324</v>
      </c>
      <c r="D600" s="83">
        <f t="shared" si="71"/>
        <v>733.33333333333326</v>
      </c>
      <c r="E600">
        <f t="shared" si="67"/>
        <v>0</v>
      </c>
      <c r="G600">
        <v>550</v>
      </c>
      <c r="H600" s="13">
        <f t="shared" si="72"/>
        <v>-1.0275684203264746E-2</v>
      </c>
      <c r="I600">
        <f t="shared" si="73"/>
        <v>166.26778650013679</v>
      </c>
      <c r="J600">
        <f t="shared" si="68"/>
        <v>720.62280981865081</v>
      </c>
      <c r="K600" s="27">
        <f t="shared" si="69"/>
        <v>-5335.9417251047198</v>
      </c>
    </row>
    <row r="601" spans="1:11" x14ac:dyDescent="0.25">
      <c r="A601" s="26">
        <v>551</v>
      </c>
      <c r="B601" s="82">
        <f t="shared" si="70"/>
        <v>0</v>
      </c>
      <c r="C601" s="58">
        <f t="shared" si="74"/>
        <v>171.9194128119324</v>
      </c>
      <c r="D601" s="83">
        <f t="shared" si="71"/>
        <v>733.33333333333326</v>
      </c>
      <c r="E601">
        <f t="shared" si="67"/>
        <v>0</v>
      </c>
      <c r="G601">
        <v>551</v>
      </c>
      <c r="H601" s="13">
        <f t="shared" si="72"/>
        <v>-1.0275684203264746E-2</v>
      </c>
      <c r="I601">
        <f t="shared" si="73"/>
        <v>166.25751081593353</v>
      </c>
      <c r="J601">
        <f t="shared" si="68"/>
        <v>720.59679164936051</v>
      </c>
      <c r="K601" s="27">
        <f t="shared" si="69"/>
        <v>-5335.5563198669488</v>
      </c>
    </row>
    <row r="602" spans="1:11" x14ac:dyDescent="0.25">
      <c r="A602" s="26">
        <v>552</v>
      </c>
      <c r="B602" s="82">
        <f t="shared" si="70"/>
        <v>0</v>
      </c>
      <c r="C602" s="58">
        <f t="shared" si="74"/>
        <v>171.9194128119324</v>
      </c>
      <c r="D602" s="83">
        <f t="shared" si="71"/>
        <v>733.33333333333326</v>
      </c>
      <c r="E602">
        <f t="shared" si="67"/>
        <v>0</v>
      </c>
      <c r="G602">
        <v>552</v>
      </c>
      <c r="H602" s="13">
        <f t="shared" si="72"/>
        <v>-1.0275684203264746E-2</v>
      </c>
      <c r="I602">
        <f t="shared" si="73"/>
        <v>166.24723513173026</v>
      </c>
      <c r="J602">
        <f t="shared" si="68"/>
        <v>720.57076056072219</v>
      </c>
      <c r="K602" s="27">
        <f t="shared" si="69"/>
        <v>-5335.1707371093626</v>
      </c>
    </row>
    <row r="603" spans="1:11" x14ac:dyDescent="0.25">
      <c r="A603" s="26">
        <v>553</v>
      </c>
      <c r="B603" s="82">
        <f t="shared" si="70"/>
        <v>0</v>
      </c>
      <c r="C603" s="58">
        <f t="shared" si="74"/>
        <v>171.9194128119324</v>
      </c>
      <c r="D603" s="83">
        <f t="shared" si="71"/>
        <v>733.33333333333326</v>
      </c>
      <c r="E603">
        <f t="shared" si="67"/>
        <v>0</v>
      </c>
      <c r="G603">
        <v>553</v>
      </c>
      <c r="H603" s="13">
        <f t="shared" si="72"/>
        <v>-1.0275684203264746E-2</v>
      </c>
      <c r="I603">
        <f t="shared" si="73"/>
        <v>166.236959447527</v>
      </c>
      <c r="J603">
        <f t="shared" si="68"/>
        <v>720.54471653607186</v>
      </c>
      <c r="K603" s="27">
        <f t="shared" si="69"/>
        <v>-5334.7849766056852</v>
      </c>
    </row>
    <row r="604" spans="1:11" x14ac:dyDescent="0.25">
      <c r="A604" s="26">
        <v>554</v>
      </c>
      <c r="B604" s="82">
        <f t="shared" si="70"/>
        <v>0</v>
      </c>
      <c r="C604" s="58">
        <f t="shared" si="74"/>
        <v>171.9194128119324</v>
      </c>
      <c r="D604" s="83">
        <f t="shared" si="71"/>
        <v>733.33333333333326</v>
      </c>
      <c r="E604">
        <f t="shared" si="67"/>
        <v>0</v>
      </c>
      <c r="G604">
        <v>554</v>
      </c>
      <c r="H604" s="13">
        <f t="shared" si="72"/>
        <v>-1.0275684203264746E-2</v>
      </c>
      <c r="I604">
        <f t="shared" si="73"/>
        <v>166.22668376332373</v>
      </c>
      <c r="J604">
        <f t="shared" si="68"/>
        <v>720.51865955870869</v>
      </c>
      <c r="K604" s="27">
        <f t="shared" si="69"/>
        <v>-5334.3990381291324</v>
      </c>
    </row>
    <row r="605" spans="1:11" x14ac:dyDescent="0.25">
      <c r="A605" s="26">
        <v>555</v>
      </c>
      <c r="B605" s="82">
        <f t="shared" si="70"/>
        <v>0</v>
      </c>
      <c r="C605" s="58">
        <f t="shared" si="74"/>
        <v>171.9194128119324</v>
      </c>
      <c r="D605" s="83">
        <f t="shared" si="71"/>
        <v>733.33333333333326</v>
      </c>
      <c r="E605">
        <f t="shared" si="67"/>
        <v>0</v>
      </c>
      <c r="G605">
        <v>555</v>
      </c>
      <c r="H605" s="13">
        <f t="shared" si="72"/>
        <v>-1.0275684203264746E-2</v>
      </c>
      <c r="I605">
        <f t="shared" si="73"/>
        <v>166.21640807912047</v>
      </c>
      <c r="J605">
        <f t="shared" si="68"/>
        <v>720.49258961189457</v>
      </c>
      <c r="K605" s="27">
        <f t="shared" si="69"/>
        <v>-5334.0129214524195</v>
      </c>
    </row>
    <row r="606" spans="1:11" x14ac:dyDescent="0.25">
      <c r="A606" s="26">
        <v>556</v>
      </c>
      <c r="B606" s="82">
        <f t="shared" si="70"/>
        <v>0</v>
      </c>
      <c r="C606" s="58">
        <f t="shared" si="74"/>
        <v>171.9194128119324</v>
      </c>
      <c r="D606" s="83">
        <f t="shared" si="71"/>
        <v>733.33333333333326</v>
      </c>
      <c r="E606">
        <f t="shared" si="67"/>
        <v>0</v>
      </c>
      <c r="G606">
        <v>556</v>
      </c>
      <c r="H606" s="13">
        <f t="shared" si="72"/>
        <v>-1.0275684203264746E-2</v>
      </c>
      <c r="I606">
        <f t="shared" si="73"/>
        <v>166.2061323949172</v>
      </c>
      <c r="J606">
        <f t="shared" si="68"/>
        <v>720.46650667885433</v>
      </c>
      <c r="K606" s="27">
        <f t="shared" si="69"/>
        <v>-5333.6266263477582</v>
      </c>
    </row>
    <row r="607" spans="1:11" x14ac:dyDescent="0.25">
      <c r="A607" s="26">
        <v>557</v>
      </c>
      <c r="B607" s="82">
        <f t="shared" si="70"/>
        <v>0</v>
      </c>
      <c r="C607" s="58">
        <f t="shared" si="74"/>
        <v>171.9194128119324</v>
      </c>
      <c r="D607" s="83">
        <f t="shared" si="71"/>
        <v>733.33333333333326</v>
      </c>
      <c r="E607">
        <f t="shared" si="67"/>
        <v>0</v>
      </c>
      <c r="G607">
        <v>557</v>
      </c>
      <c r="H607" s="13">
        <f t="shared" si="72"/>
        <v>-1.0275684203264746E-2</v>
      </c>
      <c r="I607">
        <f t="shared" si="73"/>
        <v>166.19585671071394</v>
      </c>
      <c r="J607">
        <f t="shared" si="68"/>
        <v>720.44041074277538</v>
      </c>
      <c r="K607" s="27">
        <f t="shared" si="69"/>
        <v>-5333.2401525868481</v>
      </c>
    </row>
    <row r="608" spans="1:11" x14ac:dyDescent="0.25">
      <c r="A608" s="26">
        <v>558</v>
      </c>
      <c r="B608" s="82">
        <f t="shared" si="70"/>
        <v>0</v>
      </c>
      <c r="C608" s="58">
        <f t="shared" si="74"/>
        <v>171.9194128119324</v>
      </c>
      <c r="D608" s="83">
        <f t="shared" si="71"/>
        <v>733.33333333333326</v>
      </c>
      <c r="E608">
        <f t="shared" si="67"/>
        <v>0</v>
      </c>
      <c r="G608">
        <v>558</v>
      </c>
      <c r="H608" s="13">
        <f t="shared" si="72"/>
        <v>-1.0275684203264746E-2</v>
      </c>
      <c r="I608">
        <f t="shared" si="73"/>
        <v>166.18558102651068</v>
      </c>
      <c r="J608">
        <f t="shared" si="68"/>
        <v>720.41430178680787</v>
      </c>
      <c r="K608" s="27">
        <f t="shared" si="69"/>
        <v>-5332.8534999408857</v>
      </c>
    </row>
    <row r="609" spans="1:11" x14ac:dyDescent="0.25">
      <c r="A609" s="26">
        <v>559</v>
      </c>
      <c r="B609" s="82">
        <f t="shared" si="70"/>
        <v>0</v>
      </c>
      <c r="C609" s="58">
        <f t="shared" si="74"/>
        <v>171.9194128119324</v>
      </c>
      <c r="D609" s="83">
        <f t="shared" si="71"/>
        <v>733.33333333333326</v>
      </c>
      <c r="E609">
        <f t="shared" si="67"/>
        <v>0</v>
      </c>
      <c r="G609">
        <v>559</v>
      </c>
      <c r="H609" s="13">
        <f t="shared" si="72"/>
        <v>-1.0275684203264746E-2</v>
      </c>
      <c r="I609">
        <f t="shared" si="73"/>
        <v>166.17530534230741</v>
      </c>
      <c r="J609">
        <f t="shared" si="68"/>
        <v>720.38817979406417</v>
      </c>
      <c r="K609" s="27">
        <f t="shared" si="69"/>
        <v>-5332.4666681805538</v>
      </c>
    </row>
    <row r="610" spans="1:11" x14ac:dyDescent="0.25">
      <c r="A610" s="26">
        <v>560</v>
      </c>
      <c r="B610" s="82">
        <f t="shared" si="70"/>
        <v>0</v>
      </c>
      <c r="C610" s="58">
        <f t="shared" si="74"/>
        <v>171.9194128119324</v>
      </c>
      <c r="D610" s="83">
        <f t="shared" si="71"/>
        <v>733.33333333333326</v>
      </c>
      <c r="E610">
        <f t="shared" si="67"/>
        <v>0</v>
      </c>
      <c r="G610">
        <v>560</v>
      </c>
      <c r="H610" s="13">
        <f t="shared" si="72"/>
        <v>-1.0275684203264746E-2</v>
      </c>
      <c r="I610">
        <f t="shared" si="73"/>
        <v>166.16502965810415</v>
      </c>
      <c r="J610">
        <f t="shared" si="68"/>
        <v>720.36204474761917</v>
      </c>
      <c r="K610" s="27">
        <f t="shared" si="69"/>
        <v>-5332.0796570760231</v>
      </c>
    </row>
    <row r="611" spans="1:11" x14ac:dyDescent="0.25">
      <c r="A611" s="26">
        <v>561</v>
      </c>
      <c r="B611" s="82">
        <f t="shared" si="70"/>
        <v>0</v>
      </c>
      <c r="C611" s="58">
        <f t="shared" si="74"/>
        <v>171.9194128119324</v>
      </c>
      <c r="D611" s="83">
        <f t="shared" si="71"/>
        <v>733.33333333333326</v>
      </c>
      <c r="E611">
        <f t="shared" si="67"/>
        <v>0</v>
      </c>
      <c r="G611">
        <v>561</v>
      </c>
      <c r="H611" s="13">
        <f t="shared" si="72"/>
        <v>-1.0275684203264746E-2</v>
      </c>
      <c r="I611">
        <f t="shared" si="73"/>
        <v>166.15475397390088</v>
      </c>
      <c r="J611">
        <f t="shared" si="68"/>
        <v>720.33589663050975</v>
      </c>
      <c r="K611" s="27">
        <f t="shared" si="69"/>
        <v>-5331.6924663969539</v>
      </c>
    </row>
    <row r="612" spans="1:11" x14ac:dyDescent="0.25">
      <c r="A612" s="26">
        <v>562</v>
      </c>
      <c r="B612" s="82">
        <f t="shared" si="70"/>
        <v>0</v>
      </c>
      <c r="C612" s="58">
        <f t="shared" si="74"/>
        <v>171.9194128119324</v>
      </c>
      <c r="D612" s="83">
        <f t="shared" si="71"/>
        <v>733.33333333333326</v>
      </c>
      <c r="E612">
        <f t="shared" si="67"/>
        <v>0</v>
      </c>
      <c r="G612">
        <v>562</v>
      </c>
      <c r="H612" s="13">
        <f t="shared" si="72"/>
        <v>-1.0275684203264746E-2</v>
      </c>
      <c r="I612">
        <f t="shared" si="73"/>
        <v>166.14447828969762</v>
      </c>
      <c r="J612">
        <f t="shared" si="68"/>
        <v>720.3097354257352</v>
      </c>
      <c r="K612" s="27">
        <f t="shared" si="69"/>
        <v>-5331.3050959124903</v>
      </c>
    </row>
    <row r="613" spans="1:11" x14ac:dyDescent="0.25">
      <c r="A613" s="26">
        <v>563</v>
      </c>
      <c r="B613" s="82">
        <f t="shared" si="70"/>
        <v>0</v>
      </c>
      <c r="C613" s="58">
        <f t="shared" si="74"/>
        <v>171.9194128119324</v>
      </c>
      <c r="D613" s="83">
        <f t="shared" si="71"/>
        <v>733.33333333333326</v>
      </c>
      <c r="E613">
        <f t="shared" si="67"/>
        <v>0</v>
      </c>
      <c r="G613">
        <v>563</v>
      </c>
      <c r="H613" s="13">
        <f t="shared" si="72"/>
        <v>-1.0275684203264746E-2</v>
      </c>
      <c r="I613">
        <f t="shared" si="73"/>
        <v>166.13420260549435</v>
      </c>
      <c r="J613">
        <f t="shared" si="68"/>
        <v>720.28356111625635</v>
      </c>
      <c r="K613" s="27">
        <f t="shared" si="69"/>
        <v>-5330.9175453912558</v>
      </c>
    </row>
    <row r="614" spans="1:11" x14ac:dyDescent="0.25">
      <c r="A614" s="26">
        <v>564</v>
      </c>
      <c r="B614" s="82">
        <f t="shared" si="70"/>
        <v>0</v>
      </c>
      <c r="C614" s="58">
        <f t="shared" si="74"/>
        <v>171.9194128119324</v>
      </c>
      <c r="D614" s="83">
        <f t="shared" si="71"/>
        <v>733.33333333333326</v>
      </c>
      <c r="E614">
        <f t="shared" si="67"/>
        <v>0</v>
      </c>
      <c r="G614">
        <v>564</v>
      </c>
      <c r="H614" s="13">
        <f t="shared" si="72"/>
        <v>-1.0275684203264746E-2</v>
      </c>
      <c r="I614">
        <f t="shared" si="73"/>
        <v>166.12392692129109</v>
      </c>
      <c r="J614">
        <f t="shared" si="68"/>
        <v>720.25737368499631</v>
      </c>
      <c r="K614" s="27">
        <f t="shared" si="69"/>
        <v>-5330.5298146013629</v>
      </c>
    </row>
    <row r="615" spans="1:11" x14ac:dyDescent="0.25">
      <c r="A615" s="26">
        <v>565</v>
      </c>
      <c r="B615" s="82">
        <f t="shared" si="70"/>
        <v>0</v>
      </c>
      <c r="C615" s="58">
        <f t="shared" si="74"/>
        <v>171.9194128119324</v>
      </c>
      <c r="D615" s="83">
        <f t="shared" si="71"/>
        <v>733.33333333333326</v>
      </c>
      <c r="E615">
        <f t="shared" si="67"/>
        <v>0</v>
      </c>
      <c r="G615">
        <v>565</v>
      </c>
      <c r="H615" s="13">
        <f t="shared" si="72"/>
        <v>-1.0275684203264746E-2</v>
      </c>
      <c r="I615">
        <f t="shared" si="73"/>
        <v>166.11365123708782</v>
      </c>
      <c r="J615">
        <f t="shared" si="68"/>
        <v>720.23117311483963</v>
      </c>
      <c r="K615" s="27">
        <f t="shared" si="69"/>
        <v>-5330.1419033103975</v>
      </c>
    </row>
    <row r="616" spans="1:11" x14ac:dyDescent="0.25">
      <c r="A616" s="26">
        <v>566</v>
      </c>
      <c r="B616" s="82">
        <f t="shared" si="70"/>
        <v>0</v>
      </c>
      <c r="C616" s="58">
        <f t="shared" si="74"/>
        <v>171.9194128119324</v>
      </c>
      <c r="D616" s="83">
        <f t="shared" si="71"/>
        <v>733.33333333333326</v>
      </c>
      <c r="E616">
        <f t="shared" si="67"/>
        <v>0</v>
      </c>
      <c r="G616">
        <v>566</v>
      </c>
      <c r="H616" s="13">
        <f t="shared" si="72"/>
        <v>-1.0275684203264746E-2</v>
      </c>
      <c r="I616">
        <f t="shared" si="73"/>
        <v>166.10337555288456</v>
      </c>
      <c r="J616">
        <f t="shared" si="68"/>
        <v>720.20495938863269</v>
      </c>
      <c r="K616" s="27">
        <f t="shared" si="69"/>
        <v>-5329.7538112854281</v>
      </c>
    </row>
    <row r="617" spans="1:11" x14ac:dyDescent="0.25">
      <c r="A617" s="26">
        <v>567</v>
      </c>
      <c r="B617" s="82">
        <f t="shared" si="70"/>
        <v>0</v>
      </c>
      <c r="C617" s="58">
        <f t="shared" si="74"/>
        <v>171.9194128119324</v>
      </c>
      <c r="D617" s="83">
        <f t="shared" si="71"/>
        <v>733.33333333333326</v>
      </c>
      <c r="E617">
        <f t="shared" si="67"/>
        <v>0</v>
      </c>
      <c r="G617">
        <v>567</v>
      </c>
      <c r="H617" s="13">
        <f t="shared" si="72"/>
        <v>-1.0275684203264746E-2</v>
      </c>
      <c r="I617">
        <f t="shared" si="73"/>
        <v>166.09309986868129</v>
      </c>
      <c r="J617">
        <f t="shared" si="68"/>
        <v>720.17873248918306</v>
      </c>
      <c r="K617" s="27">
        <f t="shared" si="69"/>
        <v>-5329.3655382929983</v>
      </c>
    </row>
    <row r="618" spans="1:11" x14ac:dyDescent="0.25">
      <c r="A618" s="26">
        <v>568</v>
      </c>
      <c r="B618" s="82">
        <f t="shared" si="70"/>
        <v>0</v>
      </c>
      <c r="C618" s="58">
        <f t="shared" si="74"/>
        <v>171.9194128119324</v>
      </c>
      <c r="D618" s="83">
        <f t="shared" si="71"/>
        <v>733.33333333333326</v>
      </c>
      <c r="E618">
        <f t="shared" si="67"/>
        <v>0</v>
      </c>
      <c r="G618">
        <v>568</v>
      </c>
      <c r="H618" s="13">
        <f t="shared" si="72"/>
        <v>-1.0275684203264746E-2</v>
      </c>
      <c r="I618">
        <f t="shared" si="73"/>
        <v>166.08282418447803</v>
      </c>
      <c r="J618">
        <f t="shared" si="68"/>
        <v>720.15249239926004</v>
      </c>
      <c r="K618" s="27">
        <f t="shared" si="69"/>
        <v>-5328.9770840991287</v>
      </c>
    </row>
    <row r="619" spans="1:11" x14ac:dyDescent="0.25">
      <c r="A619" s="26">
        <v>569</v>
      </c>
      <c r="B619" s="82">
        <f t="shared" si="70"/>
        <v>0</v>
      </c>
      <c r="C619" s="58">
        <f t="shared" si="74"/>
        <v>171.9194128119324</v>
      </c>
      <c r="D619" s="83">
        <f t="shared" si="71"/>
        <v>733.33333333333326</v>
      </c>
      <c r="E619">
        <f t="shared" si="67"/>
        <v>0</v>
      </c>
      <c r="G619">
        <v>569</v>
      </c>
      <c r="H619" s="13">
        <f t="shared" si="72"/>
        <v>-1.0275684203264746E-2</v>
      </c>
      <c r="I619">
        <f t="shared" si="73"/>
        <v>166.07254850027476</v>
      </c>
      <c r="J619">
        <f t="shared" si="68"/>
        <v>720.12623910159402</v>
      </c>
      <c r="K619" s="27">
        <f t="shared" si="69"/>
        <v>-5328.5884484693097</v>
      </c>
    </row>
    <row r="620" spans="1:11" x14ac:dyDescent="0.25">
      <c r="A620" s="26">
        <v>570</v>
      </c>
      <c r="B620" s="82">
        <f t="shared" si="70"/>
        <v>0</v>
      </c>
      <c r="C620" s="58">
        <f t="shared" si="74"/>
        <v>171.9194128119324</v>
      </c>
      <c r="D620" s="83">
        <f t="shared" si="71"/>
        <v>733.33333333333326</v>
      </c>
      <c r="E620">
        <f t="shared" si="67"/>
        <v>0</v>
      </c>
      <c r="G620">
        <v>570</v>
      </c>
      <c r="H620" s="13">
        <f t="shared" si="72"/>
        <v>-1.0275684203264746E-2</v>
      </c>
      <c r="I620">
        <f t="shared" si="73"/>
        <v>166.0622728160715</v>
      </c>
      <c r="J620">
        <f t="shared" si="68"/>
        <v>720.0999725788763</v>
      </c>
      <c r="K620" s="27">
        <f t="shared" si="69"/>
        <v>-5328.1996311685079</v>
      </c>
    </row>
    <row r="621" spans="1:11" x14ac:dyDescent="0.25">
      <c r="A621" s="26">
        <v>571</v>
      </c>
      <c r="B621" s="82">
        <f t="shared" si="70"/>
        <v>0</v>
      </c>
      <c r="C621" s="58">
        <f t="shared" si="74"/>
        <v>171.9194128119324</v>
      </c>
      <c r="D621" s="83">
        <f t="shared" si="71"/>
        <v>733.33333333333326</v>
      </c>
      <c r="E621">
        <f t="shared" si="67"/>
        <v>0</v>
      </c>
      <c r="G621">
        <v>571</v>
      </c>
      <c r="H621" s="13">
        <f t="shared" si="72"/>
        <v>-1.0275684203264746E-2</v>
      </c>
      <c r="I621">
        <f t="shared" si="73"/>
        <v>166.05199713186823</v>
      </c>
      <c r="J621">
        <f t="shared" si="68"/>
        <v>720.07369281375964</v>
      </c>
      <c r="K621" s="27">
        <f t="shared" si="69"/>
        <v>-5327.8106319611597</v>
      </c>
    </row>
    <row r="622" spans="1:11" x14ac:dyDescent="0.25">
      <c r="A622" s="26">
        <v>572</v>
      </c>
      <c r="B622" s="82">
        <f t="shared" si="70"/>
        <v>0</v>
      </c>
      <c r="C622" s="58">
        <f t="shared" si="74"/>
        <v>171.9194128119324</v>
      </c>
      <c r="D622" s="83">
        <f t="shared" si="71"/>
        <v>733.33333333333326</v>
      </c>
      <c r="E622">
        <f t="shared" si="67"/>
        <v>0</v>
      </c>
      <c r="G622">
        <v>572</v>
      </c>
      <c r="H622" s="13">
        <f t="shared" si="72"/>
        <v>-1.0275684203264746E-2</v>
      </c>
      <c r="I622">
        <f t="shared" si="73"/>
        <v>166.04172144766497</v>
      </c>
      <c r="J622">
        <f t="shared" si="68"/>
        <v>720.04739978885721</v>
      </c>
      <c r="K622" s="27">
        <f t="shared" si="69"/>
        <v>-5327.4214506111648</v>
      </c>
    </row>
    <row r="623" spans="1:11" x14ac:dyDescent="0.25">
      <c r="A623" s="26">
        <v>573</v>
      </c>
      <c r="B623" s="82">
        <f t="shared" si="70"/>
        <v>0</v>
      </c>
      <c r="C623" s="58">
        <f t="shared" si="74"/>
        <v>171.9194128119324</v>
      </c>
      <c r="D623" s="83">
        <f t="shared" si="71"/>
        <v>733.33333333333326</v>
      </c>
      <c r="E623">
        <f t="shared" si="67"/>
        <v>0</v>
      </c>
      <c r="G623">
        <v>573</v>
      </c>
      <c r="H623" s="13">
        <f t="shared" si="72"/>
        <v>-1.0275684203264746E-2</v>
      </c>
      <c r="I623">
        <f t="shared" si="73"/>
        <v>166.0314457634617</v>
      </c>
      <c r="J623">
        <f t="shared" si="68"/>
        <v>720.02109348674321</v>
      </c>
      <c r="K623" s="27">
        <f t="shared" si="69"/>
        <v>-5327.0320868818953</v>
      </c>
    </row>
    <row r="624" spans="1:11" x14ac:dyDescent="0.25">
      <c r="A624" s="26">
        <v>574</v>
      </c>
      <c r="B624" s="82">
        <f t="shared" si="70"/>
        <v>0</v>
      </c>
      <c r="C624" s="58">
        <f t="shared" si="74"/>
        <v>171.9194128119324</v>
      </c>
      <c r="D624" s="83">
        <f t="shared" si="71"/>
        <v>733.33333333333326</v>
      </c>
      <c r="E624">
        <f t="shared" si="67"/>
        <v>0</v>
      </c>
      <c r="G624">
        <v>574</v>
      </c>
      <c r="H624" s="13">
        <f t="shared" si="72"/>
        <v>-1.0275684203264746E-2</v>
      </c>
      <c r="I624">
        <f t="shared" si="73"/>
        <v>166.02117007925844</v>
      </c>
      <c r="J624">
        <f t="shared" si="68"/>
        <v>719.99477388995251</v>
      </c>
      <c r="K624" s="27">
        <f t="shared" si="69"/>
        <v>-5326.642540536187</v>
      </c>
    </row>
    <row r="625" spans="1:11" x14ac:dyDescent="0.25">
      <c r="A625" s="26">
        <v>575</v>
      </c>
      <c r="B625" s="82">
        <f t="shared" si="70"/>
        <v>0</v>
      </c>
      <c r="C625" s="58">
        <f t="shared" si="74"/>
        <v>171.9194128119324</v>
      </c>
      <c r="D625" s="83">
        <f t="shared" si="71"/>
        <v>733.33333333333326</v>
      </c>
      <c r="E625">
        <f t="shared" si="67"/>
        <v>0</v>
      </c>
      <c r="G625">
        <v>575</v>
      </c>
      <c r="H625" s="13">
        <f t="shared" si="72"/>
        <v>-1.0275684203264746E-2</v>
      </c>
      <c r="I625">
        <f t="shared" si="73"/>
        <v>166.01089439505517</v>
      </c>
      <c r="J625">
        <f t="shared" si="68"/>
        <v>719.96844098098018</v>
      </c>
      <c r="K625" s="27">
        <f t="shared" si="69"/>
        <v>-5326.2528113363378</v>
      </c>
    </row>
    <row r="626" spans="1:11" x14ac:dyDescent="0.25">
      <c r="A626" s="26">
        <v>576</v>
      </c>
      <c r="B626" s="82">
        <f t="shared" si="70"/>
        <v>0</v>
      </c>
      <c r="C626" s="58">
        <f t="shared" si="74"/>
        <v>171.9194128119324</v>
      </c>
      <c r="D626" s="83">
        <f t="shared" si="71"/>
        <v>733.33333333333326</v>
      </c>
      <c r="E626">
        <f t="shared" si="67"/>
        <v>0</v>
      </c>
      <c r="G626">
        <v>576</v>
      </c>
      <c r="H626" s="13">
        <f t="shared" si="72"/>
        <v>-1.0275684203264746E-2</v>
      </c>
      <c r="I626">
        <f t="shared" si="73"/>
        <v>166.00061871085191</v>
      </c>
      <c r="J626">
        <f t="shared" si="68"/>
        <v>719.94209474228205</v>
      </c>
      <c r="K626" s="27">
        <f t="shared" si="69"/>
        <v>-5325.8628990441075</v>
      </c>
    </row>
    <row r="627" spans="1:11" x14ac:dyDescent="0.25">
      <c r="A627" s="26">
        <v>577</v>
      </c>
      <c r="B627" s="82">
        <f t="shared" si="70"/>
        <v>0</v>
      </c>
      <c r="C627" s="58">
        <f t="shared" si="74"/>
        <v>171.9194128119324</v>
      </c>
      <c r="D627" s="83">
        <f t="shared" si="71"/>
        <v>733.33333333333326</v>
      </c>
      <c r="E627">
        <f t="shared" ref="E627:E690" si="75">((D627^2)+(D627*D628)+(D628^2))*B628/3</f>
        <v>0</v>
      </c>
      <c r="G627">
        <v>577</v>
      </c>
      <c r="H627" s="13">
        <f t="shared" si="72"/>
        <v>-1.0275684203264746E-2</v>
      </c>
      <c r="I627">
        <f t="shared" si="73"/>
        <v>165.99034302664865</v>
      </c>
      <c r="J627">
        <f t="shared" ref="J627:J690" si="76">IF($G$28&lt;$C$14,0,((($C$11^2)-((I627-$C$13)^2))^0.5)+$C$16)</f>
        <v>719.91573515627385</v>
      </c>
      <c r="K627" s="27">
        <f t="shared" ref="K627:K690" si="77">((J627^2)+(J627*J628)+(J628^2))*H628/3</f>
        <v>-5325.4728034207183</v>
      </c>
    </row>
    <row r="628" spans="1:11" x14ac:dyDescent="0.25">
      <c r="A628" s="26">
        <v>578</v>
      </c>
      <c r="B628" s="82">
        <f t="shared" ref="B628:B691" si="78">C628-C627</f>
        <v>0</v>
      </c>
      <c r="C628" s="58">
        <f t="shared" si="74"/>
        <v>171.9194128119324</v>
      </c>
      <c r="D628" s="83">
        <f t="shared" ref="D628:D691" si="79">IF($G$28&lt;$C$14,0,((($C$11^2)-((C628-$C$13)^2))^0.5)+$C$16)</f>
        <v>733.33333333333326</v>
      </c>
      <c r="E628">
        <f t="shared" si="75"/>
        <v>0</v>
      </c>
      <c r="G628">
        <v>578</v>
      </c>
      <c r="H628" s="13">
        <f t="shared" ref="H628:H691" si="80">I628-I627</f>
        <v>-1.0275684203264746E-2</v>
      </c>
      <c r="I628">
        <f t="shared" ref="I628:I691" si="81">($G$27-$C$14)/2000+I627</f>
        <v>165.98006734244538</v>
      </c>
      <c r="J628">
        <f t="shared" si="76"/>
        <v>719.88936220533174</v>
      </c>
      <c r="K628" s="27">
        <f t="shared" si="77"/>
        <v>-5325.0825242268484</v>
      </c>
    </row>
    <row r="629" spans="1:11" x14ac:dyDescent="0.25">
      <c r="A629" s="26">
        <v>579</v>
      </c>
      <c r="B629" s="82">
        <f t="shared" si="78"/>
        <v>0</v>
      </c>
      <c r="C629" s="58">
        <f t="shared" si="74"/>
        <v>171.9194128119324</v>
      </c>
      <c r="D629" s="83">
        <f t="shared" si="79"/>
        <v>733.33333333333326</v>
      </c>
      <c r="E629">
        <f t="shared" si="75"/>
        <v>0</v>
      </c>
      <c r="G629">
        <v>579</v>
      </c>
      <c r="H629" s="13">
        <f t="shared" si="80"/>
        <v>-1.0275684203264746E-2</v>
      </c>
      <c r="I629">
        <f t="shared" si="81"/>
        <v>165.96979165824212</v>
      </c>
      <c r="J629">
        <f t="shared" si="76"/>
        <v>719.8629758717916</v>
      </c>
      <c r="K629" s="27">
        <f t="shared" si="77"/>
        <v>-5324.6920612226322</v>
      </c>
    </row>
    <row r="630" spans="1:11" x14ac:dyDescent="0.25">
      <c r="A630" s="26">
        <v>580</v>
      </c>
      <c r="B630" s="82">
        <f t="shared" si="78"/>
        <v>0</v>
      </c>
      <c r="C630" s="58">
        <f t="shared" si="74"/>
        <v>171.9194128119324</v>
      </c>
      <c r="D630" s="83">
        <f t="shared" si="79"/>
        <v>733.33333333333326</v>
      </c>
      <c r="E630">
        <f t="shared" si="75"/>
        <v>0</v>
      </c>
      <c r="G630">
        <v>580</v>
      </c>
      <c r="H630" s="13">
        <f t="shared" si="80"/>
        <v>-1.0275684203264746E-2</v>
      </c>
      <c r="I630">
        <f t="shared" si="81"/>
        <v>165.95951597403885</v>
      </c>
      <c r="J630">
        <f t="shared" si="76"/>
        <v>719.83657613794946</v>
      </c>
      <c r="K630" s="27">
        <f t="shared" si="77"/>
        <v>-5324.3014141676613</v>
      </c>
    </row>
    <row r="631" spans="1:11" x14ac:dyDescent="0.25">
      <c r="A631" s="26">
        <v>581</v>
      </c>
      <c r="B631" s="82">
        <f t="shared" si="78"/>
        <v>0</v>
      </c>
      <c r="C631" s="58">
        <f t="shared" si="74"/>
        <v>171.9194128119324</v>
      </c>
      <c r="D631" s="83">
        <f t="shared" si="79"/>
        <v>733.33333333333326</v>
      </c>
      <c r="E631">
        <f t="shared" si="75"/>
        <v>0</v>
      </c>
      <c r="G631">
        <v>581</v>
      </c>
      <c r="H631" s="13">
        <f t="shared" si="80"/>
        <v>-1.0275684203264746E-2</v>
      </c>
      <c r="I631">
        <f t="shared" si="81"/>
        <v>165.94924028983559</v>
      </c>
      <c r="J631">
        <f t="shared" si="76"/>
        <v>719.81016298606096</v>
      </c>
      <c r="K631" s="27">
        <f t="shared" si="77"/>
        <v>-5323.9105828209786</v>
      </c>
    </row>
    <row r="632" spans="1:11" x14ac:dyDescent="0.25">
      <c r="A632" s="26">
        <v>582</v>
      </c>
      <c r="B632" s="82">
        <f t="shared" si="78"/>
        <v>0</v>
      </c>
      <c r="C632" s="58">
        <f t="shared" si="74"/>
        <v>171.9194128119324</v>
      </c>
      <c r="D632" s="83">
        <f t="shared" si="79"/>
        <v>733.33333333333326</v>
      </c>
      <c r="E632">
        <f t="shared" si="75"/>
        <v>0</v>
      </c>
      <c r="G632">
        <v>582</v>
      </c>
      <c r="H632" s="13">
        <f t="shared" si="80"/>
        <v>-1.0275684203264746E-2</v>
      </c>
      <c r="I632">
        <f t="shared" si="81"/>
        <v>165.93896460563232</v>
      </c>
      <c r="J632">
        <f t="shared" si="76"/>
        <v>719.78373639834126</v>
      </c>
      <c r="K632" s="27">
        <f t="shared" si="77"/>
        <v>-5323.5195669410778</v>
      </c>
    </row>
    <row r="633" spans="1:11" x14ac:dyDescent="0.25">
      <c r="A633" s="26">
        <v>583</v>
      </c>
      <c r="B633" s="82">
        <f t="shared" si="78"/>
        <v>0</v>
      </c>
      <c r="C633" s="58">
        <f t="shared" si="74"/>
        <v>171.9194128119324</v>
      </c>
      <c r="D633" s="83">
        <f t="shared" si="79"/>
        <v>733.33333333333326</v>
      </c>
      <c r="E633">
        <f t="shared" si="75"/>
        <v>0</v>
      </c>
      <c r="G633">
        <v>583</v>
      </c>
      <c r="H633" s="13">
        <f t="shared" si="80"/>
        <v>-1.0275684203264746E-2</v>
      </c>
      <c r="I633">
        <f t="shared" si="81"/>
        <v>165.92868892142906</v>
      </c>
      <c r="J633">
        <f t="shared" si="76"/>
        <v>719.75729635696518</v>
      </c>
      <c r="K633" s="27">
        <f t="shared" si="77"/>
        <v>-5323.128366285905</v>
      </c>
    </row>
    <row r="634" spans="1:11" x14ac:dyDescent="0.25">
      <c r="A634" s="26">
        <v>584</v>
      </c>
      <c r="B634" s="82">
        <f t="shared" si="78"/>
        <v>0</v>
      </c>
      <c r="C634" s="58">
        <f t="shared" si="74"/>
        <v>171.9194128119324</v>
      </c>
      <c r="D634" s="83">
        <f t="shared" si="79"/>
        <v>733.33333333333326</v>
      </c>
      <c r="E634">
        <f t="shared" si="75"/>
        <v>0</v>
      </c>
      <c r="G634">
        <v>584</v>
      </c>
      <c r="H634" s="13">
        <f t="shared" si="80"/>
        <v>-1.0275684203264746E-2</v>
      </c>
      <c r="I634">
        <f t="shared" si="81"/>
        <v>165.91841323722579</v>
      </c>
      <c r="J634">
        <f t="shared" si="76"/>
        <v>719.73084284406673</v>
      </c>
      <c r="K634" s="27">
        <f t="shared" si="77"/>
        <v>-5322.7369806128499</v>
      </c>
    </row>
    <row r="635" spans="1:11" x14ac:dyDescent="0.25">
      <c r="A635" s="26">
        <v>585</v>
      </c>
      <c r="B635" s="82">
        <f t="shared" si="78"/>
        <v>0</v>
      </c>
      <c r="C635" s="58">
        <f t="shared" si="74"/>
        <v>171.9194128119324</v>
      </c>
      <c r="D635" s="83">
        <f t="shared" si="79"/>
        <v>733.33333333333326</v>
      </c>
      <c r="E635">
        <f t="shared" si="75"/>
        <v>0</v>
      </c>
      <c r="G635">
        <v>585</v>
      </c>
      <c r="H635" s="13">
        <f t="shared" si="80"/>
        <v>-1.0275684203264746E-2</v>
      </c>
      <c r="I635">
        <f t="shared" si="81"/>
        <v>165.90813755302253</v>
      </c>
      <c r="J635">
        <f t="shared" si="76"/>
        <v>719.70437584173919</v>
      </c>
      <c r="K635" s="27">
        <f t="shared" si="77"/>
        <v>-5322.3454096787518</v>
      </c>
    </row>
    <row r="636" spans="1:11" x14ac:dyDescent="0.25">
      <c r="A636" s="26">
        <v>586</v>
      </c>
      <c r="B636" s="82">
        <f t="shared" si="78"/>
        <v>0</v>
      </c>
      <c r="C636" s="58">
        <f t="shared" si="74"/>
        <v>171.9194128119324</v>
      </c>
      <c r="D636" s="83">
        <f t="shared" si="79"/>
        <v>733.33333333333326</v>
      </c>
      <c r="E636">
        <f t="shared" si="75"/>
        <v>0</v>
      </c>
      <c r="G636">
        <v>586</v>
      </c>
      <c r="H636" s="13">
        <f t="shared" si="80"/>
        <v>-1.0275684203264746E-2</v>
      </c>
      <c r="I636">
        <f t="shared" si="81"/>
        <v>165.89786186881926</v>
      </c>
      <c r="J636">
        <f t="shared" si="76"/>
        <v>719.67789533203518</v>
      </c>
      <c r="K636" s="27">
        <f t="shared" si="77"/>
        <v>-5321.9536532398934</v>
      </c>
    </row>
    <row r="637" spans="1:11" x14ac:dyDescent="0.25">
      <c r="A637" s="26">
        <v>587</v>
      </c>
      <c r="B637" s="82">
        <f t="shared" si="78"/>
        <v>0</v>
      </c>
      <c r="C637" s="58">
        <f t="shared" si="74"/>
        <v>171.9194128119324</v>
      </c>
      <c r="D637" s="83">
        <f t="shared" si="79"/>
        <v>733.33333333333326</v>
      </c>
      <c r="E637">
        <f t="shared" si="75"/>
        <v>0</v>
      </c>
      <c r="G637">
        <v>587</v>
      </c>
      <c r="H637" s="13">
        <f t="shared" si="80"/>
        <v>-1.0275684203264746E-2</v>
      </c>
      <c r="I637">
        <f t="shared" si="81"/>
        <v>165.887586184616</v>
      </c>
      <c r="J637">
        <f t="shared" si="76"/>
        <v>719.6514012969659</v>
      </c>
      <c r="K637" s="27">
        <f t="shared" si="77"/>
        <v>-5321.5617110519997</v>
      </c>
    </row>
    <row r="638" spans="1:11" x14ac:dyDescent="0.25">
      <c r="A638" s="26">
        <v>588</v>
      </c>
      <c r="B638" s="82">
        <f t="shared" si="78"/>
        <v>0</v>
      </c>
      <c r="C638" s="58">
        <f t="shared" si="74"/>
        <v>171.9194128119324</v>
      </c>
      <c r="D638" s="83">
        <f t="shared" si="79"/>
        <v>733.33333333333326</v>
      </c>
      <c r="E638">
        <f t="shared" si="75"/>
        <v>0</v>
      </c>
      <c r="G638">
        <v>588</v>
      </c>
      <c r="H638" s="13">
        <f t="shared" si="80"/>
        <v>-1.0275684203264746E-2</v>
      </c>
      <c r="I638">
        <f t="shared" si="81"/>
        <v>165.87731050041273</v>
      </c>
      <c r="J638">
        <f t="shared" si="76"/>
        <v>719.62489371850165</v>
      </c>
      <c r="K638" s="27">
        <f t="shared" si="77"/>
        <v>-5321.169582870235</v>
      </c>
    </row>
    <row r="639" spans="1:11" x14ac:dyDescent="0.25">
      <c r="A639" s="26">
        <v>589</v>
      </c>
      <c r="B639" s="82">
        <f t="shared" si="78"/>
        <v>0</v>
      </c>
      <c r="C639" s="58">
        <f t="shared" si="74"/>
        <v>171.9194128119324</v>
      </c>
      <c r="D639" s="83">
        <f t="shared" si="79"/>
        <v>733.33333333333326</v>
      </c>
      <c r="E639">
        <f t="shared" si="75"/>
        <v>0</v>
      </c>
      <c r="G639">
        <v>589</v>
      </c>
      <c r="H639" s="13">
        <f t="shared" si="80"/>
        <v>-1.0275684203264746E-2</v>
      </c>
      <c r="I639">
        <f t="shared" si="81"/>
        <v>165.86703481620947</v>
      </c>
      <c r="J639">
        <f t="shared" si="76"/>
        <v>719.59837257857123</v>
      </c>
      <c r="K639" s="27">
        <f t="shared" si="77"/>
        <v>-5320.7772684492038</v>
      </c>
    </row>
    <row r="640" spans="1:11" x14ac:dyDescent="0.25">
      <c r="A640" s="26">
        <v>590</v>
      </c>
      <c r="B640" s="82">
        <f t="shared" si="78"/>
        <v>0</v>
      </c>
      <c r="C640" s="58">
        <f t="shared" si="74"/>
        <v>171.9194128119324</v>
      </c>
      <c r="D640" s="83">
        <f t="shared" si="79"/>
        <v>733.33333333333326</v>
      </c>
      <c r="E640">
        <f t="shared" si="75"/>
        <v>0</v>
      </c>
      <c r="G640">
        <v>590</v>
      </c>
      <c r="H640" s="13">
        <f t="shared" si="80"/>
        <v>-1.0275684203264746E-2</v>
      </c>
      <c r="I640">
        <f t="shared" si="81"/>
        <v>165.8567591320062</v>
      </c>
      <c r="J640">
        <f t="shared" si="76"/>
        <v>719.57183785906216</v>
      </c>
      <c r="K640" s="27">
        <f t="shared" si="77"/>
        <v>-5320.3847675429488</v>
      </c>
    </row>
    <row r="641" spans="1:11" x14ac:dyDescent="0.25">
      <c r="A641" s="26">
        <v>591</v>
      </c>
      <c r="B641" s="82">
        <f t="shared" si="78"/>
        <v>0</v>
      </c>
      <c r="C641" s="58">
        <f t="shared" si="74"/>
        <v>171.9194128119324</v>
      </c>
      <c r="D641" s="83">
        <f t="shared" si="79"/>
        <v>733.33333333333326</v>
      </c>
      <c r="E641">
        <f t="shared" si="75"/>
        <v>0</v>
      </c>
      <c r="G641">
        <v>591</v>
      </c>
      <c r="H641" s="13">
        <f t="shared" si="80"/>
        <v>-1.0275684203264746E-2</v>
      </c>
      <c r="I641">
        <f t="shared" si="81"/>
        <v>165.84648344780294</v>
      </c>
      <c r="J641">
        <f t="shared" si="76"/>
        <v>719.54528954182047</v>
      </c>
      <c r="K641" s="27">
        <f t="shared" si="77"/>
        <v>-5319.992079904946</v>
      </c>
    </row>
    <row r="642" spans="1:11" x14ac:dyDescent="0.25">
      <c r="A642" s="26">
        <v>592</v>
      </c>
      <c r="B642" s="82">
        <f t="shared" si="78"/>
        <v>0</v>
      </c>
      <c r="C642" s="58">
        <f t="shared" si="74"/>
        <v>171.9194128119324</v>
      </c>
      <c r="D642" s="83">
        <f t="shared" si="79"/>
        <v>733.33333333333326</v>
      </c>
      <c r="E642">
        <f t="shared" si="75"/>
        <v>0</v>
      </c>
      <c r="G642">
        <v>592</v>
      </c>
      <c r="H642" s="13">
        <f t="shared" si="80"/>
        <v>-1.0275684203264746E-2</v>
      </c>
      <c r="I642">
        <f t="shared" si="81"/>
        <v>165.83620776359967</v>
      </c>
      <c r="J642">
        <f t="shared" si="76"/>
        <v>719.51872760865012</v>
      </c>
      <c r="K642" s="27">
        <f t="shared" si="77"/>
        <v>-5319.5992052881065</v>
      </c>
    </row>
    <row r="643" spans="1:11" x14ac:dyDescent="0.25">
      <c r="A643" s="26">
        <v>593</v>
      </c>
      <c r="B643" s="82">
        <f t="shared" si="78"/>
        <v>0</v>
      </c>
      <c r="C643" s="58">
        <f t="shared" si="74"/>
        <v>171.9194128119324</v>
      </c>
      <c r="D643" s="83">
        <f t="shared" si="79"/>
        <v>733.33333333333326</v>
      </c>
      <c r="E643">
        <f t="shared" si="75"/>
        <v>0</v>
      </c>
      <c r="G643">
        <v>593</v>
      </c>
      <c r="H643" s="13">
        <f t="shared" si="80"/>
        <v>-1.0275684203264746E-2</v>
      </c>
      <c r="I643">
        <f t="shared" si="81"/>
        <v>165.82593207939641</v>
      </c>
      <c r="J643">
        <f t="shared" si="76"/>
        <v>719.49215204131372</v>
      </c>
      <c r="K643" s="27">
        <f t="shared" si="77"/>
        <v>-5319.2061434447705</v>
      </c>
    </row>
    <row r="644" spans="1:11" x14ac:dyDescent="0.25">
      <c r="A644" s="26">
        <v>594</v>
      </c>
      <c r="B644" s="82">
        <f t="shared" si="78"/>
        <v>0</v>
      </c>
      <c r="C644" s="58">
        <f t="shared" si="74"/>
        <v>171.9194128119324</v>
      </c>
      <c r="D644" s="83">
        <f t="shared" si="79"/>
        <v>733.33333333333326</v>
      </c>
      <c r="E644">
        <f t="shared" si="75"/>
        <v>0</v>
      </c>
      <c r="G644">
        <v>594</v>
      </c>
      <c r="H644" s="13">
        <f t="shared" si="80"/>
        <v>-1.0275684203264746E-2</v>
      </c>
      <c r="I644">
        <f t="shared" si="81"/>
        <v>165.81565639519314</v>
      </c>
      <c r="J644">
        <f t="shared" si="76"/>
        <v>719.46556282153142</v>
      </c>
      <c r="K644" s="27">
        <f t="shared" si="77"/>
        <v>-5318.8128941267105</v>
      </c>
    </row>
    <row r="645" spans="1:11" x14ac:dyDescent="0.25">
      <c r="A645" s="26">
        <v>595</v>
      </c>
      <c r="B645" s="82">
        <f t="shared" si="78"/>
        <v>0</v>
      </c>
      <c r="C645" s="58">
        <f t="shared" si="74"/>
        <v>171.9194128119324</v>
      </c>
      <c r="D645" s="83">
        <f t="shared" si="79"/>
        <v>733.33333333333326</v>
      </c>
      <c r="E645">
        <f t="shared" si="75"/>
        <v>0</v>
      </c>
      <c r="G645">
        <v>595</v>
      </c>
      <c r="H645" s="13">
        <f t="shared" si="80"/>
        <v>-1.0275684203264746E-2</v>
      </c>
      <c r="I645">
        <f t="shared" si="81"/>
        <v>165.80538071098988</v>
      </c>
      <c r="J645">
        <f t="shared" si="76"/>
        <v>719.4389599309817</v>
      </c>
      <c r="K645" s="27">
        <f t="shared" si="77"/>
        <v>-5318.4194570851259</v>
      </c>
    </row>
    <row r="646" spans="1:11" x14ac:dyDescent="0.25">
      <c r="A646" s="26">
        <v>596</v>
      </c>
      <c r="B646" s="82">
        <f t="shared" si="78"/>
        <v>0</v>
      </c>
      <c r="C646" s="58">
        <f t="shared" si="74"/>
        <v>171.9194128119324</v>
      </c>
      <c r="D646" s="83">
        <f t="shared" si="79"/>
        <v>733.33333333333326</v>
      </c>
      <c r="E646">
        <f t="shared" si="75"/>
        <v>0</v>
      </c>
      <c r="G646">
        <v>596</v>
      </c>
      <c r="H646" s="13">
        <f t="shared" si="80"/>
        <v>-1.0275684203264746E-2</v>
      </c>
      <c r="I646">
        <f t="shared" si="81"/>
        <v>165.79510502678662</v>
      </c>
      <c r="J646">
        <f t="shared" si="76"/>
        <v>719.41234335130048</v>
      </c>
      <c r="K646" s="27">
        <f t="shared" si="77"/>
        <v>-5318.0258320706416</v>
      </c>
    </row>
    <row r="647" spans="1:11" x14ac:dyDescent="0.25">
      <c r="A647" s="26">
        <v>597</v>
      </c>
      <c r="B647" s="82">
        <f t="shared" si="78"/>
        <v>0</v>
      </c>
      <c r="C647" s="58">
        <f t="shared" si="74"/>
        <v>171.9194128119324</v>
      </c>
      <c r="D647" s="83">
        <f t="shared" si="79"/>
        <v>733.33333333333326</v>
      </c>
      <c r="E647">
        <f t="shared" si="75"/>
        <v>0</v>
      </c>
      <c r="G647">
        <v>597</v>
      </c>
      <c r="H647" s="13">
        <f t="shared" si="80"/>
        <v>-1.0275684203264746E-2</v>
      </c>
      <c r="I647">
        <f t="shared" si="81"/>
        <v>165.78482934258335</v>
      </c>
      <c r="J647">
        <f t="shared" si="76"/>
        <v>719.38571306408153</v>
      </c>
      <c r="K647" s="27">
        <f t="shared" si="77"/>
        <v>-5317.6320188333093</v>
      </c>
    </row>
    <row r="648" spans="1:11" x14ac:dyDescent="0.25">
      <c r="A648" s="26">
        <v>598</v>
      </c>
      <c r="B648" s="82">
        <f t="shared" si="78"/>
        <v>0</v>
      </c>
      <c r="C648" s="58">
        <f t="shared" si="74"/>
        <v>171.9194128119324</v>
      </c>
      <c r="D648" s="83">
        <f t="shared" si="79"/>
        <v>733.33333333333326</v>
      </c>
      <c r="E648">
        <f t="shared" si="75"/>
        <v>0</v>
      </c>
      <c r="G648">
        <v>598</v>
      </c>
      <c r="H648" s="13">
        <f t="shared" si="80"/>
        <v>-1.0275684203264746E-2</v>
      </c>
      <c r="I648">
        <f t="shared" si="81"/>
        <v>165.77455365838009</v>
      </c>
      <c r="J648">
        <f t="shared" si="76"/>
        <v>719.35906905087586</v>
      </c>
      <c r="K648" s="27">
        <f t="shared" si="77"/>
        <v>-5317.2380171225986</v>
      </c>
    </row>
    <row r="649" spans="1:11" x14ac:dyDescent="0.25">
      <c r="A649" s="26">
        <v>599</v>
      </c>
      <c r="B649" s="82">
        <f t="shared" si="78"/>
        <v>0</v>
      </c>
      <c r="C649" s="58">
        <f t="shared" si="74"/>
        <v>171.9194128119324</v>
      </c>
      <c r="D649" s="83">
        <f t="shared" si="79"/>
        <v>733.33333333333326</v>
      </c>
      <c r="E649">
        <f t="shared" si="75"/>
        <v>0</v>
      </c>
      <c r="G649">
        <v>599</v>
      </c>
      <c r="H649" s="13">
        <f t="shared" si="80"/>
        <v>-1.0275684203264746E-2</v>
      </c>
      <c r="I649">
        <f t="shared" si="81"/>
        <v>165.76427797417682</v>
      </c>
      <c r="J649">
        <f t="shared" si="76"/>
        <v>719.33241129319208</v>
      </c>
      <c r="K649" s="27">
        <f t="shared" si="77"/>
        <v>-5316.8438266874055</v>
      </c>
    </row>
    <row r="650" spans="1:11" x14ac:dyDescent="0.25">
      <c r="A650" s="26">
        <v>600</v>
      </c>
      <c r="B650" s="82">
        <f t="shared" si="78"/>
        <v>0</v>
      </c>
      <c r="C650" s="58">
        <f t="shared" si="74"/>
        <v>171.9194128119324</v>
      </c>
      <c r="D650" s="83">
        <f t="shared" si="79"/>
        <v>733.33333333333326</v>
      </c>
      <c r="E650">
        <f t="shared" si="75"/>
        <v>0</v>
      </c>
      <c r="G650">
        <v>600</v>
      </c>
      <c r="H650" s="13">
        <f t="shared" si="80"/>
        <v>-1.0275684203264746E-2</v>
      </c>
      <c r="I650">
        <f t="shared" si="81"/>
        <v>165.75400228997356</v>
      </c>
      <c r="J650">
        <f t="shared" si="76"/>
        <v>719.30573977249583</v>
      </c>
      <c r="K650" s="27">
        <f t="shared" si="77"/>
        <v>-5316.4494472760389</v>
      </c>
    </row>
    <row r="651" spans="1:11" x14ac:dyDescent="0.25">
      <c r="A651" s="26">
        <v>601</v>
      </c>
      <c r="B651" s="82">
        <f t="shared" si="78"/>
        <v>0</v>
      </c>
      <c r="C651" s="58">
        <f t="shared" si="74"/>
        <v>171.9194128119324</v>
      </c>
      <c r="D651" s="83">
        <f t="shared" si="79"/>
        <v>733.33333333333326</v>
      </c>
      <c r="E651">
        <f t="shared" si="75"/>
        <v>0</v>
      </c>
      <c r="G651">
        <v>601</v>
      </c>
      <c r="H651" s="13">
        <f t="shared" si="80"/>
        <v>-1.0275684203264746E-2</v>
      </c>
      <c r="I651">
        <f t="shared" si="81"/>
        <v>165.74372660577029</v>
      </c>
      <c r="J651">
        <f t="shared" si="76"/>
        <v>719.27905447020987</v>
      </c>
      <c r="K651" s="27">
        <f t="shared" si="77"/>
        <v>-5316.0548786362278</v>
      </c>
    </row>
    <row r="652" spans="1:11" x14ac:dyDescent="0.25">
      <c r="A652" s="26">
        <v>602</v>
      </c>
      <c r="B652" s="82">
        <f t="shared" si="78"/>
        <v>0</v>
      </c>
      <c r="C652" s="58">
        <f t="shared" si="74"/>
        <v>171.9194128119324</v>
      </c>
      <c r="D652" s="83">
        <f t="shared" si="79"/>
        <v>733.33333333333326</v>
      </c>
      <c r="E652">
        <f t="shared" si="75"/>
        <v>0</v>
      </c>
      <c r="G652">
        <v>602</v>
      </c>
      <c r="H652" s="13">
        <f t="shared" si="80"/>
        <v>-1.0275684203264746E-2</v>
      </c>
      <c r="I652">
        <f t="shared" si="81"/>
        <v>165.73345092156703</v>
      </c>
      <c r="J652">
        <f t="shared" si="76"/>
        <v>719.2523553677139</v>
      </c>
      <c r="K652" s="27">
        <f t="shared" si="77"/>
        <v>-5315.6601205151137</v>
      </c>
    </row>
    <row r="653" spans="1:11" x14ac:dyDescent="0.25">
      <c r="A653" s="26">
        <v>603</v>
      </c>
      <c r="B653" s="82">
        <f t="shared" si="78"/>
        <v>0</v>
      </c>
      <c r="C653" s="58">
        <f t="shared" si="74"/>
        <v>171.9194128119324</v>
      </c>
      <c r="D653" s="83">
        <f t="shared" si="79"/>
        <v>733.33333333333326</v>
      </c>
      <c r="E653">
        <f t="shared" si="75"/>
        <v>0</v>
      </c>
      <c r="G653">
        <v>603</v>
      </c>
      <c r="H653" s="13">
        <f t="shared" si="80"/>
        <v>-1.0275684203264746E-2</v>
      </c>
      <c r="I653">
        <f t="shared" si="81"/>
        <v>165.72317523736376</v>
      </c>
      <c r="J653">
        <f t="shared" si="76"/>
        <v>719.22564244634441</v>
      </c>
      <c r="K653" s="27">
        <f t="shared" si="77"/>
        <v>-5315.265172659253</v>
      </c>
    </row>
    <row r="654" spans="1:11" x14ac:dyDescent="0.25">
      <c r="A654" s="26">
        <v>604</v>
      </c>
      <c r="B654" s="82">
        <f t="shared" si="78"/>
        <v>0</v>
      </c>
      <c r="C654" s="58">
        <f t="shared" si="74"/>
        <v>171.9194128119324</v>
      </c>
      <c r="D654" s="83">
        <f t="shared" si="79"/>
        <v>733.33333333333326</v>
      </c>
      <c r="E654">
        <f t="shared" si="75"/>
        <v>0</v>
      </c>
      <c r="G654">
        <v>604</v>
      </c>
      <c r="H654" s="13">
        <f t="shared" si="80"/>
        <v>-1.0275684203264746E-2</v>
      </c>
      <c r="I654">
        <f t="shared" si="81"/>
        <v>165.7128995531605</v>
      </c>
      <c r="J654">
        <f t="shared" si="76"/>
        <v>719.19891568739445</v>
      </c>
      <c r="K654" s="27">
        <f t="shared" si="77"/>
        <v>-5314.8700348146131</v>
      </c>
    </row>
    <row r="655" spans="1:11" x14ac:dyDescent="0.25">
      <c r="A655" s="26">
        <v>605</v>
      </c>
      <c r="B655" s="82">
        <f t="shared" si="78"/>
        <v>0</v>
      </c>
      <c r="C655" s="58">
        <f t="shared" si="74"/>
        <v>171.9194128119324</v>
      </c>
      <c r="D655" s="83">
        <f t="shared" si="79"/>
        <v>733.33333333333326</v>
      </c>
      <c r="E655">
        <f t="shared" si="75"/>
        <v>0</v>
      </c>
      <c r="G655">
        <v>605</v>
      </c>
      <c r="H655" s="13">
        <f t="shared" si="80"/>
        <v>-1.0275684203264746E-2</v>
      </c>
      <c r="I655">
        <f t="shared" si="81"/>
        <v>165.70262386895723</v>
      </c>
      <c r="J655">
        <f t="shared" si="76"/>
        <v>719.17217507211365</v>
      </c>
      <c r="K655" s="27">
        <f t="shared" si="77"/>
        <v>-5314.4747067265671</v>
      </c>
    </row>
    <row r="656" spans="1:11" x14ac:dyDescent="0.25">
      <c r="A656" s="26">
        <v>606</v>
      </c>
      <c r="B656" s="82">
        <f t="shared" si="78"/>
        <v>0</v>
      </c>
      <c r="C656" s="58">
        <f t="shared" ref="C656:C719" si="82">($C$37-$C$36)/2000+C655</f>
        <v>171.9194128119324</v>
      </c>
      <c r="D656" s="83">
        <f t="shared" si="79"/>
        <v>733.33333333333326</v>
      </c>
      <c r="E656">
        <f t="shared" si="75"/>
        <v>0</v>
      </c>
      <c r="G656">
        <v>606</v>
      </c>
      <c r="H656" s="13">
        <f t="shared" si="80"/>
        <v>-1.0275684203264746E-2</v>
      </c>
      <c r="I656">
        <f t="shared" si="81"/>
        <v>165.69234818475397</v>
      </c>
      <c r="J656">
        <f t="shared" si="76"/>
        <v>719.14542058170787</v>
      </c>
      <c r="K656" s="27">
        <f t="shared" si="77"/>
        <v>-5314.0791881399</v>
      </c>
    </row>
    <row r="657" spans="1:11" x14ac:dyDescent="0.25">
      <c r="A657" s="26">
        <v>607</v>
      </c>
      <c r="B657" s="82">
        <f t="shared" si="78"/>
        <v>0</v>
      </c>
      <c r="C657" s="58">
        <f t="shared" si="82"/>
        <v>171.9194128119324</v>
      </c>
      <c r="D657" s="83">
        <f t="shared" si="79"/>
        <v>733.33333333333326</v>
      </c>
      <c r="E657">
        <f t="shared" si="75"/>
        <v>0</v>
      </c>
      <c r="G657">
        <v>607</v>
      </c>
      <c r="H657" s="13">
        <f t="shared" si="80"/>
        <v>-1.0275684203264746E-2</v>
      </c>
      <c r="I657">
        <f t="shared" si="81"/>
        <v>165.6820725005507</v>
      </c>
      <c r="J657">
        <f t="shared" si="76"/>
        <v>719.11865219733954</v>
      </c>
      <c r="K657" s="27">
        <f t="shared" si="77"/>
        <v>-5313.6834787987982</v>
      </c>
    </row>
    <row r="658" spans="1:11" x14ac:dyDescent="0.25">
      <c r="A658" s="26">
        <v>608</v>
      </c>
      <c r="B658" s="82">
        <f t="shared" si="78"/>
        <v>0</v>
      </c>
      <c r="C658" s="58">
        <f t="shared" si="82"/>
        <v>171.9194128119324</v>
      </c>
      <c r="D658" s="83">
        <f t="shared" si="79"/>
        <v>733.33333333333326</v>
      </c>
      <c r="E658">
        <f t="shared" si="75"/>
        <v>0</v>
      </c>
      <c r="G658">
        <v>608</v>
      </c>
      <c r="H658" s="13">
        <f t="shared" si="80"/>
        <v>-1.0275684203264746E-2</v>
      </c>
      <c r="I658">
        <f t="shared" si="81"/>
        <v>165.67179681634744</v>
      </c>
      <c r="J658">
        <f t="shared" si="76"/>
        <v>719.09186990012677</v>
      </c>
      <c r="K658" s="27">
        <f t="shared" si="77"/>
        <v>-5313.287578446857</v>
      </c>
    </row>
    <row r="659" spans="1:11" x14ac:dyDescent="0.25">
      <c r="A659" s="26">
        <v>609</v>
      </c>
      <c r="B659" s="82">
        <f t="shared" si="78"/>
        <v>0</v>
      </c>
      <c r="C659" s="58">
        <f t="shared" si="82"/>
        <v>171.9194128119324</v>
      </c>
      <c r="D659" s="83">
        <f t="shared" si="79"/>
        <v>733.33333333333326</v>
      </c>
      <c r="E659">
        <f t="shared" si="75"/>
        <v>0</v>
      </c>
      <c r="G659">
        <v>609</v>
      </c>
      <c r="H659" s="13">
        <f t="shared" si="80"/>
        <v>-1.0275684203264746E-2</v>
      </c>
      <c r="I659">
        <f t="shared" si="81"/>
        <v>165.66152113214417</v>
      </c>
      <c r="J659">
        <f t="shared" si="76"/>
        <v>719.06507367114398</v>
      </c>
      <c r="K659" s="27">
        <f t="shared" si="77"/>
        <v>-5312.891486827064</v>
      </c>
    </row>
    <row r="660" spans="1:11" x14ac:dyDescent="0.25">
      <c r="A660" s="26">
        <v>610</v>
      </c>
      <c r="B660" s="82">
        <f t="shared" si="78"/>
        <v>0</v>
      </c>
      <c r="C660" s="58">
        <f t="shared" si="82"/>
        <v>171.9194128119324</v>
      </c>
      <c r="D660" s="83">
        <f t="shared" si="79"/>
        <v>733.33333333333326</v>
      </c>
      <c r="E660">
        <f t="shared" si="75"/>
        <v>0</v>
      </c>
      <c r="G660">
        <v>610</v>
      </c>
      <c r="H660" s="13">
        <f t="shared" si="80"/>
        <v>-1.0275684203264746E-2</v>
      </c>
      <c r="I660">
        <f t="shared" si="81"/>
        <v>165.65124544794091</v>
      </c>
      <c r="J660">
        <f t="shared" si="76"/>
        <v>719.03826349142082</v>
      </c>
      <c r="K660" s="27">
        <f t="shared" si="77"/>
        <v>-5312.4952036818104</v>
      </c>
    </row>
    <row r="661" spans="1:11" x14ac:dyDescent="0.25">
      <c r="A661" s="26">
        <v>611</v>
      </c>
      <c r="B661" s="82">
        <f t="shared" si="78"/>
        <v>0</v>
      </c>
      <c r="C661" s="58">
        <f t="shared" si="82"/>
        <v>171.9194128119324</v>
      </c>
      <c r="D661" s="83">
        <f t="shared" si="79"/>
        <v>733.33333333333326</v>
      </c>
      <c r="E661">
        <f t="shared" si="75"/>
        <v>0</v>
      </c>
      <c r="G661">
        <v>611</v>
      </c>
      <c r="H661" s="13">
        <f t="shared" si="80"/>
        <v>-1.0275684203264746E-2</v>
      </c>
      <c r="I661">
        <f t="shared" si="81"/>
        <v>165.64096976373764</v>
      </c>
      <c r="J661">
        <f t="shared" si="76"/>
        <v>719.01143934194306</v>
      </c>
      <c r="K661" s="27">
        <f t="shared" si="77"/>
        <v>-5312.0987287528887</v>
      </c>
    </row>
    <row r="662" spans="1:11" x14ac:dyDescent="0.25">
      <c r="A662" s="26">
        <v>612</v>
      </c>
      <c r="B662" s="82">
        <f t="shared" si="78"/>
        <v>0</v>
      </c>
      <c r="C662" s="58">
        <f t="shared" si="82"/>
        <v>171.9194128119324</v>
      </c>
      <c r="D662" s="83">
        <f t="shared" si="79"/>
        <v>733.33333333333326</v>
      </c>
      <c r="E662">
        <f t="shared" si="75"/>
        <v>0</v>
      </c>
      <c r="G662">
        <v>612</v>
      </c>
      <c r="H662" s="13">
        <f t="shared" si="80"/>
        <v>-1.0275684203264746E-2</v>
      </c>
      <c r="I662">
        <f t="shared" si="81"/>
        <v>165.63069407953438</v>
      </c>
      <c r="J662">
        <f t="shared" si="76"/>
        <v>718.98460120365189</v>
      </c>
      <c r="K662" s="27">
        <f t="shared" si="77"/>
        <v>-5311.7020617814815</v>
      </c>
    </row>
    <row r="663" spans="1:11" x14ac:dyDescent="0.25">
      <c r="A663" s="26">
        <v>613</v>
      </c>
      <c r="B663" s="82">
        <f t="shared" si="78"/>
        <v>0</v>
      </c>
      <c r="C663" s="58">
        <f t="shared" si="82"/>
        <v>171.9194128119324</v>
      </c>
      <c r="D663" s="83">
        <f t="shared" si="79"/>
        <v>733.33333333333326</v>
      </c>
      <c r="E663">
        <f t="shared" si="75"/>
        <v>0</v>
      </c>
      <c r="G663">
        <v>613</v>
      </c>
      <c r="H663" s="13">
        <f t="shared" si="80"/>
        <v>-1.0275684203264746E-2</v>
      </c>
      <c r="I663">
        <f t="shared" si="81"/>
        <v>165.62041839533111</v>
      </c>
      <c r="J663">
        <f t="shared" si="76"/>
        <v>718.95774905744372</v>
      </c>
      <c r="K663" s="27">
        <f t="shared" si="77"/>
        <v>-5311.3052025081679</v>
      </c>
    </row>
    <row r="664" spans="1:11" x14ac:dyDescent="0.25">
      <c r="A664" s="26">
        <v>614</v>
      </c>
      <c r="B664" s="82">
        <f t="shared" si="78"/>
        <v>0</v>
      </c>
      <c r="C664" s="58">
        <f t="shared" si="82"/>
        <v>171.9194128119324</v>
      </c>
      <c r="D664" s="83">
        <f t="shared" si="79"/>
        <v>733.33333333333326</v>
      </c>
      <c r="E664">
        <f t="shared" si="75"/>
        <v>0</v>
      </c>
      <c r="G664">
        <v>614</v>
      </c>
      <c r="H664" s="13">
        <f t="shared" si="80"/>
        <v>-1.0275684203264746E-2</v>
      </c>
      <c r="I664">
        <f t="shared" si="81"/>
        <v>165.61014271112785</v>
      </c>
      <c r="J664">
        <f t="shared" si="76"/>
        <v>718.93088288417027</v>
      </c>
      <c r="K664" s="27">
        <f t="shared" si="77"/>
        <v>-5310.9081506729162</v>
      </c>
    </row>
    <row r="665" spans="1:11" x14ac:dyDescent="0.25">
      <c r="A665" s="26">
        <v>615</v>
      </c>
      <c r="B665" s="82">
        <f t="shared" si="78"/>
        <v>0</v>
      </c>
      <c r="C665" s="58">
        <f t="shared" si="82"/>
        <v>171.9194128119324</v>
      </c>
      <c r="D665" s="83">
        <f t="shared" si="79"/>
        <v>733.33333333333326</v>
      </c>
      <c r="E665">
        <f t="shared" si="75"/>
        <v>0</v>
      </c>
      <c r="G665">
        <v>615</v>
      </c>
      <c r="H665" s="13">
        <f t="shared" si="80"/>
        <v>-1.0275684203264746E-2</v>
      </c>
      <c r="I665">
        <f t="shared" si="81"/>
        <v>165.59986702692458</v>
      </c>
      <c r="J665">
        <f t="shared" si="76"/>
        <v>718.90400266463826</v>
      </c>
      <c r="K665" s="27">
        <f t="shared" si="77"/>
        <v>-5310.5109060150844</v>
      </c>
    </row>
    <row r="666" spans="1:11" x14ac:dyDescent="0.25">
      <c r="A666" s="26">
        <v>616</v>
      </c>
      <c r="B666" s="82">
        <f t="shared" si="78"/>
        <v>0</v>
      </c>
      <c r="C666" s="58">
        <f t="shared" si="82"/>
        <v>171.9194128119324</v>
      </c>
      <c r="D666" s="83">
        <f t="shared" si="79"/>
        <v>733.33333333333326</v>
      </c>
      <c r="E666">
        <f t="shared" si="75"/>
        <v>0</v>
      </c>
      <c r="G666">
        <v>616</v>
      </c>
      <c r="H666" s="13">
        <f t="shared" si="80"/>
        <v>-1.0275684203264746E-2</v>
      </c>
      <c r="I666">
        <f t="shared" si="81"/>
        <v>165.58959134272132</v>
      </c>
      <c r="J666">
        <f t="shared" si="76"/>
        <v>718.87710837960924</v>
      </c>
      <c r="K666" s="27">
        <f t="shared" si="77"/>
        <v>-5310.1134682734182</v>
      </c>
    </row>
    <row r="667" spans="1:11" x14ac:dyDescent="0.25">
      <c r="A667" s="26">
        <v>617</v>
      </c>
      <c r="B667" s="82">
        <f t="shared" si="78"/>
        <v>0</v>
      </c>
      <c r="C667" s="58">
        <f t="shared" si="82"/>
        <v>171.9194128119324</v>
      </c>
      <c r="D667" s="83">
        <f t="shared" si="79"/>
        <v>733.33333333333326</v>
      </c>
      <c r="E667">
        <f t="shared" si="75"/>
        <v>0</v>
      </c>
      <c r="G667">
        <v>617</v>
      </c>
      <c r="H667" s="13">
        <f t="shared" si="80"/>
        <v>-1.0275684203264746E-2</v>
      </c>
      <c r="I667">
        <f t="shared" si="81"/>
        <v>165.57931565851806</v>
      </c>
      <c r="J667">
        <f t="shared" si="76"/>
        <v>718.85020000979955</v>
      </c>
      <c r="K667" s="27">
        <f t="shared" si="77"/>
        <v>-5309.7158371860469</v>
      </c>
    </row>
    <row r="668" spans="1:11" x14ac:dyDescent="0.25">
      <c r="A668" s="26">
        <v>618</v>
      </c>
      <c r="B668" s="82">
        <f t="shared" si="78"/>
        <v>0</v>
      </c>
      <c r="C668" s="58">
        <f t="shared" si="82"/>
        <v>171.9194128119324</v>
      </c>
      <c r="D668" s="83">
        <f t="shared" si="79"/>
        <v>733.33333333333326</v>
      </c>
      <c r="E668">
        <f t="shared" si="75"/>
        <v>0</v>
      </c>
      <c r="G668">
        <v>618</v>
      </c>
      <c r="H668" s="13">
        <f t="shared" si="80"/>
        <v>-1.0275684203264746E-2</v>
      </c>
      <c r="I668">
        <f t="shared" si="81"/>
        <v>165.56903997431479</v>
      </c>
      <c r="J668">
        <f t="shared" si="76"/>
        <v>718.82327753588038</v>
      </c>
      <c r="K668" s="27">
        <f t="shared" si="77"/>
        <v>-5309.3180124904911</v>
      </c>
    </row>
    <row r="669" spans="1:11" x14ac:dyDescent="0.25">
      <c r="A669" s="26">
        <v>619</v>
      </c>
      <c r="B669" s="82">
        <f t="shared" si="78"/>
        <v>0</v>
      </c>
      <c r="C669" s="58">
        <f t="shared" si="82"/>
        <v>171.9194128119324</v>
      </c>
      <c r="D669" s="83">
        <f t="shared" si="79"/>
        <v>733.33333333333326</v>
      </c>
      <c r="E669">
        <f t="shared" si="75"/>
        <v>0</v>
      </c>
      <c r="G669">
        <v>619</v>
      </c>
      <c r="H669" s="13">
        <f t="shared" si="80"/>
        <v>-1.0275684203264746E-2</v>
      </c>
      <c r="I669">
        <f t="shared" si="81"/>
        <v>165.55876429011153</v>
      </c>
      <c r="J669">
        <f t="shared" si="76"/>
        <v>718.7963409384771</v>
      </c>
      <c r="K669" s="27">
        <f t="shared" si="77"/>
        <v>-5308.9199939236396</v>
      </c>
    </row>
    <row r="670" spans="1:11" x14ac:dyDescent="0.25">
      <c r="A670" s="26">
        <v>620</v>
      </c>
      <c r="B670" s="82">
        <f t="shared" si="78"/>
        <v>0</v>
      </c>
      <c r="C670" s="58">
        <f t="shared" si="82"/>
        <v>171.9194128119324</v>
      </c>
      <c r="D670" s="83">
        <f t="shared" si="79"/>
        <v>733.33333333333326</v>
      </c>
      <c r="E670">
        <f t="shared" si="75"/>
        <v>0</v>
      </c>
      <c r="G670">
        <v>620</v>
      </c>
      <c r="H670" s="13">
        <f t="shared" si="80"/>
        <v>-1.0275684203264746E-2</v>
      </c>
      <c r="I670">
        <f t="shared" si="81"/>
        <v>165.54848860590826</v>
      </c>
      <c r="J670">
        <f t="shared" si="76"/>
        <v>718.76939019816939</v>
      </c>
      <c r="K670" s="27">
        <f t="shared" si="77"/>
        <v>-5308.5217812217716</v>
      </c>
    </row>
    <row r="671" spans="1:11" x14ac:dyDescent="0.25">
      <c r="A671" s="26">
        <v>621</v>
      </c>
      <c r="B671" s="82">
        <f t="shared" si="78"/>
        <v>0</v>
      </c>
      <c r="C671" s="58">
        <f t="shared" si="82"/>
        <v>171.9194128119324</v>
      </c>
      <c r="D671" s="83">
        <f t="shared" si="79"/>
        <v>733.33333333333326</v>
      </c>
      <c r="E671">
        <f t="shared" si="75"/>
        <v>0</v>
      </c>
      <c r="G671">
        <v>621</v>
      </c>
      <c r="H671" s="13">
        <f t="shared" si="80"/>
        <v>-1.0275684203264746E-2</v>
      </c>
      <c r="I671">
        <f t="shared" si="81"/>
        <v>165.538212921705</v>
      </c>
      <c r="J671">
        <f t="shared" si="76"/>
        <v>718.74242529549133</v>
      </c>
      <c r="K671" s="27">
        <f t="shared" si="77"/>
        <v>-5308.123374120536</v>
      </c>
    </row>
    <row r="672" spans="1:11" x14ac:dyDescent="0.25">
      <c r="A672" s="26">
        <v>622</v>
      </c>
      <c r="B672" s="82">
        <f t="shared" si="78"/>
        <v>0</v>
      </c>
      <c r="C672" s="58">
        <f t="shared" si="82"/>
        <v>171.9194128119324</v>
      </c>
      <c r="D672" s="83">
        <f t="shared" si="79"/>
        <v>733.33333333333326</v>
      </c>
      <c r="E672">
        <f t="shared" si="75"/>
        <v>0</v>
      </c>
      <c r="G672">
        <v>622</v>
      </c>
      <c r="H672" s="13">
        <f t="shared" si="80"/>
        <v>-1.0275684203264746E-2</v>
      </c>
      <c r="I672">
        <f t="shared" si="81"/>
        <v>165.52793723750173</v>
      </c>
      <c r="J672">
        <f t="shared" si="76"/>
        <v>718.71544621093062</v>
      </c>
      <c r="K672" s="27">
        <f t="shared" si="77"/>
        <v>-5307.7247723549617</v>
      </c>
    </row>
    <row r="673" spans="1:11" x14ac:dyDescent="0.25">
      <c r="A673" s="26">
        <v>623</v>
      </c>
      <c r="B673" s="82">
        <f t="shared" si="78"/>
        <v>0</v>
      </c>
      <c r="C673" s="58">
        <f t="shared" si="82"/>
        <v>171.9194128119324</v>
      </c>
      <c r="D673" s="83">
        <f t="shared" si="79"/>
        <v>733.33333333333326</v>
      </c>
      <c r="E673">
        <f t="shared" si="75"/>
        <v>0</v>
      </c>
      <c r="G673">
        <v>623</v>
      </c>
      <c r="H673" s="13">
        <f t="shared" si="80"/>
        <v>-1.0275684203264746E-2</v>
      </c>
      <c r="I673">
        <f t="shared" si="81"/>
        <v>165.51766155329847</v>
      </c>
      <c r="J673">
        <f t="shared" si="76"/>
        <v>718.68845292492915</v>
      </c>
      <c r="K673" s="27">
        <f t="shared" si="77"/>
        <v>-5307.3259756594471</v>
      </c>
    </row>
    <row r="674" spans="1:11" x14ac:dyDescent="0.25">
      <c r="A674" s="26">
        <v>624</v>
      </c>
      <c r="B674" s="82">
        <f t="shared" si="78"/>
        <v>0</v>
      </c>
      <c r="C674" s="58">
        <f t="shared" si="82"/>
        <v>171.9194128119324</v>
      </c>
      <c r="D674" s="83">
        <f t="shared" si="79"/>
        <v>733.33333333333326</v>
      </c>
      <c r="E674">
        <f t="shared" si="75"/>
        <v>0</v>
      </c>
      <c r="G674">
        <v>624</v>
      </c>
      <c r="H674" s="13">
        <f t="shared" si="80"/>
        <v>-1.0275684203264746E-2</v>
      </c>
      <c r="I674">
        <f t="shared" si="81"/>
        <v>165.5073858690952</v>
      </c>
      <c r="J674">
        <f t="shared" si="76"/>
        <v>718.66144541788231</v>
      </c>
      <c r="K674" s="27">
        <f t="shared" si="77"/>
        <v>-5306.9269837677648</v>
      </c>
    </row>
    <row r="675" spans="1:11" x14ac:dyDescent="0.25">
      <c r="A675" s="26">
        <v>625</v>
      </c>
      <c r="B675" s="82">
        <f t="shared" si="78"/>
        <v>0</v>
      </c>
      <c r="C675" s="58">
        <f t="shared" si="82"/>
        <v>171.9194128119324</v>
      </c>
      <c r="D675" s="83">
        <f t="shared" si="79"/>
        <v>733.33333333333326</v>
      </c>
      <c r="E675">
        <f t="shared" si="75"/>
        <v>0</v>
      </c>
      <c r="G675">
        <v>625</v>
      </c>
      <c r="H675" s="13">
        <f t="shared" si="80"/>
        <v>-1.0275684203264746E-2</v>
      </c>
      <c r="I675">
        <f t="shared" si="81"/>
        <v>165.49711018489194</v>
      </c>
      <c r="J675">
        <f t="shared" si="76"/>
        <v>718.6344236701392</v>
      </c>
      <c r="K675" s="27">
        <f t="shared" si="77"/>
        <v>-5306.5277964130528</v>
      </c>
    </row>
    <row r="676" spans="1:11" x14ac:dyDescent="0.25">
      <c r="A676" s="26">
        <v>626</v>
      </c>
      <c r="B676" s="82">
        <f t="shared" si="78"/>
        <v>0</v>
      </c>
      <c r="C676" s="58">
        <f t="shared" si="82"/>
        <v>171.9194128119324</v>
      </c>
      <c r="D676" s="83">
        <f t="shared" si="79"/>
        <v>733.33333333333326</v>
      </c>
      <c r="E676">
        <f t="shared" si="75"/>
        <v>0</v>
      </c>
      <c r="G676">
        <v>626</v>
      </c>
      <c r="H676" s="13">
        <f t="shared" si="80"/>
        <v>-1.0275684203264746E-2</v>
      </c>
      <c r="I676">
        <f t="shared" si="81"/>
        <v>165.48683450068867</v>
      </c>
      <c r="J676">
        <f t="shared" si="76"/>
        <v>718.60738766200222</v>
      </c>
      <c r="K676" s="27">
        <f t="shared" si="77"/>
        <v>-5306.1284133278195</v>
      </c>
    </row>
    <row r="677" spans="1:11" x14ac:dyDescent="0.25">
      <c r="A677" s="26">
        <v>627</v>
      </c>
      <c r="B677" s="82">
        <f t="shared" si="78"/>
        <v>0</v>
      </c>
      <c r="C677" s="58">
        <f t="shared" si="82"/>
        <v>171.9194128119324</v>
      </c>
      <c r="D677" s="83">
        <f t="shared" si="79"/>
        <v>733.33333333333326</v>
      </c>
      <c r="E677">
        <f t="shared" si="75"/>
        <v>0</v>
      </c>
      <c r="G677">
        <v>627</v>
      </c>
      <c r="H677" s="13">
        <f t="shared" si="80"/>
        <v>-1.0275684203264746E-2</v>
      </c>
      <c r="I677">
        <f t="shared" si="81"/>
        <v>165.47655881648541</v>
      </c>
      <c r="J677">
        <f t="shared" si="76"/>
        <v>718.58033737372682</v>
      </c>
      <c r="K677" s="27">
        <f t="shared" si="77"/>
        <v>-5305.7288342439342</v>
      </c>
    </row>
    <row r="678" spans="1:11" x14ac:dyDescent="0.25">
      <c r="A678" s="26">
        <v>628</v>
      </c>
      <c r="B678" s="82">
        <f t="shared" si="78"/>
        <v>0</v>
      </c>
      <c r="C678" s="58">
        <f t="shared" si="82"/>
        <v>171.9194128119324</v>
      </c>
      <c r="D678" s="83">
        <f t="shared" si="79"/>
        <v>733.33333333333326</v>
      </c>
      <c r="E678">
        <f t="shared" si="75"/>
        <v>0</v>
      </c>
      <c r="G678">
        <v>628</v>
      </c>
      <c r="H678" s="13">
        <f t="shared" si="80"/>
        <v>-1.0275684203264746E-2</v>
      </c>
      <c r="I678">
        <f t="shared" si="81"/>
        <v>165.46628313228214</v>
      </c>
      <c r="J678">
        <f t="shared" si="76"/>
        <v>718.55327278552193</v>
      </c>
      <c r="K678" s="27">
        <f t="shared" si="77"/>
        <v>-5305.3290588926293</v>
      </c>
    </row>
    <row r="679" spans="1:11" x14ac:dyDescent="0.25">
      <c r="A679" s="26">
        <v>629</v>
      </c>
      <c r="B679" s="82">
        <f t="shared" si="78"/>
        <v>0</v>
      </c>
      <c r="C679" s="58">
        <f t="shared" si="82"/>
        <v>171.9194128119324</v>
      </c>
      <c r="D679" s="83">
        <f t="shared" si="79"/>
        <v>733.33333333333326</v>
      </c>
      <c r="E679">
        <f t="shared" si="75"/>
        <v>0</v>
      </c>
      <c r="G679">
        <v>629</v>
      </c>
      <c r="H679" s="13">
        <f t="shared" si="80"/>
        <v>-1.0275684203264746E-2</v>
      </c>
      <c r="I679">
        <f t="shared" si="81"/>
        <v>165.45600744807888</v>
      </c>
      <c r="J679">
        <f t="shared" si="76"/>
        <v>718.52619387754896</v>
      </c>
      <c r="K679" s="27">
        <f t="shared" si="77"/>
        <v>-5304.9290870045006</v>
      </c>
    </row>
    <row r="680" spans="1:11" x14ac:dyDescent="0.25">
      <c r="A680" s="26">
        <v>630</v>
      </c>
      <c r="B680" s="82">
        <f t="shared" si="78"/>
        <v>0</v>
      </c>
      <c r="C680" s="58">
        <f t="shared" si="82"/>
        <v>171.9194128119324</v>
      </c>
      <c r="D680" s="83">
        <f t="shared" si="79"/>
        <v>733.33333333333326</v>
      </c>
      <c r="E680">
        <f t="shared" si="75"/>
        <v>0</v>
      </c>
      <c r="G680">
        <v>630</v>
      </c>
      <c r="H680" s="13">
        <f t="shared" si="80"/>
        <v>-1.0275684203264746E-2</v>
      </c>
      <c r="I680">
        <f t="shared" si="81"/>
        <v>165.44573176387561</v>
      </c>
      <c r="J680">
        <f t="shared" si="76"/>
        <v>718.4991006299224</v>
      </c>
      <c r="K680" s="27">
        <f t="shared" si="77"/>
        <v>-5304.5289183094992</v>
      </c>
    </row>
    <row r="681" spans="1:11" x14ac:dyDescent="0.25">
      <c r="A681" s="26">
        <v>631</v>
      </c>
      <c r="B681" s="82">
        <f t="shared" si="78"/>
        <v>0</v>
      </c>
      <c r="C681" s="58">
        <f t="shared" si="82"/>
        <v>171.9194128119324</v>
      </c>
      <c r="D681" s="83">
        <f t="shared" si="79"/>
        <v>733.33333333333326</v>
      </c>
      <c r="E681">
        <f t="shared" si="75"/>
        <v>0</v>
      </c>
      <c r="G681">
        <v>631</v>
      </c>
      <c r="H681" s="13">
        <f t="shared" si="80"/>
        <v>-1.0275684203264746E-2</v>
      </c>
      <c r="I681">
        <f t="shared" si="81"/>
        <v>165.43545607967235</v>
      </c>
      <c r="J681">
        <f t="shared" si="76"/>
        <v>718.47199302270917</v>
      </c>
      <c r="K681" s="27">
        <f t="shared" si="77"/>
        <v>-5304.1285525369321</v>
      </c>
    </row>
    <row r="682" spans="1:11" x14ac:dyDescent="0.25">
      <c r="A682" s="26">
        <v>632</v>
      </c>
      <c r="B682" s="82">
        <f t="shared" si="78"/>
        <v>0</v>
      </c>
      <c r="C682" s="58">
        <f t="shared" si="82"/>
        <v>171.9194128119324</v>
      </c>
      <c r="D682" s="83">
        <f t="shared" si="79"/>
        <v>733.33333333333326</v>
      </c>
      <c r="E682">
        <f t="shared" si="75"/>
        <v>0</v>
      </c>
      <c r="G682">
        <v>632</v>
      </c>
      <c r="H682" s="13">
        <f t="shared" si="80"/>
        <v>-1.0275684203264746E-2</v>
      </c>
      <c r="I682">
        <f t="shared" si="81"/>
        <v>165.42518039546908</v>
      </c>
      <c r="J682">
        <f t="shared" si="76"/>
        <v>718.44487103592871</v>
      </c>
      <c r="K682" s="27">
        <f t="shared" si="77"/>
        <v>-5303.7279894154644</v>
      </c>
    </row>
    <row r="683" spans="1:11" x14ac:dyDescent="0.25">
      <c r="A683" s="26">
        <v>633</v>
      </c>
      <c r="B683" s="82">
        <f t="shared" si="78"/>
        <v>0</v>
      </c>
      <c r="C683" s="58">
        <f t="shared" si="82"/>
        <v>171.9194128119324</v>
      </c>
      <c r="D683" s="83">
        <f t="shared" si="79"/>
        <v>733.33333333333326</v>
      </c>
      <c r="E683">
        <f t="shared" si="75"/>
        <v>0</v>
      </c>
      <c r="G683">
        <v>633</v>
      </c>
      <c r="H683" s="13">
        <f t="shared" si="80"/>
        <v>-1.0275684203264746E-2</v>
      </c>
      <c r="I683">
        <f t="shared" si="81"/>
        <v>165.41490471126582</v>
      </c>
      <c r="J683">
        <f t="shared" si="76"/>
        <v>718.41773464955281</v>
      </c>
      <c r="K683" s="27">
        <f t="shared" si="77"/>
        <v>-5303.3272286731062</v>
      </c>
    </row>
    <row r="684" spans="1:11" x14ac:dyDescent="0.25">
      <c r="A684" s="26">
        <v>634</v>
      </c>
      <c r="B684" s="82">
        <f t="shared" si="78"/>
        <v>0</v>
      </c>
      <c r="C684" s="58">
        <f t="shared" si="82"/>
        <v>171.9194128119324</v>
      </c>
      <c r="D684" s="83">
        <f t="shared" si="79"/>
        <v>733.33333333333326</v>
      </c>
      <c r="E684">
        <f t="shared" si="75"/>
        <v>0</v>
      </c>
      <c r="G684">
        <v>634</v>
      </c>
      <c r="H684" s="13">
        <f t="shared" si="80"/>
        <v>-1.0275684203264746E-2</v>
      </c>
      <c r="I684">
        <f t="shared" si="81"/>
        <v>165.40462902706255</v>
      </c>
      <c r="J684">
        <f t="shared" si="76"/>
        <v>718.39058384350528</v>
      </c>
      <c r="K684" s="27">
        <f t="shared" si="77"/>
        <v>-5302.926270037221</v>
      </c>
    </row>
    <row r="685" spans="1:11" x14ac:dyDescent="0.25">
      <c r="A685" s="26">
        <v>635</v>
      </c>
      <c r="B685" s="82">
        <f t="shared" si="78"/>
        <v>0</v>
      </c>
      <c r="C685" s="58">
        <f t="shared" si="82"/>
        <v>171.9194128119324</v>
      </c>
      <c r="D685" s="83">
        <f t="shared" si="79"/>
        <v>733.33333333333326</v>
      </c>
      <c r="E685">
        <f t="shared" si="75"/>
        <v>0</v>
      </c>
      <c r="G685">
        <v>635</v>
      </c>
      <c r="H685" s="13">
        <f t="shared" si="80"/>
        <v>-1.0275684203264746E-2</v>
      </c>
      <c r="I685">
        <f t="shared" si="81"/>
        <v>165.39435334285929</v>
      </c>
      <c r="J685">
        <f t="shared" si="76"/>
        <v>718.36341859766173</v>
      </c>
      <c r="K685" s="27">
        <f t="shared" si="77"/>
        <v>-5302.5251132345193</v>
      </c>
    </row>
    <row r="686" spans="1:11" x14ac:dyDescent="0.25">
      <c r="A686" s="26">
        <v>636</v>
      </c>
      <c r="B686" s="82">
        <f t="shared" si="78"/>
        <v>0</v>
      </c>
      <c r="C686" s="58">
        <f t="shared" si="82"/>
        <v>171.9194128119324</v>
      </c>
      <c r="D686" s="83">
        <f t="shared" si="79"/>
        <v>733.33333333333326</v>
      </c>
      <c r="E686">
        <f t="shared" si="75"/>
        <v>0</v>
      </c>
      <c r="G686">
        <v>636</v>
      </c>
      <c r="H686" s="13">
        <f t="shared" si="80"/>
        <v>-1.0275684203264746E-2</v>
      </c>
      <c r="I686">
        <f t="shared" si="81"/>
        <v>165.38407765865603</v>
      </c>
      <c r="J686">
        <f t="shared" si="76"/>
        <v>718.33623889185003</v>
      </c>
      <c r="K686" s="27">
        <f t="shared" si="77"/>
        <v>-5302.1237579910576</v>
      </c>
    </row>
    <row r="687" spans="1:11" x14ac:dyDescent="0.25">
      <c r="A687" s="26">
        <v>637</v>
      </c>
      <c r="B687" s="82">
        <f t="shared" si="78"/>
        <v>0</v>
      </c>
      <c r="C687" s="58">
        <f t="shared" si="82"/>
        <v>171.9194128119324</v>
      </c>
      <c r="D687" s="83">
        <f t="shared" si="79"/>
        <v>733.33333333333326</v>
      </c>
      <c r="E687">
        <f t="shared" si="75"/>
        <v>0</v>
      </c>
      <c r="G687">
        <v>637</v>
      </c>
      <c r="H687" s="13">
        <f t="shared" si="80"/>
        <v>-1.0275684203264746E-2</v>
      </c>
      <c r="I687">
        <f t="shared" si="81"/>
        <v>165.37380197445276</v>
      </c>
      <c r="J687">
        <f t="shared" si="76"/>
        <v>718.30904470584926</v>
      </c>
      <c r="K687" s="27">
        <f t="shared" si="77"/>
        <v>-5301.7222040322349</v>
      </c>
    </row>
    <row r="688" spans="1:11" x14ac:dyDescent="0.25">
      <c r="A688" s="26">
        <v>638</v>
      </c>
      <c r="B688" s="82">
        <f t="shared" si="78"/>
        <v>0</v>
      </c>
      <c r="C688" s="58">
        <f t="shared" si="82"/>
        <v>171.9194128119324</v>
      </c>
      <c r="D688" s="83">
        <f t="shared" si="79"/>
        <v>733.33333333333326</v>
      </c>
      <c r="E688">
        <f t="shared" si="75"/>
        <v>0</v>
      </c>
      <c r="G688">
        <v>638</v>
      </c>
      <c r="H688" s="13">
        <f t="shared" si="80"/>
        <v>-1.0275684203264746E-2</v>
      </c>
      <c r="I688">
        <f t="shared" si="81"/>
        <v>165.3635262902495</v>
      </c>
      <c r="J688">
        <f t="shared" si="76"/>
        <v>718.28183601939031</v>
      </c>
      <c r="K688" s="27">
        <f t="shared" si="77"/>
        <v>-5301.32045108279</v>
      </c>
    </row>
    <row r="689" spans="1:11" x14ac:dyDescent="0.25">
      <c r="A689" s="26">
        <v>639</v>
      </c>
      <c r="B689" s="82">
        <f t="shared" si="78"/>
        <v>0</v>
      </c>
      <c r="C689" s="58">
        <f t="shared" si="82"/>
        <v>171.9194128119324</v>
      </c>
      <c r="D689" s="83">
        <f t="shared" si="79"/>
        <v>733.33333333333326</v>
      </c>
      <c r="E689">
        <f t="shared" si="75"/>
        <v>0</v>
      </c>
      <c r="G689">
        <v>639</v>
      </c>
      <c r="H689" s="13">
        <f t="shared" si="80"/>
        <v>-1.0275684203264746E-2</v>
      </c>
      <c r="I689">
        <f t="shared" si="81"/>
        <v>165.35325060604623</v>
      </c>
      <c r="J689">
        <f t="shared" si="76"/>
        <v>718.25461281215496</v>
      </c>
      <c r="K689" s="27">
        <f t="shared" si="77"/>
        <v>-5300.9184988667985</v>
      </c>
    </row>
    <row r="690" spans="1:11" x14ac:dyDescent="0.25">
      <c r="A690" s="26">
        <v>640</v>
      </c>
      <c r="B690" s="82">
        <f t="shared" si="78"/>
        <v>0</v>
      </c>
      <c r="C690" s="58">
        <f t="shared" si="82"/>
        <v>171.9194128119324</v>
      </c>
      <c r="D690" s="83">
        <f t="shared" si="79"/>
        <v>733.33333333333326</v>
      </c>
      <c r="E690">
        <f t="shared" si="75"/>
        <v>0</v>
      </c>
      <c r="G690">
        <v>640</v>
      </c>
      <c r="H690" s="13">
        <f t="shared" si="80"/>
        <v>-1.0275684203264746E-2</v>
      </c>
      <c r="I690">
        <f t="shared" si="81"/>
        <v>165.34297492184297</v>
      </c>
      <c r="J690">
        <f t="shared" si="76"/>
        <v>718.22737506377655</v>
      </c>
      <c r="K690" s="27">
        <f t="shared" si="77"/>
        <v>-5300.5163471076776</v>
      </c>
    </row>
    <row r="691" spans="1:11" x14ac:dyDescent="0.25">
      <c r="A691" s="26">
        <v>641</v>
      </c>
      <c r="B691" s="82">
        <f t="shared" si="78"/>
        <v>0</v>
      </c>
      <c r="C691" s="58">
        <f t="shared" si="82"/>
        <v>171.9194128119324</v>
      </c>
      <c r="D691" s="83">
        <f t="shared" si="79"/>
        <v>733.33333333333326</v>
      </c>
      <c r="E691">
        <f t="shared" ref="E691:E754" si="83">((D691^2)+(D691*D692)+(D692^2))*B692/3</f>
        <v>0</v>
      </c>
      <c r="G691">
        <v>641</v>
      </c>
      <c r="H691" s="13">
        <f t="shared" si="80"/>
        <v>-1.0275684203264746E-2</v>
      </c>
      <c r="I691">
        <f t="shared" si="81"/>
        <v>165.3326992376397</v>
      </c>
      <c r="J691">
        <f t="shared" ref="J691:J754" si="84">IF($G$28&lt;$C$14,0,((($C$11^2)-((I691-$C$13)^2))^0.5)+$C$16)</f>
        <v>718.20012275383931</v>
      </c>
      <c r="K691" s="27">
        <f t="shared" ref="K691:K754" si="85">((J691^2)+(J691*J692)+(J692^2))*H692/3</f>
        <v>-5300.1139955281733</v>
      </c>
    </row>
    <row r="692" spans="1:11" x14ac:dyDescent="0.25">
      <c r="A692" s="26">
        <v>642</v>
      </c>
      <c r="B692" s="82">
        <f t="shared" ref="B692:B755" si="86">C692-C691</f>
        <v>0</v>
      </c>
      <c r="C692" s="58">
        <f t="shared" si="82"/>
        <v>171.9194128119324</v>
      </c>
      <c r="D692" s="83">
        <f t="shared" ref="D692:D755" si="87">IF($G$28&lt;$C$14,0,((($C$11^2)-((C692-$C$13)^2))^0.5)+$C$16)</f>
        <v>733.33333333333326</v>
      </c>
      <c r="E692">
        <f t="shared" si="83"/>
        <v>0</v>
      </c>
      <c r="G692">
        <v>642</v>
      </c>
      <c r="H692" s="13">
        <f t="shared" ref="H692:H755" si="88">I692-I691</f>
        <v>-1.0275684203264746E-2</v>
      </c>
      <c r="I692">
        <f t="shared" ref="I692:I755" si="89">($G$27-$C$14)/2000+I691</f>
        <v>165.32242355343644</v>
      </c>
      <c r="J692">
        <f t="shared" si="84"/>
        <v>718.17285586187802</v>
      </c>
      <c r="K692" s="27">
        <f t="shared" si="85"/>
        <v>-5299.7114438503659</v>
      </c>
    </row>
    <row r="693" spans="1:11" x14ac:dyDescent="0.25">
      <c r="A693" s="26">
        <v>643</v>
      </c>
      <c r="B693" s="82">
        <f t="shared" si="86"/>
        <v>0</v>
      </c>
      <c r="C693" s="58">
        <f t="shared" si="82"/>
        <v>171.9194128119324</v>
      </c>
      <c r="D693" s="83">
        <f t="shared" si="87"/>
        <v>733.33333333333326</v>
      </c>
      <c r="E693">
        <f t="shared" si="83"/>
        <v>0</v>
      </c>
      <c r="G693">
        <v>643</v>
      </c>
      <c r="H693" s="13">
        <f t="shared" si="88"/>
        <v>-1.0275684203264746E-2</v>
      </c>
      <c r="I693">
        <f t="shared" si="89"/>
        <v>165.31214786923317</v>
      </c>
      <c r="J693">
        <f t="shared" si="84"/>
        <v>718.14557436737846</v>
      </c>
      <c r="K693" s="27">
        <f t="shared" si="85"/>
        <v>-5299.3086917956653</v>
      </c>
    </row>
    <row r="694" spans="1:11" x14ac:dyDescent="0.25">
      <c r="A694" s="26">
        <v>644</v>
      </c>
      <c r="B694" s="82">
        <f t="shared" si="86"/>
        <v>0</v>
      </c>
      <c r="C694" s="58">
        <f t="shared" si="82"/>
        <v>171.9194128119324</v>
      </c>
      <c r="D694" s="83">
        <f t="shared" si="87"/>
        <v>733.33333333333326</v>
      </c>
      <c r="E694">
        <f t="shared" si="83"/>
        <v>0</v>
      </c>
      <c r="G694">
        <v>644</v>
      </c>
      <c r="H694" s="13">
        <f t="shared" si="88"/>
        <v>-1.0275684203264746E-2</v>
      </c>
      <c r="I694">
        <f t="shared" si="89"/>
        <v>165.30187218502991</v>
      </c>
      <c r="J694">
        <f t="shared" si="84"/>
        <v>718.11827824977672</v>
      </c>
      <c r="K694" s="27">
        <f t="shared" si="85"/>
        <v>-5298.9057390848066</v>
      </c>
    </row>
    <row r="695" spans="1:11" x14ac:dyDescent="0.25">
      <c r="A695" s="26">
        <v>645</v>
      </c>
      <c r="B695" s="82">
        <f t="shared" si="86"/>
        <v>0</v>
      </c>
      <c r="C695" s="58">
        <f t="shared" si="82"/>
        <v>171.9194128119324</v>
      </c>
      <c r="D695" s="83">
        <f t="shared" si="87"/>
        <v>733.33333333333326</v>
      </c>
      <c r="E695">
        <f t="shared" si="83"/>
        <v>0</v>
      </c>
      <c r="G695">
        <v>645</v>
      </c>
      <c r="H695" s="13">
        <f t="shared" si="88"/>
        <v>-1.0275684203264746E-2</v>
      </c>
      <c r="I695">
        <f t="shared" si="89"/>
        <v>165.29159650082664</v>
      </c>
      <c r="J695">
        <f t="shared" si="84"/>
        <v>718.09096748845923</v>
      </c>
      <c r="K695" s="27">
        <f t="shared" si="85"/>
        <v>-5298.5025854378537</v>
      </c>
    </row>
    <row r="696" spans="1:11" x14ac:dyDescent="0.25">
      <c r="A696" s="26">
        <v>646</v>
      </c>
      <c r="B696" s="82">
        <f t="shared" si="86"/>
        <v>0</v>
      </c>
      <c r="C696" s="58">
        <f t="shared" si="82"/>
        <v>171.9194128119324</v>
      </c>
      <c r="D696" s="83">
        <f t="shared" si="87"/>
        <v>733.33333333333326</v>
      </c>
      <c r="E696">
        <f t="shared" si="83"/>
        <v>0</v>
      </c>
      <c r="G696">
        <v>646</v>
      </c>
      <c r="H696" s="13">
        <f t="shared" si="88"/>
        <v>-1.0275684203264746E-2</v>
      </c>
      <c r="I696">
        <f t="shared" si="89"/>
        <v>165.28132081662338</v>
      </c>
      <c r="J696">
        <f t="shared" si="84"/>
        <v>718.06364206276271</v>
      </c>
      <c r="K696" s="27">
        <f t="shared" si="85"/>
        <v>-5298.0992305741893</v>
      </c>
    </row>
    <row r="697" spans="1:11" x14ac:dyDescent="0.25">
      <c r="A697" s="26">
        <v>647</v>
      </c>
      <c r="B697" s="82">
        <f t="shared" si="86"/>
        <v>0</v>
      </c>
      <c r="C697" s="58">
        <f t="shared" si="82"/>
        <v>171.9194128119324</v>
      </c>
      <c r="D697" s="83">
        <f t="shared" si="87"/>
        <v>733.33333333333326</v>
      </c>
      <c r="E697">
        <f t="shared" si="83"/>
        <v>0</v>
      </c>
      <c r="G697">
        <v>647</v>
      </c>
      <c r="H697" s="13">
        <f t="shared" si="88"/>
        <v>-1.0275684203264746E-2</v>
      </c>
      <c r="I697">
        <f t="shared" si="89"/>
        <v>165.27104513242011</v>
      </c>
      <c r="J697">
        <f t="shared" si="84"/>
        <v>718.03630195197343</v>
      </c>
      <c r="K697" s="27">
        <f t="shared" si="85"/>
        <v>-5297.6956742125176</v>
      </c>
    </row>
    <row r="698" spans="1:11" x14ac:dyDescent="0.25">
      <c r="A698" s="26">
        <v>648</v>
      </c>
      <c r="B698" s="82">
        <f t="shared" si="86"/>
        <v>0</v>
      </c>
      <c r="C698" s="58">
        <f t="shared" si="82"/>
        <v>171.9194128119324</v>
      </c>
      <c r="D698" s="83">
        <f t="shared" si="87"/>
        <v>733.33333333333326</v>
      </c>
      <c r="E698">
        <f t="shared" si="83"/>
        <v>0</v>
      </c>
      <c r="G698">
        <v>648</v>
      </c>
      <c r="H698" s="13">
        <f t="shared" si="88"/>
        <v>-1.0275684203264746E-2</v>
      </c>
      <c r="I698">
        <f t="shared" si="89"/>
        <v>165.26076944821685</v>
      </c>
      <c r="J698">
        <f t="shared" si="84"/>
        <v>718.00894713532807</v>
      </c>
      <c r="K698" s="27">
        <f t="shared" si="85"/>
        <v>-5297.2919160708616</v>
      </c>
    </row>
    <row r="699" spans="1:11" x14ac:dyDescent="0.25">
      <c r="A699" s="26">
        <v>649</v>
      </c>
      <c r="B699" s="82">
        <f t="shared" si="86"/>
        <v>0</v>
      </c>
      <c r="C699" s="58">
        <f t="shared" si="82"/>
        <v>171.9194128119324</v>
      </c>
      <c r="D699" s="83">
        <f t="shared" si="87"/>
        <v>733.33333333333326</v>
      </c>
      <c r="E699">
        <f t="shared" si="83"/>
        <v>0</v>
      </c>
      <c r="G699">
        <v>649</v>
      </c>
      <c r="H699" s="13">
        <f t="shared" si="88"/>
        <v>-1.0275684203264746E-2</v>
      </c>
      <c r="I699">
        <f t="shared" si="89"/>
        <v>165.25049376401358</v>
      </c>
      <c r="J699">
        <f t="shared" si="84"/>
        <v>717.9815775920124</v>
      </c>
      <c r="K699" s="27">
        <f t="shared" si="85"/>
        <v>-5296.8879558665612</v>
      </c>
    </row>
    <row r="700" spans="1:11" x14ac:dyDescent="0.25">
      <c r="A700" s="26">
        <v>650</v>
      </c>
      <c r="B700" s="82">
        <f t="shared" si="86"/>
        <v>0</v>
      </c>
      <c r="C700" s="58">
        <f t="shared" si="82"/>
        <v>171.9194128119324</v>
      </c>
      <c r="D700" s="83">
        <f t="shared" si="87"/>
        <v>733.33333333333326</v>
      </c>
      <c r="E700">
        <f t="shared" si="83"/>
        <v>0</v>
      </c>
      <c r="G700">
        <v>650</v>
      </c>
      <c r="H700" s="13">
        <f t="shared" si="88"/>
        <v>-1.0275684203264746E-2</v>
      </c>
      <c r="I700">
        <f t="shared" si="89"/>
        <v>165.24021807981032</v>
      </c>
      <c r="J700">
        <f t="shared" si="84"/>
        <v>717.95419330116215</v>
      </c>
      <c r="K700" s="27">
        <f t="shared" si="85"/>
        <v>-5296.4837933162662</v>
      </c>
    </row>
    <row r="701" spans="1:11" x14ac:dyDescent="0.25">
      <c r="A701" s="26">
        <v>651</v>
      </c>
      <c r="B701" s="82">
        <f t="shared" si="86"/>
        <v>0</v>
      </c>
      <c r="C701" s="58">
        <f t="shared" si="82"/>
        <v>171.9194128119324</v>
      </c>
      <c r="D701" s="83">
        <f t="shared" si="87"/>
        <v>733.33333333333326</v>
      </c>
      <c r="E701">
        <f t="shared" si="83"/>
        <v>0</v>
      </c>
      <c r="G701">
        <v>651</v>
      </c>
      <c r="H701" s="13">
        <f t="shared" si="88"/>
        <v>-1.0275684203264746E-2</v>
      </c>
      <c r="I701">
        <f t="shared" si="89"/>
        <v>165.22994239560705</v>
      </c>
      <c r="J701">
        <f t="shared" si="84"/>
        <v>717.92679424186178</v>
      </c>
      <c r="K701" s="27">
        <f t="shared" si="85"/>
        <v>-5296.0794281359395</v>
      </c>
    </row>
    <row r="702" spans="1:11" x14ac:dyDescent="0.25">
      <c r="A702" s="26">
        <v>652</v>
      </c>
      <c r="B702" s="82">
        <f t="shared" si="86"/>
        <v>0</v>
      </c>
      <c r="C702" s="58">
        <f t="shared" si="82"/>
        <v>171.9194128119324</v>
      </c>
      <c r="D702" s="83">
        <f t="shared" si="87"/>
        <v>733.33333333333326</v>
      </c>
      <c r="E702">
        <f t="shared" si="83"/>
        <v>0</v>
      </c>
      <c r="G702">
        <v>652</v>
      </c>
      <c r="H702" s="13">
        <f t="shared" si="88"/>
        <v>-1.0275684203264746E-2</v>
      </c>
      <c r="I702">
        <f t="shared" si="89"/>
        <v>165.21966671140379</v>
      </c>
      <c r="J702">
        <f t="shared" si="84"/>
        <v>717.89938039314541</v>
      </c>
      <c r="K702" s="27">
        <f t="shared" si="85"/>
        <v>-5295.6748600408528</v>
      </c>
    </row>
    <row r="703" spans="1:11" x14ac:dyDescent="0.25">
      <c r="A703" s="26">
        <v>653</v>
      </c>
      <c r="B703" s="82">
        <f t="shared" si="86"/>
        <v>0</v>
      </c>
      <c r="C703" s="58">
        <f t="shared" si="82"/>
        <v>171.9194128119324</v>
      </c>
      <c r="D703" s="83">
        <f t="shared" si="87"/>
        <v>733.33333333333326</v>
      </c>
      <c r="E703">
        <f t="shared" si="83"/>
        <v>0</v>
      </c>
      <c r="G703">
        <v>653</v>
      </c>
      <c r="H703" s="13">
        <f t="shared" si="88"/>
        <v>-1.0275684203264746E-2</v>
      </c>
      <c r="I703">
        <f t="shared" si="89"/>
        <v>165.20939102720052</v>
      </c>
      <c r="J703">
        <f t="shared" si="84"/>
        <v>717.87195173399584</v>
      </c>
      <c r="K703" s="27">
        <f t="shared" si="85"/>
        <v>-5295.2700887455849</v>
      </c>
    </row>
    <row r="704" spans="1:11" x14ac:dyDescent="0.25">
      <c r="A704" s="26">
        <v>654</v>
      </c>
      <c r="B704" s="82">
        <f t="shared" si="86"/>
        <v>0</v>
      </c>
      <c r="C704" s="58">
        <f t="shared" si="82"/>
        <v>171.9194128119324</v>
      </c>
      <c r="D704" s="83">
        <f t="shared" si="87"/>
        <v>733.33333333333326</v>
      </c>
      <c r="E704">
        <f t="shared" si="83"/>
        <v>0</v>
      </c>
      <c r="G704">
        <v>654</v>
      </c>
      <c r="H704" s="13">
        <f t="shared" si="88"/>
        <v>-1.0275684203264746E-2</v>
      </c>
      <c r="I704">
        <f t="shared" si="89"/>
        <v>165.19911534299726</v>
      </c>
      <c r="J704">
        <f t="shared" si="84"/>
        <v>717.84450824334454</v>
      </c>
      <c r="K704" s="27">
        <f t="shared" si="85"/>
        <v>-5294.8651139640142</v>
      </c>
    </row>
    <row r="705" spans="1:11" x14ac:dyDescent="0.25">
      <c r="A705" s="26">
        <v>655</v>
      </c>
      <c r="B705" s="82">
        <f t="shared" si="86"/>
        <v>0</v>
      </c>
      <c r="C705" s="58">
        <f t="shared" si="82"/>
        <v>171.9194128119324</v>
      </c>
      <c r="D705" s="83">
        <f t="shared" si="87"/>
        <v>733.33333333333326</v>
      </c>
      <c r="E705">
        <f t="shared" si="83"/>
        <v>0</v>
      </c>
      <c r="G705">
        <v>655</v>
      </c>
      <c r="H705" s="13">
        <f t="shared" si="88"/>
        <v>-1.0275684203264746E-2</v>
      </c>
      <c r="I705">
        <f t="shared" si="89"/>
        <v>165.188839658794</v>
      </c>
      <c r="J705">
        <f t="shared" si="84"/>
        <v>717.81704990007188</v>
      </c>
      <c r="K705" s="27">
        <f t="shared" si="85"/>
        <v>-5294.4599354093289</v>
      </c>
    </row>
    <row r="706" spans="1:11" x14ac:dyDescent="0.25">
      <c r="A706" s="26">
        <v>656</v>
      </c>
      <c r="B706" s="82">
        <f t="shared" si="86"/>
        <v>0</v>
      </c>
      <c r="C706" s="58">
        <f t="shared" si="82"/>
        <v>171.9194128119324</v>
      </c>
      <c r="D706" s="83">
        <f t="shared" si="87"/>
        <v>733.33333333333326</v>
      </c>
      <c r="E706">
        <f t="shared" si="83"/>
        <v>0</v>
      </c>
      <c r="G706">
        <v>656</v>
      </c>
      <c r="H706" s="13">
        <f t="shared" si="88"/>
        <v>-1.0275684203264746E-2</v>
      </c>
      <c r="I706">
        <f t="shared" si="89"/>
        <v>165.17856397459073</v>
      </c>
      <c r="J706">
        <f t="shared" si="84"/>
        <v>717.78957668300643</v>
      </c>
      <c r="K706" s="27">
        <f t="shared" si="85"/>
        <v>-5294.0545527940085</v>
      </c>
    </row>
    <row r="707" spans="1:11" x14ac:dyDescent="0.25">
      <c r="A707" s="26">
        <v>657</v>
      </c>
      <c r="B707" s="82">
        <f t="shared" si="86"/>
        <v>0</v>
      </c>
      <c r="C707" s="58">
        <f t="shared" si="82"/>
        <v>171.9194128119324</v>
      </c>
      <c r="D707" s="83">
        <f t="shared" si="87"/>
        <v>733.33333333333326</v>
      </c>
      <c r="E707">
        <f t="shared" si="83"/>
        <v>0</v>
      </c>
      <c r="G707">
        <v>657</v>
      </c>
      <c r="H707" s="13">
        <f t="shared" si="88"/>
        <v>-1.0275684203264746E-2</v>
      </c>
      <c r="I707">
        <f t="shared" si="89"/>
        <v>165.16828829038747</v>
      </c>
      <c r="J707">
        <f t="shared" si="84"/>
        <v>717.7620885709249</v>
      </c>
      <c r="K707" s="27">
        <f t="shared" si="85"/>
        <v>-5293.6489658298315</v>
      </c>
    </row>
    <row r="708" spans="1:11" x14ac:dyDescent="0.25">
      <c r="A708" s="26">
        <v>658</v>
      </c>
      <c r="B708" s="82">
        <f t="shared" si="86"/>
        <v>0</v>
      </c>
      <c r="C708" s="58">
        <f t="shared" si="82"/>
        <v>171.9194128119324</v>
      </c>
      <c r="D708" s="83">
        <f t="shared" si="87"/>
        <v>733.33333333333326</v>
      </c>
      <c r="E708">
        <f t="shared" si="83"/>
        <v>0</v>
      </c>
      <c r="G708">
        <v>658</v>
      </c>
      <c r="H708" s="13">
        <f t="shared" si="88"/>
        <v>-1.0275684203264746E-2</v>
      </c>
      <c r="I708">
        <f t="shared" si="89"/>
        <v>165.1580126061842</v>
      </c>
      <c r="J708">
        <f t="shared" si="84"/>
        <v>717.7345855425524</v>
      </c>
      <c r="K708" s="27">
        <f t="shared" si="85"/>
        <v>-5293.2431742278723</v>
      </c>
    </row>
    <row r="709" spans="1:11" x14ac:dyDescent="0.25">
      <c r="A709" s="26">
        <v>659</v>
      </c>
      <c r="B709" s="82">
        <f t="shared" si="86"/>
        <v>0</v>
      </c>
      <c r="C709" s="58">
        <f t="shared" si="82"/>
        <v>171.9194128119324</v>
      </c>
      <c r="D709" s="83">
        <f t="shared" si="87"/>
        <v>733.33333333333326</v>
      </c>
      <c r="E709">
        <f t="shared" si="83"/>
        <v>0</v>
      </c>
      <c r="G709">
        <v>659</v>
      </c>
      <c r="H709" s="13">
        <f t="shared" si="88"/>
        <v>-1.0275684203264746E-2</v>
      </c>
      <c r="I709">
        <f t="shared" si="89"/>
        <v>165.14773692198094</v>
      </c>
      <c r="J709">
        <f t="shared" si="84"/>
        <v>717.70706757656171</v>
      </c>
      <c r="K709" s="27">
        <f t="shared" si="85"/>
        <v>-5292.8371776984977</v>
      </c>
    </row>
    <row r="710" spans="1:11" x14ac:dyDescent="0.25">
      <c r="A710" s="26">
        <v>660</v>
      </c>
      <c r="B710" s="82">
        <f t="shared" si="86"/>
        <v>0</v>
      </c>
      <c r="C710" s="58">
        <f t="shared" si="82"/>
        <v>171.9194128119324</v>
      </c>
      <c r="D710" s="83">
        <f t="shared" si="87"/>
        <v>733.33333333333326</v>
      </c>
      <c r="E710">
        <f t="shared" si="83"/>
        <v>0</v>
      </c>
      <c r="G710">
        <v>660</v>
      </c>
      <c r="H710" s="13">
        <f t="shared" si="88"/>
        <v>-1.0275684203264746E-2</v>
      </c>
      <c r="I710">
        <f t="shared" si="89"/>
        <v>165.13746123777767</v>
      </c>
      <c r="J710">
        <f t="shared" si="84"/>
        <v>717.67953465157336</v>
      </c>
      <c r="K710" s="27">
        <f t="shared" si="85"/>
        <v>-5292.4309759513608</v>
      </c>
    </row>
    <row r="711" spans="1:11" x14ac:dyDescent="0.25">
      <c r="A711" s="26">
        <v>661</v>
      </c>
      <c r="B711" s="82">
        <f t="shared" si="86"/>
        <v>0</v>
      </c>
      <c r="C711" s="58">
        <f t="shared" si="82"/>
        <v>171.9194128119324</v>
      </c>
      <c r="D711" s="83">
        <f t="shared" si="87"/>
        <v>733.33333333333326</v>
      </c>
      <c r="E711">
        <f t="shared" si="83"/>
        <v>0</v>
      </c>
      <c r="G711">
        <v>661</v>
      </c>
      <c r="H711" s="13">
        <f t="shared" si="88"/>
        <v>-1.0275684203264746E-2</v>
      </c>
      <c r="I711">
        <f t="shared" si="89"/>
        <v>165.12718555357441</v>
      </c>
      <c r="J711">
        <f t="shared" si="84"/>
        <v>717.65198674615533</v>
      </c>
      <c r="K711" s="27">
        <f t="shared" si="85"/>
        <v>-5292.0245686954031</v>
      </c>
    </row>
    <row r="712" spans="1:11" x14ac:dyDescent="0.25">
      <c r="A712" s="26">
        <v>662</v>
      </c>
      <c r="B712" s="82">
        <f t="shared" si="86"/>
        <v>0</v>
      </c>
      <c r="C712" s="58">
        <f t="shared" si="82"/>
        <v>171.9194128119324</v>
      </c>
      <c r="D712" s="83">
        <f t="shared" si="87"/>
        <v>733.33333333333326</v>
      </c>
      <c r="E712">
        <f t="shared" si="83"/>
        <v>0</v>
      </c>
      <c r="G712">
        <v>662</v>
      </c>
      <c r="H712" s="13">
        <f t="shared" si="88"/>
        <v>-1.0275684203264746E-2</v>
      </c>
      <c r="I712">
        <f t="shared" si="89"/>
        <v>165.11690986937114</v>
      </c>
      <c r="J712">
        <f t="shared" si="84"/>
        <v>717.62442383882296</v>
      </c>
      <c r="K712" s="27">
        <f t="shared" si="85"/>
        <v>-5291.6179556388515</v>
      </c>
    </row>
    <row r="713" spans="1:11" x14ac:dyDescent="0.25">
      <c r="A713" s="26">
        <v>663</v>
      </c>
      <c r="B713" s="82">
        <f t="shared" si="86"/>
        <v>0</v>
      </c>
      <c r="C713" s="58">
        <f t="shared" si="82"/>
        <v>171.9194128119324</v>
      </c>
      <c r="D713" s="83">
        <f t="shared" si="87"/>
        <v>733.33333333333326</v>
      </c>
      <c r="E713">
        <f t="shared" si="83"/>
        <v>0</v>
      </c>
      <c r="G713">
        <v>663</v>
      </c>
      <c r="H713" s="13">
        <f t="shared" si="88"/>
        <v>-1.0275684203264746E-2</v>
      </c>
      <c r="I713">
        <f t="shared" si="89"/>
        <v>165.10663418516788</v>
      </c>
      <c r="J713">
        <f t="shared" si="84"/>
        <v>717.59684590803886</v>
      </c>
      <c r="K713" s="27">
        <f t="shared" si="85"/>
        <v>-5291.2111364892162</v>
      </c>
    </row>
    <row r="714" spans="1:11" x14ac:dyDescent="0.25">
      <c r="A714" s="26">
        <v>664</v>
      </c>
      <c r="B714" s="82">
        <f t="shared" si="86"/>
        <v>0</v>
      </c>
      <c r="C714" s="58">
        <f t="shared" si="82"/>
        <v>171.9194128119324</v>
      </c>
      <c r="D714" s="83">
        <f t="shared" si="87"/>
        <v>733.33333333333326</v>
      </c>
      <c r="E714">
        <f t="shared" si="83"/>
        <v>0</v>
      </c>
      <c r="G714">
        <v>664</v>
      </c>
      <c r="H714" s="13">
        <f t="shared" si="88"/>
        <v>-1.0275684203264746E-2</v>
      </c>
      <c r="I714">
        <f t="shared" si="89"/>
        <v>165.09635850096461</v>
      </c>
      <c r="J714">
        <f t="shared" si="84"/>
        <v>717.56925293221263</v>
      </c>
      <c r="K714" s="27">
        <f t="shared" si="85"/>
        <v>-5290.8041109532842</v>
      </c>
    </row>
    <row r="715" spans="1:11" x14ac:dyDescent="0.25">
      <c r="A715" s="26">
        <v>665</v>
      </c>
      <c r="B715" s="82">
        <f t="shared" si="86"/>
        <v>0</v>
      </c>
      <c r="C715" s="58">
        <f t="shared" si="82"/>
        <v>171.9194128119324</v>
      </c>
      <c r="D715" s="83">
        <f t="shared" si="87"/>
        <v>733.33333333333326</v>
      </c>
      <c r="E715">
        <f t="shared" si="83"/>
        <v>0</v>
      </c>
      <c r="G715">
        <v>665</v>
      </c>
      <c r="H715" s="13">
        <f t="shared" si="88"/>
        <v>-1.0275684203264746E-2</v>
      </c>
      <c r="I715">
        <f t="shared" si="89"/>
        <v>165.08608281676135</v>
      </c>
      <c r="J715">
        <f t="shared" si="84"/>
        <v>717.54164488970059</v>
      </c>
      <c r="K715" s="27">
        <f t="shared" si="85"/>
        <v>-5290.3968787371205</v>
      </c>
    </row>
    <row r="716" spans="1:11" x14ac:dyDescent="0.25">
      <c r="A716" s="26">
        <v>666</v>
      </c>
      <c r="B716" s="82">
        <f t="shared" si="86"/>
        <v>0</v>
      </c>
      <c r="C716" s="58">
        <f t="shared" si="82"/>
        <v>171.9194128119324</v>
      </c>
      <c r="D716" s="83">
        <f t="shared" si="87"/>
        <v>733.33333333333326</v>
      </c>
      <c r="E716">
        <f t="shared" si="83"/>
        <v>0</v>
      </c>
      <c r="G716">
        <v>666</v>
      </c>
      <c r="H716" s="13">
        <f t="shared" si="88"/>
        <v>-1.0275684203264746E-2</v>
      </c>
      <c r="I716">
        <f t="shared" si="89"/>
        <v>165.07580713255808</v>
      </c>
      <c r="J716">
        <f t="shared" si="84"/>
        <v>717.5140217588056</v>
      </c>
      <c r="K716" s="27">
        <f t="shared" si="85"/>
        <v>-5289.9894395460651</v>
      </c>
    </row>
    <row r="717" spans="1:11" x14ac:dyDescent="0.25">
      <c r="A717" s="26">
        <v>667</v>
      </c>
      <c r="B717" s="82">
        <f t="shared" si="86"/>
        <v>0</v>
      </c>
      <c r="C717" s="58">
        <f t="shared" si="82"/>
        <v>171.9194128119324</v>
      </c>
      <c r="D717" s="83">
        <f t="shared" si="87"/>
        <v>733.33333333333326</v>
      </c>
      <c r="E717">
        <f t="shared" si="83"/>
        <v>0</v>
      </c>
      <c r="G717">
        <v>667</v>
      </c>
      <c r="H717" s="13">
        <f t="shared" si="88"/>
        <v>-1.0275684203264746E-2</v>
      </c>
      <c r="I717">
        <f t="shared" si="89"/>
        <v>165.06553144835482</v>
      </c>
      <c r="J717">
        <f t="shared" si="84"/>
        <v>717.48638351777697</v>
      </c>
      <c r="K717" s="27">
        <f t="shared" si="85"/>
        <v>-5289.5817930847288</v>
      </c>
    </row>
    <row r="718" spans="1:11" x14ac:dyDescent="0.25">
      <c r="A718" s="26">
        <v>668</v>
      </c>
      <c r="B718" s="82">
        <f t="shared" si="86"/>
        <v>0</v>
      </c>
      <c r="C718" s="58">
        <f t="shared" si="82"/>
        <v>171.9194128119324</v>
      </c>
      <c r="D718" s="83">
        <f t="shared" si="87"/>
        <v>733.33333333333326</v>
      </c>
      <c r="E718">
        <f t="shared" si="83"/>
        <v>0</v>
      </c>
      <c r="G718">
        <v>668</v>
      </c>
      <c r="H718" s="13">
        <f t="shared" si="88"/>
        <v>-1.0275684203264746E-2</v>
      </c>
      <c r="I718">
        <f t="shared" si="89"/>
        <v>165.05525576415155</v>
      </c>
      <c r="J718">
        <f t="shared" si="84"/>
        <v>717.45873014481049</v>
      </c>
      <c r="K718" s="27">
        <f t="shared" si="85"/>
        <v>-5289.1739390569965</v>
      </c>
    </row>
    <row r="719" spans="1:11" x14ac:dyDescent="0.25">
      <c r="A719" s="26">
        <v>669</v>
      </c>
      <c r="B719" s="82">
        <f t="shared" si="86"/>
        <v>0</v>
      </c>
      <c r="C719" s="58">
        <f t="shared" si="82"/>
        <v>171.9194128119324</v>
      </c>
      <c r="D719" s="83">
        <f t="shared" si="87"/>
        <v>733.33333333333326</v>
      </c>
      <c r="E719">
        <f t="shared" si="83"/>
        <v>0</v>
      </c>
      <c r="G719">
        <v>669</v>
      </c>
      <c r="H719" s="13">
        <f t="shared" si="88"/>
        <v>-1.0275684203264746E-2</v>
      </c>
      <c r="I719">
        <f t="shared" si="89"/>
        <v>165.04498007994829</v>
      </c>
      <c r="J719">
        <f t="shared" si="84"/>
        <v>717.43106161804781</v>
      </c>
      <c r="K719" s="27">
        <f t="shared" si="85"/>
        <v>-5288.7658771660135</v>
      </c>
    </row>
    <row r="720" spans="1:11" x14ac:dyDescent="0.25">
      <c r="A720" s="26">
        <v>670</v>
      </c>
      <c r="B720" s="82">
        <f t="shared" si="86"/>
        <v>0</v>
      </c>
      <c r="C720" s="58">
        <f t="shared" ref="C720:C783" si="90">($C$37-$C$36)/2000+C719</f>
        <v>171.9194128119324</v>
      </c>
      <c r="D720" s="83">
        <f t="shared" si="87"/>
        <v>733.33333333333326</v>
      </c>
      <c r="E720">
        <f t="shared" si="83"/>
        <v>0</v>
      </c>
      <c r="G720">
        <v>670</v>
      </c>
      <c r="H720" s="13">
        <f t="shared" si="88"/>
        <v>-1.0275684203264746E-2</v>
      </c>
      <c r="I720">
        <f t="shared" si="89"/>
        <v>165.03470439574502</v>
      </c>
      <c r="J720">
        <f t="shared" si="84"/>
        <v>717.40337791557624</v>
      </c>
      <c r="K720" s="27">
        <f t="shared" si="85"/>
        <v>-5288.3576071141933</v>
      </c>
    </row>
    <row r="721" spans="1:11" x14ac:dyDescent="0.25">
      <c r="A721" s="26">
        <v>671</v>
      </c>
      <c r="B721" s="82">
        <f t="shared" si="86"/>
        <v>0</v>
      </c>
      <c r="C721" s="58">
        <f t="shared" si="90"/>
        <v>171.9194128119324</v>
      </c>
      <c r="D721" s="83">
        <f t="shared" si="87"/>
        <v>733.33333333333326</v>
      </c>
      <c r="E721">
        <f t="shared" si="83"/>
        <v>0</v>
      </c>
      <c r="G721">
        <v>671</v>
      </c>
      <c r="H721" s="13">
        <f t="shared" si="88"/>
        <v>-1.0275684203264746E-2</v>
      </c>
      <c r="I721">
        <f t="shared" si="89"/>
        <v>165.02442871154176</v>
      </c>
      <c r="J721">
        <f t="shared" si="84"/>
        <v>717.37567901542923</v>
      </c>
      <c r="K721" s="27">
        <f t="shared" si="85"/>
        <v>-5287.9491286032126</v>
      </c>
    </row>
    <row r="722" spans="1:11" x14ac:dyDescent="0.25">
      <c r="A722" s="26">
        <v>672</v>
      </c>
      <c r="B722" s="82">
        <f t="shared" si="86"/>
        <v>0</v>
      </c>
      <c r="C722" s="58">
        <f t="shared" si="90"/>
        <v>171.9194128119324</v>
      </c>
      <c r="D722" s="83">
        <f t="shared" si="87"/>
        <v>733.33333333333326</v>
      </c>
      <c r="E722">
        <f t="shared" si="83"/>
        <v>0</v>
      </c>
      <c r="G722">
        <v>672</v>
      </c>
      <c r="H722" s="13">
        <f t="shared" si="88"/>
        <v>-1.0275684203264746E-2</v>
      </c>
      <c r="I722">
        <f t="shared" si="89"/>
        <v>165.01415302733849</v>
      </c>
      <c r="J722">
        <f t="shared" si="84"/>
        <v>717.34796489558539</v>
      </c>
      <c r="K722" s="27">
        <f t="shared" si="85"/>
        <v>-5287.5404413340048</v>
      </c>
    </row>
    <row r="723" spans="1:11" x14ac:dyDescent="0.25">
      <c r="A723" s="26">
        <v>673</v>
      </c>
      <c r="B723" s="82">
        <f t="shared" si="86"/>
        <v>0</v>
      </c>
      <c r="C723" s="58">
        <f t="shared" si="90"/>
        <v>171.9194128119324</v>
      </c>
      <c r="D723" s="83">
        <f t="shared" si="87"/>
        <v>733.33333333333326</v>
      </c>
      <c r="E723">
        <f t="shared" si="83"/>
        <v>0</v>
      </c>
      <c r="G723">
        <v>673</v>
      </c>
      <c r="H723" s="13">
        <f t="shared" si="88"/>
        <v>-1.0275684203264746E-2</v>
      </c>
      <c r="I723">
        <f t="shared" si="89"/>
        <v>165.00387734313523</v>
      </c>
      <c r="J723">
        <f t="shared" si="84"/>
        <v>717.32023553396868</v>
      </c>
      <c r="K723" s="27">
        <f t="shared" si="85"/>
        <v>-5287.1315450067577</v>
      </c>
    </row>
    <row r="724" spans="1:11" x14ac:dyDescent="0.25">
      <c r="A724" s="26">
        <v>674</v>
      </c>
      <c r="B724" s="82">
        <f t="shared" si="86"/>
        <v>0</v>
      </c>
      <c r="C724" s="58">
        <f t="shared" si="90"/>
        <v>171.9194128119324</v>
      </c>
      <c r="D724" s="83">
        <f t="shared" si="87"/>
        <v>733.33333333333326</v>
      </c>
      <c r="E724">
        <f t="shared" si="83"/>
        <v>0</v>
      </c>
      <c r="G724">
        <v>674</v>
      </c>
      <c r="H724" s="13">
        <f t="shared" si="88"/>
        <v>-1.0275684203264746E-2</v>
      </c>
      <c r="I724">
        <f t="shared" si="89"/>
        <v>164.99360165893196</v>
      </c>
      <c r="J724">
        <f t="shared" si="84"/>
        <v>717.29249090844826</v>
      </c>
      <c r="K724" s="27">
        <f t="shared" si="85"/>
        <v>-5286.7224393209208</v>
      </c>
    </row>
    <row r="725" spans="1:11" x14ac:dyDescent="0.25">
      <c r="A725" s="26">
        <v>675</v>
      </c>
      <c r="B725" s="82">
        <f t="shared" si="86"/>
        <v>0</v>
      </c>
      <c r="C725" s="58">
        <f t="shared" si="90"/>
        <v>171.9194128119324</v>
      </c>
      <c r="D725" s="83">
        <f t="shared" si="87"/>
        <v>733.33333333333326</v>
      </c>
      <c r="E725">
        <f t="shared" si="83"/>
        <v>0</v>
      </c>
      <c r="G725">
        <v>675</v>
      </c>
      <c r="H725" s="13">
        <f t="shared" si="88"/>
        <v>-1.0275684203264746E-2</v>
      </c>
      <c r="I725">
        <f t="shared" si="89"/>
        <v>164.9833259747287</v>
      </c>
      <c r="J725">
        <f t="shared" si="84"/>
        <v>717.26473099683813</v>
      </c>
      <c r="K725" s="27">
        <f t="shared" si="85"/>
        <v>-5286.3131239751892</v>
      </c>
    </row>
    <row r="726" spans="1:11" x14ac:dyDescent="0.25">
      <c r="A726" s="26">
        <v>676</v>
      </c>
      <c r="B726" s="82">
        <f t="shared" si="86"/>
        <v>0</v>
      </c>
      <c r="C726" s="58">
        <f t="shared" si="90"/>
        <v>171.9194128119324</v>
      </c>
      <c r="D726" s="83">
        <f t="shared" si="87"/>
        <v>733.33333333333326</v>
      </c>
      <c r="E726">
        <f t="shared" si="83"/>
        <v>0</v>
      </c>
      <c r="G726">
        <v>676</v>
      </c>
      <c r="H726" s="13">
        <f t="shared" si="88"/>
        <v>-1.0275684203264746E-2</v>
      </c>
      <c r="I726">
        <f t="shared" si="89"/>
        <v>164.97305029052544</v>
      </c>
      <c r="J726">
        <f t="shared" si="84"/>
        <v>717.23695577689716</v>
      </c>
      <c r="K726" s="27">
        <f t="shared" si="85"/>
        <v>-5285.903598667509</v>
      </c>
    </row>
    <row r="727" spans="1:11" x14ac:dyDescent="0.25">
      <c r="A727" s="26">
        <v>677</v>
      </c>
      <c r="B727" s="82">
        <f t="shared" si="86"/>
        <v>0</v>
      </c>
      <c r="C727" s="58">
        <f t="shared" si="90"/>
        <v>171.9194128119324</v>
      </c>
      <c r="D727" s="83">
        <f t="shared" si="87"/>
        <v>733.33333333333326</v>
      </c>
      <c r="E727">
        <f t="shared" si="83"/>
        <v>0</v>
      </c>
      <c r="G727">
        <v>677</v>
      </c>
      <c r="H727" s="13">
        <f t="shared" si="88"/>
        <v>-1.0275684203264746E-2</v>
      </c>
      <c r="I727">
        <f t="shared" si="89"/>
        <v>164.96277460632217</v>
      </c>
      <c r="J727">
        <f t="shared" si="84"/>
        <v>717.20916522632842</v>
      </c>
      <c r="K727" s="27">
        <f t="shared" si="85"/>
        <v>-5285.4938630950719</v>
      </c>
    </row>
    <row r="728" spans="1:11" x14ac:dyDescent="0.25">
      <c r="A728" s="26">
        <v>678</v>
      </c>
      <c r="B728" s="82">
        <f t="shared" si="86"/>
        <v>0</v>
      </c>
      <c r="C728" s="58">
        <f t="shared" si="90"/>
        <v>171.9194128119324</v>
      </c>
      <c r="D728" s="83">
        <f t="shared" si="87"/>
        <v>733.33333333333326</v>
      </c>
      <c r="E728">
        <f t="shared" si="83"/>
        <v>0</v>
      </c>
      <c r="G728">
        <v>678</v>
      </c>
      <c r="H728" s="13">
        <f t="shared" si="88"/>
        <v>-1.0275684203264746E-2</v>
      </c>
      <c r="I728">
        <f t="shared" si="89"/>
        <v>164.95249892211891</v>
      </c>
      <c r="J728">
        <f t="shared" si="84"/>
        <v>717.18135932277971</v>
      </c>
      <c r="K728" s="27">
        <f t="shared" si="85"/>
        <v>-5285.0839169543133</v>
      </c>
    </row>
    <row r="729" spans="1:11" x14ac:dyDescent="0.25">
      <c r="A729" s="26">
        <v>679</v>
      </c>
      <c r="B729" s="82">
        <f t="shared" si="86"/>
        <v>0</v>
      </c>
      <c r="C729" s="58">
        <f t="shared" si="90"/>
        <v>171.9194128119324</v>
      </c>
      <c r="D729" s="83">
        <f t="shared" si="87"/>
        <v>733.33333333333326</v>
      </c>
      <c r="E729">
        <f t="shared" si="83"/>
        <v>0</v>
      </c>
      <c r="G729">
        <v>679</v>
      </c>
      <c r="H729" s="13">
        <f t="shared" si="88"/>
        <v>-1.0275684203264746E-2</v>
      </c>
      <c r="I729">
        <f t="shared" si="89"/>
        <v>164.94222323791564</v>
      </c>
      <c r="J729">
        <f t="shared" si="84"/>
        <v>717.15353804384256</v>
      </c>
      <c r="K729" s="27">
        <f t="shared" si="85"/>
        <v>-5284.6737599409071</v>
      </c>
    </row>
    <row r="730" spans="1:11" x14ac:dyDescent="0.25">
      <c r="A730" s="26">
        <v>680</v>
      </c>
      <c r="B730" s="82">
        <f t="shared" si="86"/>
        <v>0</v>
      </c>
      <c r="C730" s="58">
        <f t="shared" si="90"/>
        <v>171.9194128119324</v>
      </c>
      <c r="D730" s="83">
        <f t="shared" si="87"/>
        <v>733.33333333333326</v>
      </c>
      <c r="E730">
        <f t="shared" si="83"/>
        <v>0</v>
      </c>
      <c r="G730">
        <v>680</v>
      </c>
      <c r="H730" s="13">
        <f t="shared" si="88"/>
        <v>-1.0275684203264746E-2</v>
      </c>
      <c r="I730">
        <f t="shared" si="89"/>
        <v>164.93194755371238</v>
      </c>
      <c r="J730">
        <f t="shared" si="84"/>
        <v>717.1257013670529</v>
      </c>
      <c r="K730" s="27">
        <f t="shared" si="85"/>
        <v>-5284.2633917497742</v>
      </c>
    </row>
    <row r="731" spans="1:11" x14ac:dyDescent="0.25">
      <c r="A731" s="26">
        <v>681</v>
      </c>
      <c r="B731" s="82">
        <f t="shared" si="86"/>
        <v>0</v>
      </c>
      <c r="C731" s="58">
        <f t="shared" si="90"/>
        <v>171.9194128119324</v>
      </c>
      <c r="D731" s="83">
        <f t="shared" si="87"/>
        <v>733.33333333333326</v>
      </c>
      <c r="E731">
        <f t="shared" si="83"/>
        <v>0</v>
      </c>
      <c r="G731">
        <v>681</v>
      </c>
      <c r="H731" s="13">
        <f t="shared" si="88"/>
        <v>-1.0275684203264746E-2</v>
      </c>
      <c r="I731">
        <f t="shared" si="89"/>
        <v>164.92167186950911</v>
      </c>
      <c r="J731">
        <f t="shared" si="84"/>
        <v>717.09784926989016</v>
      </c>
      <c r="K731" s="27">
        <f t="shared" si="85"/>
        <v>-5283.8528120750607</v>
      </c>
    </row>
    <row r="732" spans="1:11" x14ac:dyDescent="0.25">
      <c r="A732" s="26">
        <v>682</v>
      </c>
      <c r="B732" s="82">
        <f t="shared" si="86"/>
        <v>0</v>
      </c>
      <c r="C732" s="58">
        <f t="shared" si="90"/>
        <v>171.9194128119324</v>
      </c>
      <c r="D732" s="83">
        <f t="shared" si="87"/>
        <v>733.33333333333326</v>
      </c>
      <c r="E732">
        <f t="shared" si="83"/>
        <v>0</v>
      </c>
      <c r="G732">
        <v>682</v>
      </c>
      <c r="H732" s="13">
        <f t="shared" si="88"/>
        <v>-1.0275684203264746E-2</v>
      </c>
      <c r="I732">
        <f t="shared" si="89"/>
        <v>164.91139618530585</v>
      </c>
      <c r="J732">
        <f t="shared" si="84"/>
        <v>717.06998172977717</v>
      </c>
      <c r="K732" s="27">
        <f t="shared" si="85"/>
        <v>-5283.4420206101504</v>
      </c>
    </row>
    <row r="733" spans="1:11" x14ac:dyDescent="0.25">
      <c r="A733" s="26">
        <v>683</v>
      </c>
      <c r="B733" s="82">
        <f t="shared" si="86"/>
        <v>0</v>
      </c>
      <c r="C733" s="58">
        <f t="shared" si="90"/>
        <v>171.9194128119324</v>
      </c>
      <c r="D733" s="83">
        <f t="shared" si="87"/>
        <v>733.33333333333326</v>
      </c>
      <c r="E733">
        <f t="shared" si="83"/>
        <v>0</v>
      </c>
      <c r="G733">
        <v>683</v>
      </c>
      <c r="H733" s="13">
        <f t="shared" si="88"/>
        <v>-1.0275684203264746E-2</v>
      </c>
      <c r="I733">
        <f t="shared" si="89"/>
        <v>164.90112050110258</v>
      </c>
      <c r="J733">
        <f t="shared" si="84"/>
        <v>717.04209872408046</v>
      </c>
      <c r="K733" s="27">
        <f t="shared" si="85"/>
        <v>-5283.0310170476596</v>
      </c>
    </row>
    <row r="734" spans="1:11" x14ac:dyDescent="0.25">
      <c r="A734" s="26">
        <v>684</v>
      </c>
      <c r="B734" s="82">
        <f t="shared" si="86"/>
        <v>0</v>
      </c>
      <c r="C734" s="58">
        <f t="shared" si="90"/>
        <v>171.9194128119324</v>
      </c>
      <c r="D734" s="83">
        <f t="shared" si="87"/>
        <v>733.33333333333326</v>
      </c>
      <c r="E734">
        <f t="shared" si="83"/>
        <v>0</v>
      </c>
      <c r="G734">
        <v>684</v>
      </c>
      <c r="H734" s="13">
        <f t="shared" si="88"/>
        <v>-1.0275684203264746E-2</v>
      </c>
      <c r="I734">
        <f t="shared" si="89"/>
        <v>164.89084481689932</v>
      </c>
      <c r="J734">
        <f t="shared" si="84"/>
        <v>717.0142002301094</v>
      </c>
      <c r="K734" s="27">
        <f t="shared" si="85"/>
        <v>-5282.619801079426</v>
      </c>
    </row>
    <row r="735" spans="1:11" x14ac:dyDescent="0.25">
      <c r="A735" s="26">
        <v>685</v>
      </c>
      <c r="B735" s="82">
        <f t="shared" si="86"/>
        <v>0</v>
      </c>
      <c r="C735" s="58">
        <f t="shared" si="90"/>
        <v>171.9194128119324</v>
      </c>
      <c r="D735" s="83">
        <f t="shared" si="87"/>
        <v>733.33333333333326</v>
      </c>
      <c r="E735">
        <f t="shared" si="83"/>
        <v>0</v>
      </c>
      <c r="G735">
        <v>685</v>
      </c>
      <c r="H735" s="13">
        <f t="shared" si="88"/>
        <v>-1.0275684203264746E-2</v>
      </c>
      <c r="I735">
        <f t="shared" si="89"/>
        <v>164.88056913269605</v>
      </c>
      <c r="J735">
        <f t="shared" si="84"/>
        <v>716.98628622511649</v>
      </c>
      <c r="K735" s="27">
        <f t="shared" si="85"/>
        <v>-5282.2083723965188</v>
      </c>
    </row>
    <row r="736" spans="1:11" x14ac:dyDescent="0.25">
      <c r="A736" s="26">
        <v>686</v>
      </c>
      <c r="B736" s="82">
        <f t="shared" si="86"/>
        <v>0</v>
      </c>
      <c r="C736" s="58">
        <f t="shared" si="90"/>
        <v>171.9194128119324</v>
      </c>
      <c r="D736" s="83">
        <f t="shared" si="87"/>
        <v>733.33333333333326</v>
      </c>
      <c r="E736">
        <f t="shared" si="83"/>
        <v>0</v>
      </c>
      <c r="G736">
        <v>686</v>
      </c>
      <c r="H736" s="13">
        <f t="shared" si="88"/>
        <v>-1.0275684203264746E-2</v>
      </c>
      <c r="I736">
        <f t="shared" si="89"/>
        <v>164.87029344849279</v>
      </c>
      <c r="J736">
        <f t="shared" si="84"/>
        <v>716.95835668629695</v>
      </c>
      <c r="K736" s="27">
        <f t="shared" si="85"/>
        <v>-5281.7967306892233</v>
      </c>
    </row>
    <row r="737" spans="1:11" x14ac:dyDescent="0.25">
      <c r="A737" s="26">
        <v>687</v>
      </c>
      <c r="B737" s="82">
        <f t="shared" si="86"/>
        <v>0</v>
      </c>
      <c r="C737" s="58">
        <f t="shared" si="90"/>
        <v>171.9194128119324</v>
      </c>
      <c r="D737" s="83">
        <f t="shared" si="87"/>
        <v>733.33333333333326</v>
      </c>
      <c r="E737">
        <f t="shared" si="83"/>
        <v>0</v>
      </c>
      <c r="G737">
        <v>687</v>
      </c>
      <c r="H737" s="13">
        <f t="shared" si="88"/>
        <v>-1.0275684203264746E-2</v>
      </c>
      <c r="I737">
        <f t="shared" si="89"/>
        <v>164.86001776428952</v>
      </c>
      <c r="J737">
        <f t="shared" si="84"/>
        <v>716.93041159078837</v>
      </c>
      <c r="K737" s="27">
        <f t="shared" si="85"/>
        <v>-5281.3848756470497</v>
      </c>
    </row>
    <row r="738" spans="1:11" x14ac:dyDescent="0.25">
      <c r="A738" s="26">
        <v>688</v>
      </c>
      <c r="B738" s="82">
        <f t="shared" si="86"/>
        <v>0</v>
      </c>
      <c r="C738" s="58">
        <f t="shared" si="90"/>
        <v>171.9194128119324</v>
      </c>
      <c r="D738" s="83">
        <f t="shared" si="87"/>
        <v>733.33333333333326</v>
      </c>
      <c r="E738">
        <f t="shared" si="83"/>
        <v>0</v>
      </c>
      <c r="G738">
        <v>688</v>
      </c>
      <c r="H738" s="13">
        <f t="shared" si="88"/>
        <v>-1.0275684203264746E-2</v>
      </c>
      <c r="I738">
        <f t="shared" si="89"/>
        <v>164.84974208008626</v>
      </c>
      <c r="J738">
        <f t="shared" si="84"/>
        <v>716.90245091567101</v>
      </c>
      <c r="K738" s="27">
        <f t="shared" si="85"/>
        <v>-5280.9728069587209</v>
      </c>
    </row>
    <row r="739" spans="1:11" x14ac:dyDescent="0.25">
      <c r="A739" s="26">
        <v>689</v>
      </c>
      <c r="B739" s="82">
        <f t="shared" si="86"/>
        <v>0</v>
      </c>
      <c r="C739" s="58">
        <f t="shared" si="90"/>
        <v>171.9194128119324</v>
      </c>
      <c r="D739" s="83">
        <f t="shared" si="87"/>
        <v>733.33333333333326</v>
      </c>
      <c r="E739">
        <f t="shared" si="83"/>
        <v>0</v>
      </c>
      <c r="G739">
        <v>689</v>
      </c>
      <c r="H739" s="13">
        <f t="shared" si="88"/>
        <v>-1.0275684203264746E-2</v>
      </c>
      <c r="I739">
        <f t="shared" si="89"/>
        <v>164.83946639588299</v>
      </c>
      <c r="J739">
        <f t="shared" si="84"/>
        <v>716.87447463796707</v>
      </c>
      <c r="K739" s="27">
        <f t="shared" si="85"/>
        <v>-5280.5605243121745</v>
      </c>
    </row>
    <row r="740" spans="1:11" x14ac:dyDescent="0.25">
      <c r="A740" s="26">
        <v>690</v>
      </c>
      <c r="B740" s="82">
        <f t="shared" si="86"/>
        <v>0</v>
      </c>
      <c r="C740" s="58">
        <f t="shared" si="90"/>
        <v>171.9194128119324</v>
      </c>
      <c r="D740" s="83">
        <f t="shared" si="87"/>
        <v>733.33333333333326</v>
      </c>
      <c r="E740">
        <f t="shared" si="83"/>
        <v>0</v>
      </c>
      <c r="G740">
        <v>690</v>
      </c>
      <c r="H740" s="13">
        <f t="shared" si="88"/>
        <v>-1.0275684203264746E-2</v>
      </c>
      <c r="I740">
        <f t="shared" si="89"/>
        <v>164.82919071167973</v>
      </c>
      <c r="J740">
        <f t="shared" si="84"/>
        <v>716.84648273464063</v>
      </c>
      <c r="K740" s="27">
        <f t="shared" si="85"/>
        <v>-5280.1480273945599</v>
      </c>
    </row>
    <row r="741" spans="1:11" x14ac:dyDescent="0.25">
      <c r="A741" s="26">
        <v>691</v>
      </c>
      <c r="B741" s="82">
        <f t="shared" si="86"/>
        <v>0</v>
      </c>
      <c r="C741" s="58">
        <f t="shared" si="90"/>
        <v>171.9194128119324</v>
      </c>
      <c r="D741" s="83">
        <f t="shared" si="87"/>
        <v>733.33333333333326</v>
      </c>
      <c r="E741">
        <f t="shared" si="83"/>
        <v>0</v>
      </c>
      <c r="G741">
        <v>691</v>
      </c>
      <c r="H741" s="13">
        <f t="shared" si="88"/>
        <v>-1.0275684203264746E-2</v>
      </c>
      <c r="I741">
        <f t="shared" si="89"/>
        <v>164.81891502747646</v>
      </c>
      <c r="J741">
        <f t="shared" si="84"/>
        <v>716.81847518259758</v>
      </c>
      <c r="K741" s="27">
        <f t="shared" si="85"/>
        <v>-5279.7353158922333</v>
      </c>
    </row>
    <row r="742" spans="1:11" x14ac:dyDescent="0.25">
      <c r="A742" s="26">
        <v>692</v>
      </c>
      <c r="B742" s="82">
        <f t="shared" si="86"/>
        <v>0</v>
      </c>
      <c r="C742" s="58">
        <f t="shared" si="90"/>
        <v>171.9194128119324</v>
      </c>
      <c r="D742" s="83">
        <f t="shared" si="87"/>
        <v>733.33333333333326</v>
      </c>
      <c r="E742">
        <f t="shared" si="83"/>
        <v>0</v>
      </c>
      <c r="G742">
        <v>692</v>
      </c>
      <c r="H742" s="13">
        <f t="shared" si="88"/>
        <v>-1.0275684203264746E-2</v>
      </c>
      <c r="I742">
        <f t="shared" si="89"/>
        <v>164.8086393432732</v>
      </c>
      <c r="J742">
        <f t="shared" si="84"/>
        <v>716.79045195868537</v>
      </c>
      <c r="K742" s="27">
        <f t="shared" si="85"/>
        <v>-5279.3223894907578</v>
      </c>
    </row>
    <row r="743" spans="1:11" x14ac:dyDescent="0.25">
      <c r="A743" s="26">
        <v>693</v>
      </c>
      <c r="B743" s="82">
        <f t="shared" si="86"/>
        <v>0</v>
      </c>
      <c r="C743" s="58">
        <f t="shared" si="90"/>
        <v>171.9194128119324</v>
      </c>
      <c r="D743" s="83">
        <f t="shared" si="87"/>
        <v>733.33333333333326</v>
      </c>
      <c r="E743">
        <f t="shared" si="83"/>
        <v>0</v>
      </c>
      <c r="G743">
        <v>693</v>
      </c>
      <c r="H743" s="13">
        <f t="shared" si="88"/>
        <v>-1.0275684203264746E-2</v>
      </c>
      <c r="I743">
        <f t="shared" si="89"/>
        <v>164.79836365906993</v>
      </c>
      <c r="J743">
        <f t="shared" si="84"/>
        <v>716.76241303969266</v>
      </c>
      <c r="K743" s="27">
        <f t="shared" si="85"/>
        <v>-5278.9092478748962</v>
      </c>
    </row>
    <row r="744" spans="1:11" x14ac:dyDescent="0.25">
      <c r="A744" s="26">
        <v>694</v>
      </c>
      <c r="B744" s="82">
        <f t="shared" si="86"/>
        <v>0</v>
      </c>
      <c r="C744" s="58">
        <f t="shared" si="90"/>
        <v>171.9194128119324</v>
      </c>
      <c r="D744" s="83">
        <f t="shared" si="87"/>
        <v>733.33333333333326</v>
      </c>
      <c r="E744">
        <f t="shared" si="83"/>
        <v>0</v>
      </c>
      <c r="G744">
        <v>694</v>
      </c>
      <c r="H744" s="13">
        <f t="shared" si="88"/>
        <v>-1.0275684203264746E-2</v>
      </c>
      <c r="I744">
        <f t="shared" si="89"/>
        <v>164.78808797486667</v>
      </c>
      <c r="J744">
        <f t="shared" si="84"/>
        <v>716.73435840234924</v>
      </c>
      <c r="K744" s="27">
        <f t="shared" si="85"/>
        <v>-5278.4958907286164</v>
      </c>
    </row>
    <row r="745" spans="1:11" x14ac:dyDescent="0.25">
      <c r="A745" s="26">
        <v>695</v>
      </c>
      <c r="B745" s="82">
        <f t="shared" si="86"/>
        <v>0</v>
      </c>
      <c r="C745" s="58">
        <f t="shared" si="90"/>
        <v>171.9194128119324</v>
      </c>
      <c r="D745" s="83">
        <f t="shared" si="87"/>
        <v>733.33333333333326</v>
      </c>
      <c r="E745">
        <f t="shared" si="83"/>
        <v>0</v>
      </c>
      <c r="G745">
        <v>695</v>
      </c>
      <c r="H745" s="13">
        <f t="shared" si="88"/>
        <v>-1.0275684203264746E-2</v>
      </c>
      <c r="I745">
        <f t="shared" si="89"/>
        <v>164.77781229066341</v>
      </c>
      <c r="J745">
        <f t="shared" si="84"/>
        <v>716.7062880233259</v>
      </c>
      <c r="K745" s="27">
        <f t="shared" si="85"/>
        <v>-5278.0823177350767</v>
      </c>
    </row>
    <row r="746" spans="1:11" x14ac:dyDescent="0.25">
      <c r="A746" s="26">
        <v>696</v>
      </c>
      <c r="B746" s="82">
        <f t="shared" si="86"/>
        <v>0</v>
      </c>
      <c r="C746" s="58">
        <f t="shared" si="90"/>
        <v>171.9194128119324</v>
      </c>
      <c r="D746" s="83">
        <f t="shared" si="87"/>
        <v>733.33333333333326</v>
      </c>
      <c r="E746">
        <f t="shared" si="83"/>
        <v>0</v>
      </c>
      <c r="G746">
        <v>696</v>
      </c>
      <c r="H746" s="13">
        <f t="shared" si="88"/>
        <v>-1.0275684203264746E-2</v>
      </c>
      <c r="I746">
        <f t="shared" si="89"/>
        <v>164.76753660646014</v>
      </c>
      <c r="J746">
        <f t="shared" si="84"/>
        <v>716.67820187923394</v>
      </c>
      <c r="K746" s="27">
        <f t="shared" si="85"/>
        <v>-5277.6685285766343</v>
      </c>
    </row>
    <row r="747" spans="1:11" x14ac:dyDescent="0.25">
      <c r="A747" s="26">
        <v>697</v>
      </c>
      <c r="B747" s="82">
        <f t="shared" si="86"/>
        <v>0</v>
      </c>
      <c r="C747" s="58">
        <f t="shared" si="90"/>
        <v>171.9194128119324</v>
      </c>
      <c r="D747" s="83">
        <f t="shared" si="87"/>
        <v>733.33333333333326</v>
      </c>
      <c r="E747">
        <f t="shared" si="83"/>
        <v>0</v>
      </c>
      <c r="G747">
        <v>697</v>
      </c>
      <c r="H747" s="13">
        <f t="shared" si="88"/>
        <v>-1.0275684203264746E-2</v>
      </c>
      <c r="I747">
        <f t="shared" si="89"/>
        <v>164.75726092225688</v>
      </c>
      <c r="J747">
        <f t="shared" si="84"/>
        <v>716.65009994662523</v>
      </c>
      <c r="K747" s="27">
        <f t="shared" si="85"/>
        <v>-5277.2545229348352</v>
      </c>
    </row>
    <row r="748" spans="1:11" x14ac:dyDescent="0.25">
      <c r="A748" s="26">
        <v>698</v>
      </c>
      <c r="B748" s="82">
        <f t="shared" si="86"/>
        <v>0</v>
      </c>
      <c r="C748" s="58">
        <f t="shared" si="90"/>
        <v>171.9194128119324</v>
      </c>
      <c r="D748" s="83">
        <f t="shared" si="87"/>
        <v>733.33333333333326</v>
      </c>
      <c r="E748">
        <f t="shared" si="83"/>
        <v>0</v>
      </c>
      <c r="G748">
        <v>698</v>
      </c>
      <c r="H748" s="13">
        <f t="shared" si="88"/>
        <v>-1.0275684203264746E-2</v>
      </c>
      <c r="I748">
        <f t="shared" si="89"/>
        <v>164.74698523805361</v>
      </c>
      <c r="J748">
        <f t="shared" si="84"/>
        <v>716.62198220199195</v>
      </c>
      <c r="K748" s="27">
        <f t="shared" si="85"/>
        <v>-5276.8403004904139</v>
      </c>
    </row>
    <row r="749" spans="1:11" x14ac:dyDescent="0.25">
      <c r="A749" s="26">
        <v>699</v>
      </c>
      <c r="B749" s="82">
        <f t="shared" si="86"/>
        <v>0</v>
      </c>
      <c r="C749" s="58">
        <f t="shared" si="90"/>
        <v>171.9194128119324</v>
      </c>
      <c r="D749" s="83">
        <f t="shared" si="87"/>
        <v>733.33333333333326</v>
      </c>
      <c r="E749">
        <f t="shared" si="83"/>
        <v>0</v>
      </c>
      <c r="G749">
        <v>699</v>
      </c>
      <c r="H749" s="13">
        <f t="shared" si="88"/>
        <v>-1.0275684203264746E-2</v>
      </c>
      <c r="I749">
        <f t="shared" si="89"/>
        <v>164.73670955385035</v>
      </c>
      <c r="J749">
        <f t="shared" si="84"/>
        <v>716.59384862176614</v>
      </c>
      <c r="K749" s="27">
        <f t="shared" si="85"/>
        <v>-5276.4258609232902</v>
      </c>
    </row>
    <row r="750" spans="1:11" x14ac:dyDescent="0.25">
      <c r="A750" s="26">
        <v>700</v>
      </c>
      <c r="B750" s="82">
        <f t="shared" si="86"/>
        <v>0</v>
      </c>
      <c r="C750" s="58">
        <f t="shared" si="90"/>
        <v>171.9194128119324</v>
      </c>
      <c r="D750" s="83">
        <f t="shared" si="87"/>
        <v>733.33333333333326</v>
      </c>
      <c r="E750">
        <f t="shared" si="83"/>
        <v>0</v>
      </c>
      <c r="G750">
        <v>700</v>
      </c>
      <c r="H750" s="13">
        <f t="shared" si="88"/>
        <v>-1.0275684203264746E-2</v>
      </c>
      <c r="I750">
        <f t="shared" si="89"/>
        <v>164.72643386964708</v>
      </c>
      <c r="J750">
        <f t="shared" si="84"/>
        <v>716.56569918231992</v>
      </c>
      <c r="K750" s="27">
        <f t="shared" si="85"/>
        <v>-5276.0112039125661</v>
      </c>
    </row>
    <row r="751" spans="1:11" x14ac:dyDescent="0.25">
      <c r="A751" s="26">
        <v>701</v>
      </c>
      <c r="B751" s="82">
        <f t="shared" si="86"/>
        <v>0</v>
      </c>
      <c r="C751" s="58">
        <f t="shared" si="90"/>
        <v>171.9194128119324</v>
      </c>
      <c r="D751" s="83">
        <f t="shared" si="87"/>
        <v>733.33333333333326</v>
      </c>
      <c r="E751">
        <f t="shared" si="83"/>
        <v>0</v>
      </c>
      <c r="G751">
        <v>701</v>
      </c>
      <c r="H751" s="13">
        <f t="shared" si="88"/>
        <v>-1.0275684203264746E-2</v>
      </c>
      <c r="I751">
        <f t="shared" si="89"/>
        <v>164.71615818544382</v>
      </c>
      <c r="J751">
        <f t="shared" si="84"/>
        <v>716.5375338599647</v>
      </c>
      <c r="K751" s="27">
        <f t="shared" si="85"/>
        <v>-5275.5963291365224</v>
      </c>
    </row>
    <row r="752" spans="1:11" x14ac:dyDescent="0.25">
      <c r="A752" s="26">
        <v>702</v>
      </c>
      <c r="B752" s="82">
        <f t="shared" si="86"/>
        <v>0</v>
      </c>
      <c r="C752" s="58">
        <f t="shared" si="90"/>
        <v>171.9194128119324</v>
      </c>
      <c r="D752" s="83">
        <f t="shared" si="87"/>
        <v>733.33333333333326</v>
      </c>
      <c r="E752">
        <f t="shared" si="83"/>
        <v>0</v>
      </c>
      <c r="G752">
        <v>702</v>
      </c>
      <c r="H752" s="13">
        <f t="shared" si="88"/>
        <v>-1.0275684203264746E-2</v>
      </c>
      <c r="I752">
        <f t="shared" si="89"/>
        <v>164.70588250124055</v>
      </c>
      <c r="J752">
        <f t="shared" si="84"/>
        <v>716.50935263095153</v>
      </c>
      <c r="K752" s="27">
        <f t="shared" si="85"/>
        <v>-5275.1812362726187</v>
      </c>
    </row>
    <row r="753" spans="1:11" x14ac:dyDescent="0.25">
      <c r="A753" s="26">
        <v>703</v>
      </c>
      <c r="B753" s="82">
        <f t="shared" si="86"/>
        <v>0</v>
      </c>
      <c r="C753" s="58">
        <f t="shared" si="90"/>
        <v>171.9194128119324</v>
      </c>
      <c r="D753" s="83">
        <f t="shared" si="87"/>
        <v>733.33333333333326</v>
      </c>
      <c r="E753">
        <f t="shared" si="83"/>
        <v>0</v>
      </c>
      <c r="G753">
        <v>703</v>
      </c>
      <c r="H753" s="13">
        <f t="shared" si="88"/>
        <v>-1.0275684203264746E-2</v>
      </c>
      <c r="I753">
        <f t="shared" si="89"/>
        <v>164.69560681703729</v>
      </c>
      <c r="J753">
        <f t="shared" si="84"/>
        <v>716.48115547147063</v>
      </c>
      <c r="K753" s="27">
        <f t="shared" si="85"/>
        <v>-5274.7659249974868</v>
      </c>
    </row>
    <row r="754" spans="1:11" x14ac:dyDescent="0.25">
      <c r="A754" s="26">
        <v>704</v>
      </c>
      <c r="B754" s="82">
        <f t="shared" si="86"/>
        <v>0</v>
      </c>
      <c r="C754" s="58">
        <f t="shared" si="90"/>
        <v>171.9194128119324</v>
      </c>
      <c r="D754" s="83">
        <f t="shared" si="87"/>
        <v>733.33333333333326</v>
      </c>
      <c r="E754">
        <f t="shared" si="83"/>
        <v>0</v>
      </c>
      <c r="G754">
        <v>704</v>
      </c>
      <c r="H754" s="13">
        <f t="shared" si="88"/>
        <v>-1.0275684203264746E-2</v>
      </c>
      <c r="I754">
        <f t="shared" si="89"/>
        <v>164.68533113283402</v>
      </c>
      <c r="J754">
        <f t="shared" si="84"/>
        <v>716.45294235765095</v>
      </c>
      <c r="K754" s="27">
        <f t="shared" si="85"/>
        <v>-5274.3503949869264</v>
      </c>
    </row>
    <row r="755" spans="1:11" x14ac:dyDescent="0.25">
      <c r="A755" s="26">
        <v>705</v>
      </c>
      <c r="B755" s="82">
        <f t="shared" si="86"/>
        <v>0</v>
      </c>
      <c r="C755" s="58">
        <f t="shared" si="90"/>
        <v>171.9194128119324</v>
      </c>
      <c r="D755" s="83">
        <f t="shared" si="87"/>
        <v>733.33333333333326</v>
      </c>
      <c r="E755">
        <f t="shared" ref="E755:E818" si="91">((D755^2)+(D755*D756)+(D756^2))*B756/3</f>
        <v>0</v>
      </c>
      <c r="G755">
        <v>705</v>
      </c>
      <c r="H755" s="13">
        <f t="shared" si="88"/>
        <v>-1.0275684203264746E-2</v>
      </c>
      <c r="I755">
        <f t="shared" si="89"/>
        <v>164.67505544863076</v>
      </c>
      <c r="J755">
        <f t="shared" ref="J755:J818" si="92">IF($G$28&lt;$C$14,0,((($C$11^2)-((I755-$C$13)^2))^0.5)+$C$16)</f>
        <v>716.42471326556051</v>
      </c>
      <c r="K755" s="27">
        <f t="shared" ref="K755:K818" si="93">((J755^2)+(J755*J756)+(J756^2))*H756/3</f>
        <v>-5273.9346459159096</v>
      </c>
    </row>
    <row r="756" spans="1:11" x14ac:dyDescent="0.25">
      <c r="A756" s="26">
        <v>706</v>
      </c>
      <c r="B756" s="82">
        <f t="shared" ref="B756:B819" si="94">C756-C755</f>
        <v>0</v>
      </c>
      <c r="C756" s="58">
        <f t="shared" si="90"/>
        <v>171.9194128119324</v>
      </c>
      <c r="D756" s="83">
        <f t="shared" ref="D756:D819" si="95">IF($G$28&lt;$C$14,0,((($C$11^2)-((C756-$C$13)^2))^0.5)+$C$16)</f>
        <v>733.33333333333326</v>
      </c>
      <c r="E756">
        <f t="shared" si="91"/>
        <v>0</v>
      </c>
      <c r="G756">
        <v>706</v>
      </c>
      <c r="H756" s="13">
        <f t="shared" ref="H756:H819" si="96">I756-I755</f>
        <v>-1.0275684203264746E-2</v>
      </c>
      <c r="I756">
        <f t="shared" ref="I756:I819" si="97">($G$27-$C$14)/2000+I755</f>
        <v>164.66477976442749</v>
      </c>
      <c r="J756">
        <f t="shared" si="92"/>
        <v>716.3964681712057</v>
      </c>
      <c r="K756" s="27">
        <f t="shared" si="93"/>
        <v>-5273.51867745857</v>
      </c>
    </row>
    <row r="757" spans="1:11" x14ac:dyDescent="0.25">
      <c r="A757" s="26">
        <v>707</v>
      </c>
      <c r="B757" s="82">
        <f t="shared" si="94"/>
        <v>0</v>
      </c>
      <c r="C757" s="58">
        <f t="shared" si="90"/>
        <v>171.9194128119324</v>
      </c>
      <c r="D757" s="83">
        <f t="shared" si="95"/>
        <v>733.33333333333326</v>
      </c>
      <c r="E757">
        <f t="shared" si="91"/>
        <v>0</v>
      </c>
      <c r="G757">
        <v>707</v>
      </c>
      <c r="H757" s="13">
        <f t="shared" si="96"/>
        <v>-1.0275684203264746E-2</v>
      </c>
      <c r="I757">
        <f t="shared" si="97"/>
        <v>164.65450408022423</v>
      </c>
      <c r="J757">
        <f t="shared" si="92"/>
        <v>716.36820705053094</v>
      </c>
      <c r="K757" s="27">
        <f t="shared" si="93"/>
        <v>-5273.1024892882015</v>
      </c>
    </row>
    <row r="758" spans="1:11" x14ac:dyDescent="0.25">
      <c r="A758" s="26">
        <v>708</v>
      </c>
      <c r="B758" s="82">
        <f t="shared" si="94"/>
        <v>0</v>
      </c>
      <c r="C758" s="58">
        <f t="shared" si="90"/>
        <v>171.9194128119324</v>
      </c>
      <c r="D758" s="83">
        <f t="shared" si="95"/>
        <v>733.33333333333326</v>
      </c>
      <c r="E758">
        <f t="shared" si="91"/>
        <v>0</v>
      </c>
      <c r="G758">
        <v>708</v>
      </c>
      <c r="H758" s="13">
        <f t="shared" si="96"/>
        <v>-1.0275684203264746E-2</v>
      </c>
      <c r="I758">
        <f t="shared" si="97"/>
        <v>164.64422839602096</v>
      </c>
      <c r="J758">
        <f t="shared" si="92"/>
        <v>716.33992987941917</v>
      </c>
      <c r="K758" s="27">
        <f t="shared" si="93"/>
        <v>-5272.6860810772596</v>
      </c>
    </row>
    <row r="759" spans="1:11" x14ac:dyDescent="0.25">
      <c r="A759" s="26">
        <v>709</v>
      </c>
      <c r="B759" s="82">
        <f t="shared" si="94"/>
        <v>0</v>
      </c>
      <c r="C759" s="58">
        <f t="shared" si="90"/>
        <v>171.9194128119324</v>
      </c>
      <c r="D759" s="83">
        <f t="shared" si="95"/>
        <v>733.33333333333326</v>
      </c>
      <c r="E759">
        <f t="shared" si="91"/>
        <v>0</v>
      </c>
      <c r="G759">
        <v>709</v>
      </c>
      <c r="H759" s="13">
        <f t="shared" si="96"/>
        <v>-1.0275684203264746E-2</v>
      </c>
      <c r="I759">
        <f t="shared" si="97"/>
        <v>164.6339527118177</v>
      </c>
      <c r="J759">
        <f t="shared" si="92"/>
        <v>716.31163663369091</v>
      </c>
      <c r="K759" s="27">
        <f t="shared" si="93"/>
        <v>-5272.2694524973558</v>
      </c>
    </row>
    <row r="760" spans="1:11" x14ac:dyDescent="0.25">
      <c r="A760" s="26">
        <v>710</v>
      </c>
      <c r="B760" s="82">
        <f t="shared" si="94"/>
        <v>0</v>
      </c>
      <c r="C760" s="58">
        <f t="shared" si="90"/>
        <v>171.9194128119324</v>
      </c>
      <c r="D760" s="83">
        <f t="shared" si="95"/>
        <v>733.33333333333326</v>
      </c>
      <c r="E760">
        <f t="shared" si="91"/>
        <v>0</v>
      </c>
      <c r="G760">
        <v>710</v>
      </c>
      <c r="H760" s="13">
        <f t="shared" si="96"/>
        <v>-1.0275684203264746E-2</v>
      </c>
      <c r="I760">
        <f t="shared" si="97"/>
        <v>164.62367702761443</v>
      </c>
      <c r="J760">
        <f t="shared" si="92"/>
        <v>716.28332728910436</v>
      </c>
      <c r="K760" s="27">
        <f t="shared" si="93"/>
        <v>-5271.8526032192503</v>
      </c>
    </row>
    <row r="761" spans="1:11" x14ac:dyDescent="0.25">
      <c r="A761" s="26">
        <v>711</v>
      </c>
      <c r="B761" s="82">
        <f t="shared" si="94"/>
        <v>0</v>
      </c>
      <c r="C761" s="58">
        <f t="shared" si="90"/>
        <v>171.9194128119324</v>
      </c>
      <c r="D761" s="83">
        <f t="shared" si="95"/>
        <v>733.33333333333326</v>
      </c>
      <c r="E761">
        <f t="shared" si="91"/>
        <v>0</v>
      </c>
      <c r="G761">
        <v>711</v>
      </c>
      <c r="H761" s="13">
        <f t="shared" si="96"/>
        <v>-1.0275684203264746E-2</v>
      </c>
      <c r="I761">
        <f t="shared" si="97"/>
        <v>164.61340134341117</v>
      </c>
      <c r="J761">
        <f t="shared" si="92"/>
        <v>716.25500182135522</v>
      </c>
      <c r="K761" s="27">
        <f t="shared" si="93"/>
        <v>-5271.4355329128539</v>
      </c>
    </row>
    <row r="762" spans="1:11" x14ac:dyDescent="0.25">
      <c r="A762" s="26">
        <v>712</v>
      </c>
      <c r="B762" s="82">
        <f t="shared" si="94"/>
        <v>0</v>
      </c>
      <c r="C762" s="58">
        <f t="shared" si="90"/>
        <v>171.9194128119324</v>
      </c>
      <c r="D762" s="83">
        <f t="shared" si="95"/>
        <v>733.33333333333326</v>
      </c>
      <c r="E762">
        <f t="shared" si="91"/>
        <v>0</v>
      </c>
      <c r="G762">
        <v>712</v>
      </c>
      <c r="H762" s="13">
        <f t="shared" si="96"/>
        <v>-1.0275684203264746E-2</v>
      </c>
      <c r="I762">
        <f t="shared" si="97"/>
        <v>164.6031256592079</v>
      </c>
      <c r="J762">
        <f t="shared" si="92"/>
        <v>716.22666020607608</v>
      </c>
      <c r="K762" s="27">
        <f t="shared" si="93"/>
        <v>-5271.0182412472241</v>
      </c>
    </row>
    <row r="763" spans="1:11" x14ac:dyDescent="0.25">
      <c r="A763" s="26">
        <v>713</v>
      </c>
      <c r="B763" s="82">
        <f t="shared" si="94"/>
        <v>0</v>
      </c>
      <c r="C763" s="58">
        <f t="shared" si="90"/>
        <v>171.9194128119324</v>
      </c>
      <c r="D763" s="83">
        <f t="shared" si="95"/>
        <v>733.33333333333326</v>
      </c>
      <c r="E763">
        <f t="shared" si="91"/>
        <v>0</v>
      </c>
      <c r="G763">
        <v>713</v>
      </c>
      <c r="H763" s="13">
        <f t="shared" si="96"/>
        <v>-1.0275684203264746E-2</v>
      </c>
      <c r="I763">
        <f t="shared" si="97"/>
        <v>164.59284997500464</v>
      </c>
      <c r="J763">
        <f t="shared" si="92"/>
        <v>716.19830241883665</v>
      </c>
      <c r="K763" s="27">
        <f t="shared" si="93"/>
        <v>-5270.6007278905608</v>
      </c>
    </row>
    <row r="764" spans="1:11" x14ac:dyDescent="0.25">
      <c r="A764" s="26">
        <v>714</v>
      </c>
      <c r="B764" s="82">
        <f t="shared" si="94"/>
        <v>0</v>
      </c>
      <c r="C764" s="58">
        <f t="shared" si="90"/>
        <v>171.9194128119324</v>
      </c>
      <c r="D764" s="83">
        <f t="shared" si="95"/>
        <v>733.33333333333326</v>
      </c>
      <c r="E764">
        <f t="shared" si="91"/>
        <v>0</v>
      </c>
      <c r="G764">
        <v>714</v>
      </c>
      <c r="H764" s="13">
        <f t="shared" si="96"/>
        <v>-1.0275684203264746E-2</v>
      </c>
      <c r="I764">
        <f t="shared" si="97"/>
        <v>164.58257429080138</v>
      </c>
      <c r="J764">
        <f t="shared" si="92"/>
        <v>716.16992843514345</v>
      </c>
      <c r="K764" s="27">
        <f t="shared" si="93"/>
        <v>-5270.1829925102074</v>
      </c>
    </row>
    <row r="765" spans="1:11" x14ac:dyDescent="0.25">
      <c r="A765" s="26">
        <v>715</v>
      </c>
      <c r="B765" s="82">
        <f t="shared" si="94"/>
        <v>0</v>
      </c>
      <c r="C765" s="58">
        <f t="shared" si="90"/>
        <v>171.9194128119324</v>
      </c>
      <c r="D765" s="83">
        <f t="shared" si="95"/>
        <v>733.33333333333326</v>
      </c>
      <c r="E765">
        <f t="shared" si="91"/>
        <v>0</v>
      </c>
      <c r="G765">
        <v>715</v>
      </c>
      <c r="H765" s="13">
        <f t="shared" si="96"/>
        <v>-1.0275684203264746E-2</v>
      </c>
      <c r="I765">
        <f t="shared" si="97"/>
        <v>164.57229860659811</v>
      </c>
      <c r="J765">
        <f t="shared" si="92"/>
        <v>716.14153823043932</v>
      </c>
      <c r="K765" s="27">
        <f t="shared" si="93"/>
        <v>-5269.7650347726385</v>
      </c>
    </row>
    <row r="766" spans="1:11" x14ac:dyDescent="0.25">
      <c r="A766" s="26">
        <v>716</v>
      </c>
      <c r="B766" s="82">
        <f t="shared" si="94"/>
        <v>0</v>
      </c>
      <c r="C766" s="58">
        <f t="shared" si="90"/>
        <v>171.9194128119324</v>
      </c>
      <c r="D766" s="83">
        <f t="shared" si="95"/>
        <v>733.33333333333326</v>
      </c>
      <c r="E766">
        <f t="shared" si="91"/>
        <v>0</v>
      </c>
      <c r="G766">
        <v>716</v>
      </c>
      <c r="H766" s="13">
        <f t="shared" si="96"/>
        <v>-1.0275684203264746E-2</v>
      </c>
      <c r="I766">
        <f t="shared" si="97"/>
        <v>164.56202292239485</v>
      </c>
      <c r="J766">
        <f t="shared" si="92"/>
        <v>716.11313178010334</v>
      </c>
      <c r="K766" s="27">
        <f t="shared" si="93"/>
        <v>-5269.3468543434656</v>
      </c>
    </row>
    <row r="767" spans="1:11" x14ac:dyDescent="0.25">
      <c r="A767" s="26">
        <v>717</v>
      </c>
      <c r="B767" s="82">
        <f t="shared" si="94"/>
        <v>0</v>
      </c>
      <c r="C767" s="58">
        <f t="shared" si="90"/>
        <v>171.9194128119324</v>
      </c>
      <c r="D767" s="83">
        <f t="shared" si="95"/>
        <v>733.33333333333326</v>
      </c>
      <c r="E767">
        <f t="shared" si="91"/>
        <v>0</v>
      </c>
      <c r="G767">
        <v>717</v>
      </c>
      <c r="H767" s="13">
        <f t="shared" si="96"/>
        <v>-1.0275684203264746E-2</v>
      </c>
      <c r="I767">
        <f t="shared" si="97"/>
        <v>164.55174723819158</v>
      </c>
      <c r="J767">
        <f t="shared" si="92"/>
        <v>716.0847090594508</v>
      </c>
      <c r="K767" s="27">
        <f t="shared" si="93"/>
        <v>-5268.9284508874343</v>
      </c>
    </row>
    <row r="768" spans="1:11" x14ac:dyDescent="0.25">
      <c r="A768" s="26">
        <v>718</v>
      </c>
      <c r="B768" s="82">
        <f t="shared" si="94"/>
        <v>0</v>
      </c>
      <c r="C768" s="58">
        <f t="shared" si="90"/>
        <v>171.9194128119324</v>
      </c>
      <c r="D768" s="83">
        <f t="shared" si="95"/>
        <v>733.33333333333326</v>
      </c>
      <c r="E768">
        <f t="shared" si="91"/>
        <v>0</v>
      </c>
      <c r="G768">
        <v>718</v>
      </c>
      <c r="H768" s="13">
        <f t="shared" si="96"/>
        <v>-1.0275684203264746E-2</v>
      </c>
      <c r="I768">
        <f t="shared" si="97"/>
        <v>164.54147155398832</v>
      </c>
      <c r="J768">
        <f t="shared" si="92"/>
        <v>716.05627004373264</v>
      </c>
      <c r="K768" s="27">
        <f t="shared" si="93"/>
        <v>-5268.5098240684083</v>
      </c>
    </row>
    <row r="769" spans="1:11" x14ac:dyDescent="0.25">
      <c r="A769" s="26">
        <v>719</v>
      </c>
      <c r="B769" s="82">
        <f t="shared" si="94"/>
        <v>0</v>
      </c>
      <c r="C769" s="58">
        <f t="shared" si="90"/>
        <v>171.9194128119324</v>
      </c>
      <c r="D769" s="83">
        <f t="shared" si="95"/>
        <v>733.33333333333326</v>
      </c>
      <c r="E769">
        <f t="shared" si="91"/>
        <v>0</v>
      </c>
      <c r="G769">
        <v>719</v>
      </c>
      <c r="H769" s="13">
        <f t="shared" si="96"/>
        <v>-1.0275684203264746E-2</v>
      </c>
      <c r="I769">
        <f t="shared" si="97"/>
        <v>164.53119586978505</v>
      </c>
      <c r="J769">
        <f t="shared" si="92"/>
        <v>716.02781470813522</v>
      </c>
      <c r="K769" s="27">
        <f t="shared" si="93"/>
        <v>-5268.0909735493824</v>
      </c>
    </row>
    <row r="770" spans="1:11" x14ac:dyDescent="0.25">
      <c r="A770" s="26">
        <v>720</v>
      </c>
      <c r="B770" s="82">
        <f t="shared" si="94"/>
        <v>0</v>
      </c>
      <c r="C770" s="58">
        <f t="shared" si="90"/>
        <v>171.9194128119324</v>
      </c>
      <c r="D770" s="83">
        <f t="shared" si="95"/>
        <v>733.33333333333326</v>
      </c>
      <c r="E770">
        <f t="shared" si="91"/>
        <v>0</v>
      </c>
      <c r="G770">
        <v>720</v>
      </c>
      <c r="H770" s="13">
        <f t="shared" si="96"/>
        <v>-1.0275684203264746E-2</v>
      </c>
      <c r="I770">
        <f t="shared" si="97"/>
        <v>164.52092018558179</v>
      </c>
      <c r="J770">
        <f t="shared" si="92"/>
        <v>715.99934302778047</v>
      </c>
      <c r="K770" s="27">
        <f t="shared" si="93"/>
        <v>-5267.6718989924721</v>
      </c>
    </row>
    <row r="771" spans="1:11" x14ac:dyDescent="0.25">
      <c r="A771" s="26">
        <v>721</v>
      </c>
      <c r="B771" s="82">
        <f t="shared" si="94"/>
        <v>0</v>
      </c>
      <c r="C771" s="58">
        <f t="shared" si="90"/>
        <v>171.9194128119324</v>
      </c>
      <c r="D771" s="83">
        <f t="shared" si="95"/>
        <v>733.33333333333326</v>
      </c>
      <c r="E771">
        <f t="shared" si="91"/>
        <v>0</v>
      </c>
      <c r="G771">
        <v>721</v>
      </c>
      <c r="H771" s="13">
        <f t="shared" si="96"/>
        <v>-1.0275684203264746E-2</v>
      </c>
      <c r="I771">
        <f t="shared" si="97"/>
        <v>164.51064450137852</v>
      </c>
      <c r="J771">
        <f t="shared" si="92"/>
        <v>715.97085497772503</v>
      </c>
      <c r="K771" s="27">
        <f t="shared" si="93"/>
        <v>-5267.2526000589069</v>
      </c>
    </row>
    <row r="772" spans="1:11" x14ac:dyDescent="0.25">
      <c r="A772" s="26">
        <v>722</v>
      </c>
      <c r="B772" s="82">
        <f t="shared" si="94"/>
        <v>0</v>
      </c>
      <c r="C772" s="58">
        <f t="shared" si="90"/>
        <v>171.9194128119324</v>
      </c>
      <c r="D772" s="83">
        <f t="shared" si="95"/>
        <v>733.33333333333326</v>
      </c>
      <c r="E772">
        <f t="shared" si="91"/>
        <v>0</v>
      </c>
      <c r="G772">
        <v>722</v>
      </c>
      <c r="H772" s="13">
        <f t="shared" si="96"/>
        <v>-1.0275684203264746E-2</v>
      </c>
      <c r="I772">
        <f t="shared" si="97"/>
        <v>164.50036881717526</v>
      </c>
      <c r="J772">
        <f t="shared" si="92"/>
        <v>715.94235053296086</v>
      </c>
      <c r="K772" s="27">
        <f t="shared" si="93"/>
        <v>-5266.833076409036</v>
      </c>
    </row>
    <row r="773" spans="1:11" x14ac:dyDescent="0.25">
      <c r="A773" s="26">
        <v>723</v>
      </c>
      <c r="B773" s="82">
        <f t="shared" si="94"/>
        <v>0</v>
      </c>
      <c r="C773" s="58">
        <f t="shared" si="90"/>
        <v>171.9194128119324</v>
      </c>
      <c r="D773" s="83">
        <f t="shared" si="95"/>
        <v>733.33333333333326</v>
      </c>
      <c r="E773">
        <f t="shared" si="91"/>
        <v>0</v>
      </c>
      <c r="G773">
        <v>723</v>
      </c>
      <c r="H773" s="13">
        <f t="shared" si="96"/>
        <v>-1.0275684203264746E-2</v>
      </c>
      <c r="I773">
        <f t="shared" si="97"/>
        <v>164.49009313297199</v>
      </c>
      <c r="J773">
        <f t="shared" si="92"/>
        <v>715.91382966841422</v>
      </c>
      <c r="K773" s="27">
        <f t="shared" si="93"/>
        <v>-5266.4133277023166</v>
      </c>
    </row>
    <row r="774" spans="1:11" x14ac:dyDescent="0.25">
      <c r="A774" s="26">
        <v>724</v>
      </c>
      <c r="B774" s="82">
        <f t="shared" si="94"/>
        <v>0</v>
      </c>
      <c r="C774" s="58">
        <f t="shared" si="90"/>
        <v>171.9194128119324</v>
      </c>
      <c r="D774" s="83">
        <f t="shared" si="95"/>
        <v>733.33333333333326</v>
      </c>
      <c r="E774">
        <f t="shared" si="91"/>
        <v>0</v>
      </c>
      <c r="G774">
        <v>724</v>
      </c>
      <c r="H774" s="13">
        <f t="shared" si="96"/>
        <v>-1.0275684203264746E-2</v>
      </c>
      <c r="I774">
        <f t="shared" si="97"/>
        <v>164.47981744876873</v>
      </c>
      <c r="J774">
        <f t="shared" si="92"/>
        <v>715.88529235894578</v>
      </c>
      <c r="K774" s="27">
        <f t="shared" si="93"/>
        <v>-5265.9933535973114</v>
      </c>
    </row>
    <row r="775" spans="1:11" x14ac:dyDescent="0.25">
      <c r="A775" s="26">
        <v>725</v>
      </c>
      <c r="B775" s="82">
        <f t="shared" si="94"/>
        <v>0</v>
      </c>
      <c r="C775" s="58">
        <f t="shared" si="90"/>
        <v>171.9194128119324</v>
      </c>
      <c r="D775" s="83">
        <f t="shared" si="95"/>
        <v>733.33333333333326</v>
      </c>
      <c r="E775">
        <f t="shared" si="91"/>
        <v>0</v>
      </c>
      <c r="G775">
        <v>725</v>
      </c>
      <c r="H775" s="13">
        <f t="shared" si="96"/>
        <v>-1.0275684203264746E-2</v>
      </c>
      <c r="I775">
        <f t="shared" si="97"/>
        <v>164.46954176456546</v>
      </c>
      <c r="J775">
        <f t="shared" si="92"/>
        <v>715.85673857935012</v>
      </c>
      <c r="K775" s="27">
        <f t="shared" si="93"/>
        <v>-5265.573153751694</v>
      </c>
    </row>
    <row r="776" spans="1:11" x14ac:dyDescent="0.25">
      <c r="A776" s="26">
        <v>726</v>
      </c>
      <c r="B776" s="82">
        <f t="shared" si="94"/>
        <v>0</v>
      </c>
      <c r="C776" s="58">
        <f t="shared" si="90"/>
        <v>171.9194128119324</v>
      </c>
      <c r="D776" s="83">
        <f t="shared" si="95"/>
        <v>733.33333333333326</v>
      </c>
      <c r="E776">
        <f t="shared" si="91"/>
        <v>0</v>
      </c>
      <c r="G776">
        <v>726</v>
      </c>
      <c r="H776" s="13">
        <f t="shared" si="96"/>
        <v>-1.0275684203264746E-2</v>
      </c>
      <c r="I776">
        <f t="shared" si="97"/>
        <v>164.4592660803622</v>
      </c>
      <c r="J776">
        <f t="shared" si="92"/>
        <v>715.82816830435615</v>
      </c>
      <c r="K776" s="27">
        <f t="shared" si="93"/>
        <v>-5265.1527278222338</v>
      </c>
    </row>
    <row r="777" spans="1:11" x14ac:dyDescent="0.25">
      <c r="A777" s="26">
        <v>727</v>
      </c>
      <c r="B777" s="82">
        <f t="shared" si="94"/>
        <v>0</v>
      </c>
      <c r="C777" s="58">
        <f t="shared" si="90"/>
        <v>171.9194128119324</v>
      </c>
      <c r="D777" s="83">
        <f t="shared" si="95"/>
        <v>733.33333333333326</v>
      </c>
      <c r="E777">
        <f t="shared" si="91"/>
        <v>0</v>
      </c>
      <c r="G777">
        <v>727</v>
      </c>
      <c r="H777" s="13">
        <f t="shared" si="96"/>
        <v>-1.0275684203264746E-2</v>
      </c>
      <c r="I777">
        <f t="shared" si="97"/>
        <v>164.44899039615893</v>
      </c>
      <c r="J777">
        <f t="shared" si="92"/>
        <v>715.79958150862603</v>
      </c>
      <c r="K777" s="27">
        <f t="shared" si="93"/>
        <v>-5264.7320754648035</v>
      </c>
    </row>
    <row r="778" spans="1:11" x14ac:dyDescent="0.25">
      <c r="A778" s="26">
        <v>728</v>
      </c>
      <c r="B778" s="82">
        <f t="shared" si="94"/>
        <v>0</v>
      </c>
      <c r="C778" s="58">
        <f t="shared" si="90"/>
        <v>171.9194128119324</v>
      </c>
      <c r="D778" s="83">
        <f t="shared" si="95"/>
        <v>733.33333333333326</v>
      </c>
      <c r="E778">
        <f t="shared" si="91"/>
        <v>0</v>
      </c>
      <c r="G778">
        <v>728</v>
      </c>
      <c r="H778" s="13">
        <f t="shared" si="96"/>
        <v>-1.0275684203264746E-2</v>
      </c>
      <c r="I778">
        <f t="shared" si="97"/>
        <v>164.43871471195567</v>
      </c>
      <c r="J778">
        <f t="shared" si="92"/>
        <v>715.77097816675541</v>
      </c>
      <c r="K778" s="27">
        <f t="shared" si="93"/>
        <v>-5264.3111963343663</v>
      </c>
    </row>
    <row r="779" spans="1:11" x14ac:dyDescent="0.25">
      <c r="A779" s="26">
        <v>729</v>
      </c>
      <c r="B779" s="82">
        <f t="shared" si="94"/>
        <v>0</v>
      </c>
      <c r="C779" s="58">
        <f t="shared" si="90"/>
        <v>171.9194128119324</v>
      </c>
      <c r="D779" s="83">
        <f t="shared" si="95"/>
        <v>733.33333333333326</v>
      </c>
      <c r="E779">
        <f t="shared" si="91"/>
        <v>0</v>
      </c>
      <c r="G779">
        <v>729</v>
      </c>
      <c r="H779" s="13">
        <f t="shared" si="96"/>
        <v>-1.0275684203264746E-2</v>
      </c>
      <c r="I779">
        <f t="shared" si="97"/>
        <v>164.4284390277524</v>
      </c>
      <c r="J779">
        <f t="shared" si="92"/>
        <v>715.74235825327321</v>
      </c>
      <c r="K779" s="27">
        <f t="shared" si="93"/>
        <v>-5263.8900900849767</v>
      </c>
    </row>
    <row r="780" spans="1:11" x14ac:dyDescent="0.25">
      <c r="A780" s="26">
        <v>730</v>
      </c>
      <c r="B780" s="82">
        <f t="shared" si="94"/>
        <v>0</v>
      </c>
      <c r="C780" s="58">
        <f t="shared" si="90"/>
        <v>171.9194128119324</v>
      </c>
      <c r="D780" s="83">
        <f t="shared" si="95"/>
        <v>733.33333333333326</v>
      </c>
      <c r="E780">
        <f t="shared" si="91"/>
        <v>0</v>
      </c>
      <c r="G780">
        <v>730</v>
      </c>
      <c r="H780" s="13">
        <f t="shared" si="96"/>
        <v>-1.0275684203264746E-2</v>
      </c>
      <c r="I780">
        <f t="shared" si="97"/>
        <v>164.41816334354914</v>
      </c>
      <c r="J780">
        <f t="shared" si="92"/>
        <v>715.71372174264093</v>
      </c>
      <c r="K780" s="27">
        <f t="shared" si="93"/>
        <v>-5263.4687563697798</v>
      </c>
    </row>
    <row r="781" spans="1:11" x14ac:dyDescent="0.25">
      <c r="A781" s="26">
        <v>731</v>
      </c>
      <c r="B781" s="82">
        <f t="shared" si="94"/>
        <v>0</v>
      </c>
      <c r="C781" s="58">
        <f t="shared" si="90"/>
        <v>171.9194128119324</v>
      </c>
      <c r="D781" s="83">
        <f t="shared" si="95"/>
        <v>733.33333333333326</v>
      </c>
      <c r="E781">
        <f t="shared" si="91"/>
        <v>0</v>
      </c>
      <c r="G781">
        <v>731</v>
      </c>
      <c r="H781" s="13">
        <f t="shared" si="96"/>
        <v>-1.0275684203264746E-2</v>
      </c>
      <c r="I781">
        <f t="shared" si="97"/>
        <v>164.40788765934587</v>
      </c>
      <c r="J781">
        <f t="shared" si="92"/>
        <v>715.68506860925299</v>
      </c>
      <c r="K781" s="27">
        <f t="shared" si="93"/>
        <v>-5263.0471948410041</v>
      </c>
    </row>
    <row r="782" spans="1:11" x14ac:dyDescent="0.25">
      <c r="A782" s="26">
        <v>732</v>
      </c>
      <c r="B782" s="82">
        <f t="shared" si="94"/>
        <v>0</v>
      </c>
      <c r="C782" s="58">
        <f t="shared" si="90"/>
        <v>171.9194128119324</v>
      </c>
      <c r="D782" s="83">
        <f t="shared" si="95"/>
        <v>733.33333333333326</v>
      </c>
      <c r="E782">
        <f t="shared" si="91"/>
        <v>0</v>
      </c>
      <c r="G782">
        <v>732</v>
      </c>
      <c r="H782" s="13">
        <f t="shared" si="96"/>
        <v>-1.0275684203264746E-2</v>
      </c>
      <c r="I782">
        <f t="shared" si="97"/>
        <v>164.39761197514261</v>
      </c>
      <c r="J782">
        <f t="shared" si="92"/>
        <v>715.65639882743619</v>
      </c>
      <c r="K782" s="27">
        <f t="shared" si="93"/>
        <v>-5262.62540514996</v>
      </c>
    </row>
    <row r="783" spans="1:11" x14ac:dyDescent="0.25">
      <c r="A783" s="26">
        <v>733</v>
      </c>
      <c r="B783" s="82">
        <f t="shared" si="94"/>
        <v>0</v>
      </c>
      <c r="C783" s="58">
        <f t="shared" si="90"/>
        <v>171.9194128119324</v>
      </c>
      <c r="D783" s="83">
        <f t="shared" si="95"/>
        <v>733.33333333333326</v>
      </c>
      <c r="E783">
        <f t="shared" si="91"/>
        <v>0</v>
      </c>
      <c r="G783">
        <v>733</v>
      </c>
      <c r="H783" s="13">
        <f t="shared" si="96"/>
        <v>-1.0275684203264746E-2</v>
      </c>
      <c r="I783">
        <f t="shared" si="97"/>
        <v>164.38733629093934</v>
      </c>
      <c r="J783">
        <f t="shared" si="92"/>
        <v>715.62771237144932</v>
      </c>
      <c r="K783" s="27">
        <f t="shared" si="93"/>
        <v>-5262.2033869470342</v>
      </c>
    </row>
    <row r="784" spans="1:11" x14ac:dyDescent="0.25">
      <c r="A784" s="26">
        <v>734</v>
      </c>
      <c r="B784" s="82">
        <f t="shared" si="94"/>
        <v>0</v>
      </c>
      <c r="C784" s="58">
        <f t="shared" ref="C784:C847" si="98">($C$37-$C$36)/2000+C783</f>
        <v>171.9194128119324</v>
      </c>
      <c r="D784" s="83">
        <f t="shared" si="95"/>
        <v>733.33333333333326</v>
      </c>
      <c r="E784">
        <f t="shared" si="91"/>
        <v>0</v>
      </c>
      <c r="G784">
        <v>734</v>
      </c>
      <c r="H784" s="13">
        <f t="shared" si="96"/>
        <v>-1.0275684203264746E-2</v>
      </c>
      <c r="I784">
        <f t="shared" si="97"/>
        <v>164.37706060673608</v>
      </c>
      <c r="J784">
        <f t="shared" si="92"/>
        <v>715.59900921548308</v>
      </c>
      <c r="K784" s="27">
        <f t="shared" si="93"/>
        <v>-5261.7811398816912</v>
      </c>
    </row>
    <row r="785" spans="1:11" x14ac:dyDescent="0.25">
      <c r="A785" s="26">
        <v>735</v>
      </c>
      <c r="B785" s="82">
        <f t="shared" si="94"/>
        <v>0</v>
      </c>
      <c r="C785" s="58">
        <f t="shared" si="98"/>
        <v>171.9194128119324</v>
      </c>
      <c r="D785" s="83">
        <f t="shared" si="95"/>
        <v>733.33333333333326</v>
      </c>
      <c r="E785">
        <f t="shared" si="91"/>
        <v>0</v>
      </c>
      <c r="G785">
        <v>735</v>
      </c>
      <c r="H785" s="13">
        <f t="shared" si="96"/>
        <v>-1.0275684203264746E-2</v>
      </c>
      <c r="I785">
        <f t="shared" si="97"/>
        <v>164.36678492253282</v>
      </c>
      <c r="J785">
        <f t="shared" si="92"/>
        <v>715.57028933365996</v>
      </c>
      <c r="K785" s="27">
        <f t="shared" si="93"/>
        <v>-5261.3586636024611</v>
      </c>
    </row>
    <row r="786" spans="1:11" x14ac:dyDescent="0.25">
      <c r="A786" s="26">
        <v>736</v>
      </c>
      <c r="B786" s="82">
        <f t="shared" si="94"/>
        <v>0</v>
      </c>
      <c r="C786" s="58">
        <f t="shared" si="98"/>
        <v>171.9194128119324</v>
      </c>
      <c r="D786" s="83">
        <f t="shared" si="95"/>
        <v>733.33333333333326</v>
      </c>
      <c r="E786">
        <f t="shared" si="91"/>
        <v>0</v>
      </c>
      <c r="G786">
        <v>736</v>
      </c>
      <c r="H786" s="13">
        <f t="shared" si="96"/>
        <v>-1.0275684203264746E-2</v>
      </c>
      <c r="I786">
        <f t="shared" si="97"/>
        <v>164.35650923832955</v>
      </c>
      <c r="J786">
        <f t="shared" si="92"/>
        <v>715.54155270003366</v>
      </c>
      <c r="K786" s="27">
        <f t="shared" si="93"/>
        <v>-5260.9359577569467</v>
      </c>
    </row>
    <row r="787" spans="1:11" x14ac:dyDescent="0.25">
      <c r="A787" s="26">
        <v>737</v>
      </c>
      <c r="B787" s="82">
        <f t="shared" si="94"/>
        <v>0</v>
      </c>
      <c r="C787" s="58">
        <f t="shared" si="98"/>
        <v>171.9194128119324</v>
      </c>
      <c r="D787" s="83">
        <f t="shared" si="95"/>
        <v>733.33333333333326</v>
      </c>
      <c r="E787">
        <f t="shared" si="91"/>
        <v>0</v>
      </c>
      <c r="G787">
        <v>737</v>
      </c>
      <c r="H787" s="13">
        <f t="shared" si="96"/>
        <v>-1.0275684203264746E-2</v>
      </c>
      <c r="I787">
        <f t="shared" si="97"/>
        <v>164.34623355412629</v>
      </c>
      <c r="J787">
        <f t="shared" si="92"/>
        <v>715.51279928858912</v>
      </c>
      <c r="K787" s="27">
        <f t="shared" si="93"/>
        <v>-5260.5130219918128</v>
      </c>
    </row>
    <row r="788" spans="1:11" x14ac:dyDescent="0.25">
      <c r="A788" s="26">
        <v>738</v>
      </c>
      <c r="B788" s="82">
        <f t="shared" si="94"/>
        <v>0</v>
      </c>
      <c r="C788" s="58">
        <f t="shared" si="98"/>
        <v>171.9194128119324</v>
      </c>
      <c r="D788" s="83">
        <f t="shared" si="95"/>
        <v>733.33333333333326</v>
      </c>
      <c r="E788">
        <f t="shared" si="91"/>
        <v>0</v>
      </c>
      <c r="G788">
        <v>738</v>
      </c>
      <c r="H788" s="13">
        <f t="shared" si="96"/>
        <v>-1.0275684203264746E-2</v>
      </c>
      <c r="I788">
        <f t="shared" si="97"/>
        <v>164.33595786992302</v>
      </c>
      <c r="J788">
        <f t="shared" si="92"/>
        <v>715.48402907324214</v>
      </c>
      <c r="K788" s="27">
        <f t="shared" si="93"/>
        <v>-5260.089855952785</v>
      </c>
    </row>
    <row r="789" spans="1:11" x14ac:dyDescent="0.25">
      <c r="A789" s="26">
        <v>739</v>
      </c>
      <c r="B789" s="82">
        <f t="shared" si="94"/>
        <v>0</v>
      </c>
      <c r="C789" s="58">
        <f t="shared" si="98"/>
        <v>171.9194128119324</v>
      </c>
      <c r="D789" s="83">
        <f t="shared" si="95"/>
        <v>733.33333333333326</v>
      </c>
      <c r="E789">
        <f t="shared" si="91"/>
        <v>0</v>
      </c>
      <c r="G789">
        <v>739</v>
      </c>
      <c r="H789" s="13">
        <f t="shared" si="96"/>
        <v>-1.0275684203264746E-2</v>
      </c>
      <c r="I789">
        <f t="shared" si="97"/>
        <v>164.32568218571976</v>
      </c>
      <c r="J789">
        <f t="shared" si="92"/>
        <v>715.45524202783906</v>
      </c>
      <c r="K789" s="27">
        <f t="shared" si="93"/>
        <v>-5259.6664592846455</v>
      </c>
    </row>
    <row r="790" spans="1:11" x14ac:dyDescent="0.25">
      <c r="A790" s="26">
        <v>740</v>
      </c>
      <c r="B790" s="82">
        <f t="shared" si="94"/>
        <v>0</v>
      </c>
      <c r="C790" s="58">
        <f t="shared" si="98"/>
        <v>171.9194128119324</v>
      </c>
      <c r="D790" s="83">
        <f t="shared" si="95"/>
        <v>733.33333333333326</v>
      </c>
      <c r="E790">
        <f t="shared" si="91"/>
        <v>0</v>
      </c>
      <c r="G790">
        <v>740</v>
      </c>
      <c r="H790" s="13">
        <f t="shared" si="96"/>
        <v>-1.0275684203264746E-2</v>
      </c>
      <c r="I790">
        <f t="shared" si="97"/>
        <v>164.31540650151649</v>
      </c>
      <c r="J790">
        <f t="shared" si="92"/>
        <v>715.42643812615654</v>
      </c>
      <c r="K790" s="27">
        <f t="shared" si="93"/>
        <v>-5259.242831631228</v>
      </c>
    </row>
    <row r="791" spans="1:11" x14ac:dyDescent="0.25">
      <c r="A791" s="26">
        <v>741</v>
      </c>
      <c r="B791" s="82">
        <f t="shared" si="94"/>
        <v>0</v>
      </c>
      <c r="C791" s="58">
        <f t="shared" si="98"/>
        <v>171.9194128119324</v>
      </c>
      <c r="D791" s="83">
        <f t="shared" si="95"/>
        <v>733.33333333333326</v>
      </c>
      <c r="E791">
        <f t="shared" si="91"/>
        <v>0</v>
      </c>
      <c r="G791">
        <v>741</v>
      </c>
      <c r="H791" s="13">
        <f t="shared" si="96"/>
        <v>-1.0275684203264746E-2</v>
      </c>
      <c r="I791">
        <f t="shared" si="97"/>
        <v>164.30513081731323</v>
      </c>
      <c r="J791">
        <f t="shared" si="92"/>
        <v>715.39761734190142</v>
      </c>
      <c r="K791" s="27">
        <f t="shared" si="93"/>
        <v>-5258.8189726354194</v>
      </c>
    </row>
    <row r="792" spans="1:11" x14ac:dyDescent="0.25">
      <c r="A792" s="26">
        <v>742</v>
      </c>
      <c r="B792" s="82">
        <f t="shared" si="94"/>
        <v>0</v>
      </c>
      <c r="C792" s="58">
        <f t="shared" si="98"/>
        <v>171.9194128119324</v>
      </c>
      <c r="D792" s="83">
        <f t="shared" si="95"/>
        <v>733.33333333333326</v>
      </c>
      <c r="E792">
        <f t="shared" si="91"/>
        <v>0</v>
      </c>
      <c r="G792">
        <v>742</v>
      </c>
      <c r="H792" s="13">
        <f t="shared" si="96"/>
        <v>-1.0275684203264746E-2</v>
      </c>
      <c r="I792">
        <f t="shared" si="97"/>
        <v>164.29485513310996</v>
      </c>
      <c r="J792">
        <f t="shared" si="92"/>
        <v>715.3687796487103</v>
      </c>
      <c r="K792" s="27">
        <f t="shared" si="93"/>
        <v>-5258.3948819391535</v>
      </c>
    </row>
    <row r="793" spans="1:11" x14ac:dyDescent="0.25">
      <c r="A793" s="26">
        <v>743</v>
      </c>
      <c r="B793" s="82">
        <f t="shared" si="94"/>
        <v>0</v>
      </c>
      <c r="C793" s="58">
        <f t="shared" si="98"/>
        <v>171.9194128119324</v>
      </c>
      <c r="D793" s="83">
        <f t="shared" si="95"/>
        <v>733.33333333333326</v>
      </c>
      <c r="E793">
        <f t="shared" si="91"/>
        <v>0</v>
      </c>
      <c r="G793">
        <v>743</v>
      </c>
      <c r="H793" s="13">
        <f t="shared" si="96"/>
        <v>-1.0275684203264746E-2</v>
      </c>
      <c r="I793">
        <f t="shared" si="97"/>
        <v>164.2845794489067</v>
      </c>
      <c r="J793">
        <f t="shared" si="92"/>
        <v>715.33992502014951</v>
      </c>
      <c r="K793" s="27">
        <f t="shared" si="93"/>
        <v>-5257.9705591834045</v>
      </c>
    </row>
    <row r="794" spans="1:11" x14ac:dyDescent="0.25">
      <c r="A794" s="26">
        <v>744</v>
      </c>
      <c r="B794" s="82">
        <f t="shared" si="94"/>
        <v>0</v>
      </c>
      <c r="C794" s="58">
        <f t="shared" si="98"/>
        <v>171.9194128119324</v>
      </c>
      <c r="D794" s="83">
        <f t="shared" si="95"/>
        <v>733.33333333333326</v>
      </c>
      <c r="E794">
        <f t="shared" si="91"/>
        <v>0</v>
      </c>
      <c r="G794">
        <v>744</v>
      </c>
      <c r="H794" s="13">
        <f t="shared" si="96"/>
        <v>-1.0275684203264746E-2</v>
      </c>
      <c r="I794">
        <f t="shared" si="97"/>
        <v>164.27430376470343</v>
      </c>
      <c r="J794">
        <f t="shared" si="92"/>
        <v>715.31105342971455</v>
      </c>
      <c r="K794" s="27">
        <f t="shared" si="93"/>
        <v>-5257.546004008188</v>
      </c>
    </row>
    <row r="795" spans="1:11" x14ac:dyDescent="0.25">
      <c r="A795" s="26">
        <v>745</v>
      </c>
      <c r="B795" s="82">
        <f t="shared" si="94"/>
        <v>0</v>
      </c>
      <c r="C795" s="58">
        <f t="shared" si="98"/>
        <v>171.9194128119324</v>
      </c>
      <c r="D795" s="83">
        <f t="shared" si="95"/>
        <v>733.33333333333326</v>
      </c>
      <c r="E795">
        <f t="shared" si="91"/>
        <v>0</v>
      </c>
      <c r="G795">
        <v>745</v>
      </c>
      <c r="H795" s="13">
        <f t="shared" si="96"/>
        <v>-1.0275684203264746E-2</v>
      </c>
      <c r="I795">
        <f t="shared" si="97"/>
        <v>164.26402808050017</v>
      </c>
      <c r="J795">
        <f t="shared" si="92"/>
        <v>715.28216485082987</v>
      </c>
      <c r="K795" s="27">
        <f t="shared" si="93"/>
        <v>-5257.1212160525511</v>
      </c>
    </row>
    <row r="796" spans="1:11" x14ac:dyDescent="0.25">
      <c r="A796" s="26">
        <v>746</v>
      </c>
      <c r="B796" s="82">
        <f t="shared" si="94"/>
        <v>0</v>
      </c>
      <c r="C796" s="58">
        <f t="shared" si="98"/>
        <v>171.9194128119324</v>
      </c>
      <c r="D796" s="83">
        <f t="shared" si="95"/>
        <v>733.33333333333326</v>
      </c>
      <c r="E796">
        <f t="shared" si="91"/>
        <v>0</v>
      </c>
      <c r="G796">
        <v>746</v>
      </c>
      <c r="H796" s="13">
        <f t="shared" si="96"/>
        <v>-1.0275684203264746E-2</v>
      </c>
      <c r="I796">
        <f t="shared" si="97"/>
        <v>164.2537523962969</v>
      </c>
      <c r="J796">
        <f t="shared" si="92"/>
        <v>715.25325925684888</v>
      </c>
      <c r="K796" s="27">
        <f t="shared" si="93"/>
        <v>-5256.6961949545785</v>
      </c>
    </row>
    <row r="797" spans="1:11" x14ac:dyDescent="0.25">
      <c r="A797" s="26">
        <v>747</v>
      </c>
      <c r="B797" s="82">
        <f t="shared" si="94"/>
        <v>0</v>
      </c>
      <c r="C797" s="58">
        <f t="shared" si="98"/>
        <v>171.9194128119324</v>
      </c>
      <c r="D797" s="83">
        <f t="shared" si="95"/>
        <v>733.33333333333326</v>
      </c>
      <c r="E797">
        <f t="shared" si="91"/>
        <v>0</v>
      </c>
      <c r="G797">
        <v>747</v>
      </c>
      <c r="H797" s="13">
        <f t="shared" si="96"/>
        <v>-1.0275684203264746E-2</v>
      </c>
      <c r="I797">
        <f t="shared" si="97"/>
        <v>164.24347671209364</v>
      </c>
      <c r="J797">
        <f t="shared" si="92"/>
        <v>715.22433662105323</v>
      </c>
      <c r="K797" s="27">
        <f t="shared" si="93"/>
        <v>-5256.2709403513772</v>
      </c>
    </row>
    <row r="798" spans="1:11" x14ac:dyDescent="0.25">
      <c r="A798" s="26">
        <v>748</v>
      </c>
      <c r="B798" s="82">
        <f t="shared" si="94"/>
        <v>0</v>
      </c>
      <c r="C798" s="58">
        <f t="shared" si="98"/>
        <v>171.9194128119324</v>
      </c>
      <c r="D798" s="83">
        <f t="shared" si="95"/>
        <v>733.33333333333326</v>
      </c>
      <c r="E798">
        <f t="shared" si="91"/>
        <v>0</v>
      </c>
      <c r="G798">
        <v>748</v>
      </c>
      <c r="H798" s="13">
        <f t="shared" si="96"/>
        <v>-1.0275684203264746E-2</v>
      </c>
      <c r="I798">
        <f t="shared" si="97"/>
        <v>164.23320102789037</v>
      </c>
      <c r="J798">
        <f t="shared" si="92"/>
        <v>715.19539691665307</v>
      </c>
      <c r="K798" s="27">
        <f t="shared" si="93"/>
        <v>-5255.8454518790868</v>
      </c>
    </row>
    <row r="799" spans="1:11" x14ac:dyDescent="0.25">
      <c r="A799" s="26">
        <v>749</v>
      </c>
      <c r="B799" s="82">
        <f t="shared" si="94"/>
        <v>0</v>
      </c>
      <c r="C799" s="58">
        <f t="shared" si="98"/>
        <v>171.9194128119324</v>
      </c>
      <c r="D799" s="83">
        <f t="shared" si="95"/>
        <v>733.33333333333326</v>
      </c>
      <c r="E799">
        <f t="shared" si="91"/>
        <v>0</v>
      </c>
      <c r="G799">
        <v>749</v>
      </c>
      <c r="H799" s="13">
        <f t="shared" si="96"/>
        <v>-1.0275684203264746E-2</v>
      </c>
      <c r="I799">
        <f t="shared" si="97"/>
        <v>164.22292534368711</v>
      </c>
      <c r="J799">
        <f t="shared" si="92"/>
        <v>715.16644011678648</v>
      </c>
      <c r="K799" s="27">
        <f t="shared" si="93"/>
        <v>-5255.4197291728597</v>
      </c>
    </row>
    <row r="800" spans="1:11" x14ac:dyDescent="0.25">
      <c r="A800" s="26">
        <v>750</v>
      </c>
      <c r="B800" s="82">
        <f t="shared" si="94"/>
        <v>0</v>
      </c>
      <c r="C800" s="58">
        <f t="shared" si="98"/>
        <v>171.9194128119324</v>
      </c>
      <c r="D800" s="83">
        <f t="shared" si="95"/>
        <v>733.33333333333326</v>
      </c>
      <c r="E800">
        <f t="shared" si="91"/>
        <v>0</v>
      </c>
      <c r="G800">
        <v>750</v>
      </c>
      <c r="H800" s="13">
        <f t="shared" si="96"/>
        <v>-1.0275684203264746E-2</v>
      </c>
      <c r="I800">
        <f t="shared" si="97"/>
        <v>164.21264965948384</v>
      </c>
      <c r="J800">
        <f t="shared" si="92"/>
        <v>715.13746619451888</v>
      </c>
      <c r="K800" s="27">
        <f t="shared" si="93"/>
        <v>-5254.9937718668689</v>
      </c>
    </row>
    <row r="801" spans="1:11" x14ac:dyDescent="0.25">
      <c r="A801" s="26">
        <v>751</v>
      </c>
      <c r="B801" s="82">
        <f t="shared" si="94"/>
        <v>0</v>
      </c>
      <c r="C801" s="58">
        <f t="shared" si="98"/>
        <v>171.9194128119324</v>
      </c>
      <c r="D801" s="83">
        <f t="shared" si="95"/>
        <v>733.33333333333326</v>
      </c>
      <c r="E801">
        <f t="shared" si="91"/>
        <v>0</v>
      </c>
      <c r="G801">
        <v>751</v>
      </c>
      <c r="H801" s="13">
        <f t="shared" si="96"/>
        <v>-1.0275684203264746E-2</v>
      </c>
      <c r="I801">
        <f t="shared" si="97"/>
        <v>164.20237397528058</v>
      </c>
      <c r="J801">
        <f t="shared" si="92"/>
        <v>715.10847512284363</v>
      </c>
      <c r="K801" s="27">
        <f t="shared" si="93"/>
        <v>-5254.5675795943034</v>
      </c>
    </row>
    <row r="802" spans="1:11" x14ac:dyDescent="0.25">
      <c r="A802" s="26">
        <v>752</v>
      </c>
      <c r="B802" s="82">
        <f t="shared" si="94"/>
        <v>0</v>
      </c>
      <c r="C802" s="58">
        <f t="shared" si="98"/>
        <v>171.9194128119324</v>
      </c>
      <c r="D802" s="83">
        <f t="shared" si="95"/>
        <v>733.33333333333326</v>
      </c>
      <c r="E802">
        <f t="shared" si="91"/>
        <v>0</v>
      </c>
      <c r="G802">
        <v>752</v>
      </c>
      <c r="H802" s="13">
        <f t="shared" si="96"/>
        <v>-1.0275684203264746E-2</v>
      </c>
      <c r="I802">
        <f t="shared" si="97"/>
        <v>164.19209829107731</v>
      </c>
      <c r="J802">
        <f t="shared" si="92"/>
        <v>715.07946687468086</v>
      </c>
      <c r="K802" s="27">
        <f t="shared" si="93"/>
        <v>-5254.1411519873591</v>
      </c>
    </row>
    <row r="803" spans="1:11" x14ac:dyDescent="0.25">
      <c r="A803" s="26">
        <v>753</v>
      </c>
      <c r="B803" s="82">
        <f t="shared" si="94"/>
        <v>0</v>
      </c>
      <c r="C803" s="58">
        <f t="shared" si="98"/>
        <v>171.9194128119324</v>
      </c>
      <c r="D803" s="83">
        <f t="shared" si="95"/>
        <v>733.33333333333326</v>
      </c>
      <c r="E803">
        <f t="shared" si="91"/>
        <v>0</v>
      </c>
      <c r="G803">
        <v>753</v>
      </c>
      <c r="H803" s="13">
        <f t="shared" si="96"/>
        <v>-1.0275684203264746E-2</v>
      </c>
      <c r="I803">
        <f t="shared" si="97"/>
        <v>164.18182260687405</v>
      </c>
      <c r="J803">
        <f t="shared" si="92"/>
        <v>715.05044142287773</v>
      </c>
      <c r="K803" s="27">
        <f t="shared" si="93"/>
        <v>-5253.7144886772394</v>
      </c>
    </row>
    <row r="804" spans="1:11" x14ac:dyDescent="0.25">
      <c r="A804" s="26">
        <v>754</v>
      </c>
      <c r="B804" s="82">
        <f t="shared" si="94"/>
        <v>0</v>
      </c>
      <c r="C804" s="58">
        <f t="shared" si="98"/>
        <v>171.9194128119324</v>
      </c>
      <c r="D804" s="83">
        <f t="shared" si="95"/>
        <v>733.33333333333326</v>
      </c>
      <c r="E804">
        <f t="shared" si="91"/>
        <v>0</v>
      </c>
      <c r="G804">
        <v>754</v>
      </c>
      <c r="H804" s="13">
        <f t="shared" si="96"/>
        <v>-1.0275684203264746E-2</v>
      </c>
      <c r="I804">
        <f t="shared" si="97"/>
        <v>164.17154692267079</v>
      </c>
      <c r="J804">
        <f t="shared" si="92"/>
        <v>715.02139874020781</v>
      </c>
      <c r="K804" s="27">
        <f t="shared" si="93"/>
        <v>-5253.2875892941465</v>
      </c>
    </row>
    <row r="805" spans="1:11" x14ac:dyDescent="0.25">
      <c r="A805" s="26">
        <v>755</v>
      </c>
      <c r="B805" s="82">
        <f t="shared" si="94"/>
        <v>0</v>
      </c>
      <c r="C805" s="58">
        <f t="shared" si="98"/>
        <v>171.9194128119324</v>
      </c>
      <c r="D805" s="83">
        <f t="shared" si="95"/>
        <v>733.33333333333326</v>
      </c>
      <c r="E805">
        <f t="shared" si="91"/>
        <v>0</v>
      </c>
      <c r="G805">
        <v>755</v>
      </c>
      <c r="H805" s="13">
        <f t="shared" si="96"/>
        <v>-1.0275684203264746E-2</v>
      </c>
      <c r="I805">
        <f t="shared" si="97"/>
        <v>164.16127123846752</v>
      </c>
      <c r="J805">
        <f t="shared" si="92"/>
        <v>714.99233879937105</v>
      </c>
      <c r="K805" s="27">
        <f t="shared" si="93"/>
        <v>-5252.8604534672859</v>
      </c>
    </row>
    <row r="806" spans="1:11" x14ac:dyDescent="0.25">
      <c r="A806" s="26">
        <v>756</v>
      </c>
      <c r="B806" s="82">
        <f t="shared" si="94"/>
        <v>0</v>
      </c>
      <c r="C806" s="58">
        <f t="shared" si="98"/>
        <v>171.9194128119324</v>
      </c>
      <c r="D806" s="83">
        <f t="shared" si="95"/>
        <v>733.33333333333326</v>
      </c>
      <c r="E806">
        <f t="shared" si="91"/>
        <v>0</v>
      </c>
      <c r="G806">
        <v>756</v>
      </c>
      <c r="H806" s="13">
        <f t="shared" si="96"/>
        <v>-1.0275684203264746E-2</v>
      </c>
      <c r="I806">
        <f t="shared" si="97"/>
        <v>164.15099555426426</v>
      </c>
      <c r="J806">
        <f t="shared" si="92"/>
        <v>714.96326157299359</v>
      </c>
      <c r="K806" s="27">
        <f t="shared" si="93"/>
        <v>-5252.4330808248569</v>
      </c>
    </row>
    <row r="807" spans="1:11" x14ac:dyDescent="0.25">
      <c r="A807" s="26">
        <v>757</v>
      </c>
      <c r="B807" s="82">
        <f t="shared" si="94"/>
        <v>0</v>
      </c>
      <c r="C807" s="58">
        <f t="shared" si="98"/>
        <v>171.9194128119324</v>
      </c>
      <c r="D807" s="83">
        <f t="shared" si="95"/>
        <v>733.33333333333326</v>
      </c>
      <c r="E807">
        <f t="shared" si="91"/>
        <v>0</v>
      </c>
      <c r="G807">
        <v>757</v>
      </c>
      <c r="H807" s="13">
        <f t="shared" si="96"/>
        <v>-1.0275684203264746E-2</v>
      </c>
      <c r="I807">
        <f t="shared" si="97"/>
        <v>164.14071987006099</v>
      </c>
      <c r="J807">
        <f t="shared" si="92"/>
        <v>714.9341670336272</v>
      </c>
      <c r="K807" s="27">
        <f t="shared" si="93"/>
        <v>-5252.0054709940468</v>
      </c>
    </row>
    <row r="808" spans="1:11" x14ac:dyDescent="0.25">
      <c r="A808" s="26">
        <v>758</v>
      </c>
      <c r="B808" s="82">
        <f t="shared" si="94"/>
        <v>0</v>
      </c>
      <c r="C808" s="58">
        <f t="shared" si="98"/>
        <v>171.9194128119324</v>
      </c>
      <c r="D808" s="83">
        <f t="shared" si="95"/>
        <v>733.33333333333326</v>
      </c>
      <c r="E808">
        <f t="shared" si="91"/>
        <v>0</v>
      </c>
      <c r="G808">
        <v>758</v>
      </c>
      <c r="H808" s="13">
        <f t="shared" si="96"/>
        <v>-1.0275684203264746E-2</v>
      </c>
      <c r="I808">
        <f t="shared" si="97"/>
        <v>164.13044418585773</v>
      </c>
      <c r="J808">
        <f t="shared" si="92"/>
        <v>714.90505515374889</v>
      </c>
      <c r="K808" s="27">
        <f t="shared" si="93"/>
        <v>-5251.5776236010324</v>
      </c>
    </row>
    <row r="809" spans="1:11" x14ac:dyDescent="0.25">
      <c r="A809" s="26">
        <v>759</v>
      </c>
      <c r="B809" s="82">
        <f t="shared" si="94"/>
        <v>0</v>
      </c>
      <c r="C809" s="58">
        <f t="shared" si="98"/>
        <v>171.9194128119324</v>
      </c>
      <c r="D809" s="83">
        <f t="shared" si="95"/>
        <v>733.33333333333326</v>
      </c>
      <c r="E809">
        <f t="shared" si="91"/>
        <v>0</v>
      </c>
      <c r="G809">
        <v>759</v>
      </c>
      <c r="H809" s="13">
        <f t="shared" si="96"/>
        <v>-1.0275684203264746E-2</v>
      </c>
      <c r="I809">
        <f t="shared" si="97"/>
        <v>164.12016850165446</v>
      </c>
      <c r="J809">
        <f t="shared" si="92"/>
        <v>714.87592590576128</v>
      </c>
      <c r="K809" s="27">
        <f t="shared" si="93"/>
        <v>-5251.1495382709718</v>
      </c>
    </row>
    <row r="810" spans="1:11" x14ac:dyDescent="0.25">
      <c r="A810" s="26">
        <v>760</v>
      </c>
      <c r="B810" s="82">
        <f t="shared" si="94"/>
        <v>0</v>
      </c>
      <c r="C810" s="58">
        <f t="shared" si="98"/>
        <v>171.9194128119324</v>
      </c>
      <c r="D810" s="83">
        <f t="shared" si="95"/>
        <v>733.33333333333326</v>
      </c>
      <c r="E810">
        <f t="shared" si="91"/>
        <v>0</v>
      </c>
      <c r="G810">
        <v>760</v>
      </c>
      <c r="H810" s="13">
        <f t="shared" si="96"/>
        <v>-1.0275684203264746E-2</v>
      </c>
      <c r="I810">
        <f t="shared" si="97"/>
        <v>164.1098928174512</v>
      </c>
      <c r="J810">
        <f t="shared" si="92"/>
        <v>714.8467792619914</v>
      </c>
      <c r="K810" s="27">
        <f t="shared" si="93"/>
        <v>-5250.7212146280044</v>
      </c>
    </row>
    <row r="811" spans="1:11" x14ac:dyDescent="0.25">
      <c r="A811" s="26">
        <v>761</v>
      </c>
      <c r="B811" s="82">
        <f t="shared" si="94"/>
        <v>0</v>
      </c>
      <c r="C811" s="58">
        <f t="shared" si="98"/>
        <v>171.9194128119324</v>
      </c>
      <c r="D811" s="83">
        <f t="shared" si="95"/>
        <v>733.33333333333326</v>
      </c>
      <c r="E811">
        <f t="shared" si="91"/>
        <v>0</v>
      </c>
      <c r="G811">
        <v>761</v>
      </c>
      <c r="H811" s="13">
        <f t="shared" si="96"/>
        <v>-1.0275684203264746E-2</v>
      </c>
      <c r="I811">
        <f t="shared" si="97"/>
        <v>164.09961713324793</v>
      </c>
      <c r="J811">
        <f t="shared" si="92"/>
        <v>714.81761519469137</v>
      </c>
      <c r="K811" s="27">
        <f t="shared" si="93"/>
        <v>-5250.2926522952448</v>
      </c>
    </row>
    <row r="812" spans="1:11" x14ac:dyDescent="0.25">
      <c r="A812" s="26">
        <v>762</v>
      </c>
      <c r="B812" s="82">
        <f t="shared" si="94"/>
        <v>0</v>
      </c>
      <c r="C812" s="58">
        <f t="shared" si="98"/>
        <v>171.9194128119324</v>
      </c>
      <c r="D812" s="83">
        <f t="shared" si="95"/>
        <v>733.33333333333326</v>
      </c>
      <c r="E812">
        <f t="shared" si="91"/>
        <v>0</v>
      </c>
      <c r="G812">
        <v>762</v>
      </c>
      <c r="H812" s="13">
        <f t="shared" si="96"/>
        <v>-1.0275684203264746E-2</v>
      </c>
      <c r="I812">
        <f t="shared" si="97"/>
        <v>164.08934144904467</v>
      </c>
      <c r="J812">
        <f t="shared" si="92"/>
        <v>714.78843367603724</v>
      </c>
      <c r="K812" s="27">
        <f t="shared" si="93"/>
        <v>-5249.8638508947779</v>
      </c>
    </row>
    <row r="813" spans="1:11" x14ac:dyDescent="0.25">
      <c r="A813" s="26">
        <v>763</v>
      </c>
      <c r="B813" s="82">
        <f t="shared" si="94"/>
        <v>0</v>
      </c>
      <c r="C813" s="58">
        <f t="shared" si="98"/>
        <v>171.9194128119324</v>
      </c>
      <c r="D813" s="83">
        <f t="shared" si="95"/>
        <v>733.33333333333326</v>
      </c>
      <c r="E813">
        <f t="shared" si="91"/>
        <v>0</v>
      </c>
      <c r="G813">
        <v>763</v>
      </c>
      <c r="H813" s="13">
        <f t="shared" si="96"/>
        <v>-1.0275684203264746E-2</v>
      </c>
      <c r="I813">
        <f t="shared" si="97"/>
        <v>164.0790657648414</v>
      </c>
      <c r="J813">
        <f t="shared" si="92"/>
        <v>714.75923467812925</v>
      </c>
      <c r="K813" s="27">
        <f t="shared" si="93"/>
        <v>-5249.4348100476536</v>
      </c>
    </row>
    <row r="814" spans="1:11" x14ac:dyDescent="0.25">
      <c r="A814" s="26">
        <v>764</v>
      </c>
      <c r="B814" s="82">
        <f t="shared" si="94"/>
        <v>0</v>
      </c>
      <c r="C814" s="58">
        <f t="shared" si="98"/>
        <v>171.9194128119324</v>
      </c>
      <c r="D814" s="83">
        <f t="shared" si="95"/>
        <v>733.33333333333326</v>
      </c>
      <c r="E814">
        <f t="shared" si="91"/>
        <v>0</v>
      </c>
      <c r="G814">
        <v>764</v>
      </c>
      <c r="H814" s="13">
        <f t="shared" si="96"/>
        <v>-1.0275684203264746E-2</v>
      </c>
      <c r="I814">
        <f t="shared" si="97"/>
        <v>164.06879008063814</v>
      </c>
      <c r="J814">
        <f t="shared" si="92"/>
        <v>714.73001817299132</v>
      </c>
      <c r="K814" s="27">
        <f t="shared" si="93"/>
        <v>-5249.0055293738924</v>
      </c>
    </row>
    <row r="815" spans="1:11" x14ac:dyDescent="0.25">
      <c r="A815" s="26">
        <v>765</v>
      </c>
      <c r="B815" s="82">
        <f t="shared" si="94"/>
        <v>0</v>
      </c>
      <c r="C815" s="58">
        <f t="shared" si="98"/>
        <v>171.9194128119324</v>
      </c>
      <c r="D815" s="83">
        <f t="shared" si="95"/>
        <v>733.33333333333326</v>
      </c>
      <c r="E815">
        <f t="shared" si="91"/>
        <v>0</v>
      </c>
      <c r="G815">
        <v>765</v>
      </c>
      <c r="H815" s="13">
        <f t="shared" si="96"/>
        <v>-1.0275684203264746E-2</v>
      </c>
      <c r="I815">
        <f t="shared" si="97"/>
        <v>164.05851439643487</v>
      </c>
      <c r="J815">
        <f t="shared" si="92"/>
        <v>714.7007841325709</v>
      </c>
      <c r="K815" s="27">
        <f t="shared" si="93"/>
        <v>-5248.5760084924668</v>
      </c>
    </row>
    <row r="816" spans="1:11" x14ac:dyDescent="0.25">
      <c r="A816" s="26">
        <v>766</v>
      </c>
      <c r="B816" s="82">
        <f t="shared" si="94"/>
        <v>0</v>
      </c>
      <c r="C816" s="58">
        <f t="shared" si="98"/>
        <v>171.9194128119324</v>
      </c>
      <c r="D816" s="83">
        <f t="shared" si="95"/>
        <v>733.33333333333326</v>
      </c>
      <c r="E816">
        <f t="shared" si="91"/>
        <v>0</v>
      </c>
      <c r="G816">
        <v>766</v>
      </c>
      <c r="H816" s="13">
        <f t="shared" si="96"/>
        <v>-1.0275684203264746E-2</v>
      </c>
      <c r="I816">
        <f t="shared" si="97"/>
        <v>164.04823871223161</v>
      </c>
      <c r="J816">
        <f t="shared" si="92"/>
        <v>714.67153252873845</v>
      </c>
      <c r="K816" s="27">
        <f t="shared" si="93"/>
        <v>-5248.146247021311</v>
      </c>
    </row>
    <row r="817" spans="1:11" x14ac:dyDescent="0.25">
      <c r="A817" s="26">
        <v>767</v>
      </c>
      <c r="B817" s="82">
        <f t="shared" si="94"/>
        <v>0</v>
      </c>
      <c r="C817" s="58">
        <f t="shared" si="98"/>
        <v>171.9194128119324</v>
      </c>
      <c r="D817" s="83">
        <f t="shared" si="95"/>
        <v>733.33333333333326</v>
      </c>
      <c r="E817">
        <f t="shared" si="91"/>
        <v>0</v>
      </c>
      <c r="G817">
        <v>767</v>
      </c>
      <c r="H817" s="13">
        <f t="shared" si="96"/>
        <v>-1.0275684203264746E-2</v>
      </c>
      <c r="I817">
        <f t="shared" si="97"/>
        <v>164.03796302802834</v>
      </c>
      <c r="J817">
        <f t="shared" si="92"/>
        <v>714.64226333328736</v>
      </c>
      <c r="K817" s="27">
        <f t="shared" si="93"/>
        <v>-5247.7162445773047</v>
      </c>
    </row>
    <row r="818" spans="1:11" x14ac:dyDescent="0.25">
      <c r="A818" s="26">
        <v>768</v>
      </c>
      <c r="B818" s="82">
        <f t="shared" si="94"/>
        <v>0</v>
      </c>
      <c r="C818" s="58">
        <f t="shared" si="98"/>
        <v>171.9194128119324</v>
      </c>
      <c r="D818" s="83">
        <f t="shared" si="95"/>
        <v>733.33333333333326</v>
      </c>
      <c r="E818">
        <f t="shared" si="91"/>
        <v>0</v>
      </c>
      <c r="G818">
        <v>768</v>
      </c>
      <c r="H818" s="13">
        <f t="shared" si="96"/>
        <v>-1.0275684203264746E-2</v>
      </c>
      <c r="I818">
        <f t="shared" si="97"/>
        <v>164.02768734382508</v>
      </c>
      <c r="J818">
        <f t="shared" si="92"/>
        <v>714.61297651793359</v>
      </c>
      <c r="K818" s="27">
        <f t="shared" si="93"/>
        <v>-5247.2860007762811</v>
      </c>
    </row>
    <row r="819" spans="1:11" x14ac:dyDescent="0.25">
      <c r="A819" s="26">
        <v>769</v>
      </c>
      <c r="B819" s="82">
        <f t="shared" si="94"/>
        <v>0</v>
      </c>
      <c r="C819" s="58">
        <f t="shared" si="98"/>
        <v>171.9194128119324</v>
      </c>
      <c r="D819" s="83">
        <f t="shared" si="95"/>
        <v>733.33333333333326</v>
      </c>
      <c r="E819">
        <f t="shared" ref="E819:E882" si="99">((D819^2)+(D819*D820)+(D820^2))*B820/3</f>
        <v>0</v>
      </c>
      <c r="G819">
        <v>769</v>
      </c>
      <c r="H819" s="13">
        <f t="shared" si="96"/>
        <v>-1.0275684203264746E-2</v>
      </c>
      <c r="I819">
        <f t="shared" si="97"/>
        <v>164.01741165962181</v>
      </c>
      <c r="J819">
        <f t="shared" ref="J819:J882" si="100">IF($G$28&lt;$C$14,0,((($C$11^2)-((I819-$C$13)^2))^0.5)+$C$16)</f>
        <v>714.58367205431534</v>
      </c>
      <c r="K819" s="27">
        <f t="shared" ref="K819:K882" si="101">((J819^2)+(J819*J820)+(J820^2))*H820/3</f>
        <v>-5246.8555152330118</v>
      </c>
    </row>
    <row r="820" spans="1:11" x14ac:dyDescent="0.25">
      <c r="A820" s="26">
        <v>770</v>
      </c>
      <c r="B820" s="82">
        <f t="shared" ref="B820:B883" si="102">C820-C819</f>
        <v>0</v>
      </c>
      <c r="C820" s="58">
        <f t="shared" si="98"/>
        <v>171.9194128119324</v>
      </c>
      <c r="D820" s="83">
        <f t="shared" ref="D820:D883" si="103">IF($G$28&lt;$C$14,0,((($C$11^2)-((C820-$C$13)^2))^0.5)+$C$16)</f>
        <v>733.33333333333326</v>
      </c>
      <c r="E820">
        <f t="shared" si="99"/>
        <v>0</v>
      </c>
      <c r="G820">
        <v>770</v>
      </c>
      <c r="H820" s="13">
        <f t="shared" ref="H820:H883" si="104">I820-I819</f>
        <v>-1.0275684203264746E-2</v>
      </c>
      <c r="I820">
        <f t="shared" ref="I820:I883" si="105">($G$27-$C$14)/2000+I819</f>
        <v>164.00713597541855</v>
      </c>
      <c r="J820">
        <f t="shared" si="100"/>
        <v>714.55434991399261</v>
      </c>
      <c r="K820" s="27">
        <f t="shared" si="101"/>
        <v>-5246.42478756121</v>
      </c>
    </row>
    <row r="821" spans="1:11" x14ac:dyDescent="0.25">
      <c r="A821" s="26">
        <v>771</v>
      </c>
      <c r="B821" s="82">
        <f t="shared" si="102"/>
        <v>0</v>
      </c>
      <c r="C821" s="58">
        <f t="shared" si="98"/>
        <v>171.9194128119324</v>
      </c>
      <c r="D821" s="83">
        <f t="shared" si="103"/>
        <v>733.33333333333326</v>
      </c>
      <c r="E821">
        <f t="shared" si="99"/>
        <v>0</v>
      </c>
      <c r="G821">
        <v>771</v>
      </c>
      <c r="H821" s="13">
        <f t="shared" si="104"/>
        <v>-1.0275684203264746E-2</v>
      </c>
      <c r="I821">
        <f t="shared" si="105"/>
        <v>163.99686029121528</v>
      </c>
      <c r="J821">
        <f t="shared" si="100"/>
        <v>714.52501006844716</v>
      </c>
      <c r="K821" s="27">
        <f t="shared" si="101"/>
        <v>-5245.9938173735236</v>
      </c>
    </row>
    <row r="822" spans="1:11" x14ac:dyDescent="0.25">
      <c r="A822" s="26">
        <v>772</v>
      </c>
      <c r="B822" s="82">
        <f t="shared" si="102"/>
        <v>0</v>
      </c>
      <c r="C822" s="58">
        <f t="shared" si="98"/>
        <v>171.9194128119324</v>
      </c>
      <c r="D822" s="83">
        <f t="shared" si="103"/>
        <v>733.33333333333326</v>
      </c>
      <c r="E822">
        <f t="shared" si="99"/>
        <v>0</v>
      </c>
      <c r="G822">
        <v>772</v>
      </c>
      <c r="H822" s="13">
        <f t="shared" si="104"/>
        <v>-1.0275684203264746E-2</v>
      </c>
      <c r="I822">
        <f t="shared" si="105"/>
        <v>163.98658460701202</v>
      </c>
      <c r="J822">
        <f t="shared" si="100"/>
        <v>714.49565248908232</v>
      </c>
      <c r="K822" s="27">
        <f t="shared" si="101"/>
        <v>-5245.5626042815338</v>
      </c>
    </row>
    <row r="823" spans="1:11" x14ac:dyDescent="0.25">
      <c r="A823" s="26">
        <v>773</v>
      </c>
      <c r="B823" s="82">
        <f t="shared" si="102"/>
        <v>0</v>
      </c>
      <c r="C823" s="58">
        <f t="shared" si="98"/>
        <v>171.9194128119324</v>
      </c>
      <c r="D823" s="83">
        <f t="shared" si="103"/>
        <v>733.33333333333326</v>
      </c>
      <c r="E823">
        <f t="shared" si="99"/>
        <v>0</v>
      </c>
      <c r="G823">
        <v>773</v>
      </c>
      <c r="H823" s="13">
        <f t="shared" si="104"/>
        <v>-1.0275684203264746E-2</v>
      </c>
      <c r="I823">
        <f t="shared" si="105"/>
        <v>163.97630892280876</v>
      </c>
      <c r="J823">
        <f t="shared" si="100"/>
        <v>714.46627714722217</v>
      </c>
      <c r="K823" s="27">
        <f t="shared" si="101"/>
        <v>-5245.1311478957432</v>
      </c>
    </row>
    <row r="824" spans="1:11" x14ac:dyDescent="0.25">
      <c r="A824" s="26">
        <v>774</v>
      </c>
      <c r="B824" s="82">
        <f t="shared" si="102"/>
        <v>0</v>
      </c>
      <c r="C824" s="58">
        <f t="shared" si="98"/>
        <v>171.9194128119324</v>
      </c>
      <c r="D824" s="83">
        <f t="shared" si="103"/>
        <v>733.33333333333326</v>
      </c>
      <c r="E824">
        <f t="shared" si="99"/>
        <v>0</v>
      </c>
      <c r="G824">
        <v>774</v>
      </c>
      <c r="H824" s="13">
        <f t="shared" si="104"/>
        <v>-1.0275684203264746E-2</v>
      </c>
      <c r="I824">
        <f t="shared" si="105"/>
        <v>163.96603323860549</v>
      </c>
      <c r="J824">
        <f t="shared" si="100"/>
        <v>714.43688401411146</v>
      </c>
      <c r="K824" s="27">
        <f t="shared" si="101"/>
        <v>-5244.6994478255829</v>
      </c>
    </row>
    <row r="825" spans="1:11" x14ac:dyDescent="0.25">
      <c r="A825" s="26">
        <v>775</v>
      </c>
      <c r="B825" s="82">
        <f t="shared" si="102"/>
        <v>0</v>
      </c>
      <c r="C825" s="58">
        <f t="shared" si="98"/>
        <v>171.9194128119324</v>
      </c>
      <c r="D825" s="83">
        <f t="shared" si="103"/>
        <v>733.33333333333326</v>
      </c>
      <c r="E825">
        <f t="shared" si="99"/>
        <v>0</v>
      </c>
      <c r="G825">
        <v>775</v>
      </c>
      <c r="H825" s="13">
        <f t="shared" si="104"/>
        <v>-1.0275684203264746E-2</v>
      </c>
      <c r="I825">
        <f t="shared" si="105"/>
        <v>163.95575755440223</v>
      </c>
      <c r="J825">
        <f t="shared" si="100"/>
        <v>714.40747306091566</v>
      </c>
      <c r="K825" s="27">
        <f t="shared" si="101"/>
        <v>-5244.2675036794017</v>
      </c>
    </row>
    <row r="826" spans="1:11" x14ac:dyDescent="0.25">
      <c r="A826" s="26">
        <v>776</v>
      </c>
      <c r="B826" s="82">
        <f t="shared" si="102"/>
        <v>0</v>
      </c>
      <c r="C826" s="58">
        <f t="shared" si="98"/>
        <v>171.9194128119324</v>
      </c>
      <c r="D826" s="83">
        <f t="shared" si="103"/>
        <v>733.33333333333326</v>
      </c>
      <c r="E826">
        <f t="shared" si="99"/>
        <v>0</v>
      </c>
      <c r="G826">
        <v>776</v>
      </c>
      <c r="H826" s="13">
        <f t="shared" si="104"/>
        <v>-1.0275684203264746E-2</v>
      </c>
      <c r="I826">
        <f t="shared" si="105"/>
        <v>163.94548187019896</v>
      </c>
      <c r="J826">
        <f t="shared" si="100"/>
        <v>714.37804425872025</v>
      </c>
      <c r="K826" s="27">
        <f t="shared" si="101"/>
        <v>-5243.8353150644589</v>
      </c>
    </row>
    <row r="827" spans="1:11" x14ac:dyDescent="0.25">
      <c r="A827" s="26">
        <v>777</v>
      </c>
      <c r="B827" s="82">
        <f t="shared" si="102"/>
        <v>0</v>
      </c>
      <c r="C827" s="58">
        <f t="shared" si="98"/>
        <v>171.9194128119324</v>
      </c>
      <c r="D827" s="83">
        <f t="shared" si="103"/>
        <v>733.33333333333326</v>
      </c>
      <c r="E827">
        <f t="shared" si="99"/>
        <v>0</v>
      </c>
      <c r="G827">
        <v>777</v>
      </c>
      <c r="H827" s="13">
        <f t="shared" si="104"/>
        <v>-1.0275684203264746E-2</v>
      </c>
      <c r="I827">
        <f t="shared" si="105"/>
        <v>163.9352061859957</v>
      </c>
      <c r="J827">
        <f t="shared" si="100"/>
        <v>714.3485975785303</v>
      </c>
      <c r="K827" s="27">
        <f t="shared" si="101"/>
        <v>-5243.4028815869287</v>
      </c>
    </row>
    <row r="828" spans="1:11" x14ac:dyDescent="0.25">
      <c r="A828" s="26">
        <v>778</v>
      </c>
      <c r="B828" s="82">
        <f t="shared" si="102"/>
        <v>0</v>
      </c>
      <c r="C828" s="58">
        <f t="shared" si="98"/>
        <v>171.9194128119324</v>
      </c>
      <c r="D828" s="83">
        <f t="shared" si="103"/>
        <v>733.33333333333326</v>
      </c>
      <c r="E828">
        <f t="shared" si="99"/>
        <v>0</v>
      </c>
      <c r="G828">
        <v>778</v>
      </c>
      <c r="H828" s="13">
        <f t="shared" si="104"/>
        <v>-1.0275684203264746E-2</v>
      </c>
      <c r="I828">
        <f t="shared" si="105"/>
        <v>163.92493050179243</v>
      </c>
      <c r="J828">
        <f t="shared" si="100"/>
        <v>714.31913299127075</v>
      </c>
      <c r="K828" s="27">
        <f t="shared" si="101"/>
        <v>-5242.9702028518868</v>
      </c>
    </row>
    <row r="829" spans="1:11" x14ac:dyDescent="0.25">
      <c r="A829" s="26">
        <v>779</v>
      </c>
      <c r="B829" s="82">
        <f t="shared" si="102"/>
        <v>0</v>
      </c>
      <c r="C829" s="58">
        <f t="shared" si="98"/>
        <v>171.9194128119324</v>
      </c>
      <c r="D829" s="83">
        <f t="shared" si="103"/>
        <v>733.33333333333326</v>
      </c>
      <c r="E829">
        <f t="shared" si="99"/>
        <v>0</v>
      </c>
      <c r="G829">
        <v>779</v>
      </c>
      <c r="H829" s="13">
        <f t="shared" si="104"/>
        <v>-1.0275684203264746E-2</v>
      </c>
      <c r="I829">
        <f t="shared" si="105"/>
        <v>163.91465481758917</v>
      </c>
      <c r="J829">
        <f t="shared" si="100"/>
        <v>714.28965046778546</v>
      </c>
      <c r="K829" s="27">
        <f t="shared" si="101"/>
        <v>-5242.5372784633155</v>
      </c>
    </row>
    <row r="830" spans="1:11" x14ac:dyDescent="0.25">
      <c r="A830" s="26">
        <v>780</v>
      </c>
      <c r="B830" s="82">
        <f t="shared" si="102"/>
        <v>0</v>
      </c>
      <c r="C830" s="58">
        <f t="shared" si="98"/>
        <v>171.9194128119324</v>
      </c>
      <c r="D830" s="83">
        <f t="shared" si="103"/>
        <v>733.33333333333326</v>
      </c>
      <c r="E830">
        <f t="shared" si="99"/>
        <v>0</v>
      </c>
      <c r="G830">
        <v>780</v>
      </c>
      <c r="H830" s="13">
        <f t="shared" si="104"/>
        <v>-1.0275684203264746E-2</v>
      </c>
      <c r="I830">
        <f t="shared" si="105"/>
        <v>163.9043791333859</v>
      </c>
      <c r="J830">
        <f t="shared" si="100"/>
        <v>714.26014997883715</v>
      </c>
      <c r="K830" s="27">
        <f t="shared" si="101"/>
        <v>-5242.1041080240893</v>
      </c>
    </row>
    <row r="831" spans="1:11" x14ac:dyDescent="0.25">
      <c r="A831" s="26">
        <v>781</v>
      </c>
      <c r="B831" s="82">
        <f t="shared" si="102"/>
        <v>0</v>
      </c>
      <c r="C831" s="58">
        <f t="shared" si="98"/>
        <v>171.9194128119324</v>
      </c>
      <c r="D831" s="83">
        <f t="shared" si="103"/>
        <v>733.33333333333326</v>
      </c>
      <c r="E831">
        <f t="shared" si="99"/>
        <v>0</v>
      </c>
      <c r="G831">
        <v>781</v>
      </c>
      <c r="H831" s="13">
        <f t="shared" si="104"/>
        <v>-1.0275684203264746E-2</v>
      </c>
      <c r="I831">
        <f t="shared" si="105"/>
        <v>163.89410344918264</v>
      </c>
      <c r="J831">
        <f t="shared" si="100"/>
        <v>714.23063149510722</v>
      </c>
      <c r="K831" s="27">
        <f t="shared" si="101"/>
        <v>-5241.6706911359788</v>
      </c>
    </row>
    <row r="832" spans="1:11" x14ac:dyDescent="0.25">
      <c r="A832" s="26">
        <v>782</v>
      </c>
      <c r="B832" s="82">
        <f t="shared" si="102"/>
        <v>0</v>
      </c>
      <c r="C832" s="58">
        <f t="shared" si="98"/>
        <v>171.9194128119324</v>
      </c>
      <c r="D832" s="83">
        <f t="shared" si="103"/>
        <v>733.33333333333326</v>
      </c>
      <c r="E832">
        <f t="shared" si="99"/>
        <v>0</v>
      </c>
      <c r="G832">
        <v>782</v>
      </c>
      <c r="H832" s="13">
        <f t="shared" si="104"/>
        <v>-1.0275684203264746E-2</v>
      </c>
      <c r="I832">
        <f t="shared" si="105"/>
        <v>163.88382776497937</v>
      </c>
      <c r="J832">
        <f t="shared" si="100"/>
        <v>714.20109498719512</v>
      </c>
      <c r="K832" s="27">
        <f t="shared" si="101"/>
        <v>-5241.2370273996403</v>
      </c>
    </row>
    <row r="833" spans="1:11" x14ac:dyDescent="0.25">
      <c r="A833" s="26">
        <v>783</v>
      </c>
      <c r="B833" s="82">
        <f t="shared" si="102"/>
        <v>0</v>
      </c>
      <c r="C833" s="58">
        <f t="shared" si="98"/>
        <v>171.9194128119324</v>
      </c>
      <c r="D833" s="83">
        <f t="shared" si="103"/>
        <v>733.33333333333326</v>
      </c>
      <c r="E833">
        <f t="shared" si="99"/>
        <v>0</v>
      </c>
      <c r="G833">
        <v>783</v>
      </c>
      <c r="H833" s="13">
        <f t="shared" si="104"/>
        <v>-1.0275684203264746E-2</v>
      </c>
      <c r="I833">
        <f t="shared" si="105"/>
        <v>163.87355208077611</v>
      </c>
      <c r="J833">
        <f t="shared" si="100"/>
        <v>714.17154042561845</v>
      </c>
      <c r="K833" s="27">
        <f t="shared" si="101"/>
        <v>-5240.8031164146205</v>
      </c>
    </row>
    <row r="834" spans="1:11" x14ac:dyDescent="0.25">
      <c r="A834" s="26">
        <v>784</v>
      </c>
      <c r="B834" s="82">
        <f t="shared" si="102"/>
        <v>0</v>
      </c>
      <c r="C834" s="58">
        <f t="shared" si="98"/>
        <v>171.9194128119324</v>
      </c>
      <c r="D834" s="83">
        <f t="shared" si="103"/>
        <v>733.33333333333326</v>
      </c>
      <c r="E834">
        <f t="shared" si="99"/>
        <v>0</v>
      </c>
      <c r="G834">
        <v>784</v>
      </c>
      <c r="H834" s="13">
        <f t="shared" si="104"/>
        <v>-1.0275684203264746E-2</v>
      </c>
      <c r="I834">
        <f t="shared" si="105"/>
        <v>163.86327639657284</v>
      </c>
      <c r="J834">
        <f t="shared" si="100"/>
        <v>714.14196778081225</v>
      </c>
      <c r="K834" s="27">
        <f t="shared" si="101"/>
        <v>-5240.3689577793421</v>
      </c>
    </row>
    <row r="835" spans="1:11" x14ac:dyDescent="0.25">
      <c r="A835" s="26">
        <v>785</v>
      </c>
      <c r="B835" s="82">
        <f t="shared" si="102"/>
        <v>0</v>
      </c>
      <c r="C835" s="58">
        <f t="shared" si="98"/>
        <v>171.9194128119324</v>
      </c>
      <c r="D835" s="83">
        <f t="shared" si="103"/>
        <v>733.33333333333326</v>
      </c>
      <c r="E835">
        <f t="shared" si="99"/>
        <v>0</v>
      </c>
      <c r="G835">
        <v>785</v>
      </c>
      <c r="H835" s="13">
        <f t="shared" si="104"/>
        <v>-1.0275684203264746E-2</v>
      </c>
      <c r="I835">
        <f t="shared" si="105"/>
        <v>163.85300071236958</v>
      </c>
      <c r="J835">
        <f t="shared" si="100"/>
        <v>714.11237702312883</v>
      </c>
      <c r="K835" s="27">
        <f t="shared" si="101"/>
        <v>-5239.9345510910998</v>
      </c>
    </row>
    <row r="836" spans="1:11" x14ac:dyDescent="0.25">
      <c r="A836" s="26">
        <v>786</v>
      </c>
      <c r="B836" s="82">
        <f t="shared" si="102"/>
        <v>0</v>
      </c>
      <c r="C836" s="58">
        <f t="shared" si="98"/>
        <v>171.9194128119324</v>
      </c>
      <c r="D836" s="83">
        <f t="shared" si="103"/>
        <v>733.33333333333326</v>
      </c>
      <c r="E836">
        <f t="shared" si="99"/>
        <v>0</v>
      </c>
      <c r="G836">
        <v>786</v>
      </c>
      <c r="H836" s="13">
        <f t="shared" si="104"/>
        <v>-1.0275684203264746E-2</v>
      </c>
      <c r="I836">
        <f t="shared" si="105"/>
        <v>163.84272502816631</v>
      </c>
      <c r="J836">
        <f t="shared" si="100"/>
        <v>714.08276812283736</v>
      </c>
      <c r="K836" s="27">
        <f t="shared" si="101"/>
        <v>-5239.4998959460654</v>
      </c>
    </row>
    <row r="837" spans="1:11" x14ac:dyDescent="0.25">
      <c r="A837" s="26">
        <v>787</v>
      </c>
      <c r="B837" s="82">
        <f t="shared" si="102"/>
        <v>0</v>
      </c>
      <c r="C837" s="58">
        <f t="shared" si="98"/>
        <v>171.9194128119324</v>
      </c>
      <c r="D837" s="83">
        <f t="shared" si="103"/>
        <v>733.33333333333326</v>
      </c>
      <c r="E837">
        <f t="shared" si="99"/>
        <v>0</v>
      </c>
      <c r="G837">
        <v>787</v>
      </c>
      <c r="H837" s="13">
        <f t="shared" si="104"/>
        <v>-1.0275684203264746E-2</v>
      </c>
      <c r="I837">
        <f t="shared" si="105"/>
        <v>163.83244934396305</v>
      </c>
      <c r="J837">
        <f t="shared" si="100"/>
        <v>714.05314105012371</v>
      </c>
      <c r="K837" s="27">
        <f t="shared" si="101"/>
        <v>-5239.0649919392745</v>
      </c>
    </row>
    <row r="838" spans="1:11" x14ac:dyDescent="0.25">
      <c r="A838" s="26">
        <v>788</v>
      </c>
      <c r="B838" s="82">
        <f t="shared" si="102"/>
        <v>0</v>
      </c>
      <c r="C838" s="58">
        <f t="shared" si="98"/>
        <v>171.9194128119324</v>
      </c>
      <c r="D838" s="83">
        <f t="shared" si="103"/>
        <v>733.33333333333326</v>
      </c>
      <c r="E838">
        <f t="shared" si="99"/>
        <v>0</v>
      </c>
      <c r="G838">
        <v>788</v>
      </c>
      <c r="H838" s="13">
        <f t="shared" si="104"/>
        <v>-1.0275684203264746E-2</v>
      </c>
      <c r="I838">
        <f t="shared" si="105"/>
        <v>163.82217365975978</v>
      </c>
      <c r="J838">
        <f t="shared" si="100"/>
        <v>714.02349577509017</v>
      </c>
      <c r="K838" s="27">
        <f t="shared" si="101"/>
        <v>-5238.6298386646258</v>
      </c>
    </row>
    <row r="839" spans="1:11" x14ac:dyDescent="0.25">
      <c r="A839" s="26">
        <v>789</v>
      </c>
      <c r="B839" s="82">
        <f t="shared" si="102"/>
        <v>0</v>
      </c>
      <c r="C839" s="58">
        <f t="shared" si="98"/>
        <v>171.9194128119324</v>
      </c>
      <c r="D839" s="83">
        <f t="shared" si="103"/>
        <v>733.33333333333326</v>
      </c>
      <c r="E839">
        <f t="shared" si="99"/>
        <v>0</v>
      </c>
      <c r="G839">
        <v>789</v>
      </c>
      <c r="H839" s="13">
        <f t="shared" si="104"/>
        <v>-1.0275684203264746E-2</v>
      </c>
      <c r="I839">
        <f t="shared" si="105"/>
        <v>163.81189797555652</v>
      </c>
      <c r="J839">
        <f t="shared" si="100"/>
        <v>713.99383226775467</v>
      </c>
      <c r="K839" s="27">
        <f t="shared" si="101"/>
        <v>-5238.194435714875</v>
      </c>
    </row>
    <row r="840" spans="1:11" x14ac:dyDescent="0.25">
      <c r="A840" s="26">
        <v>790</v>
      </c>
      <c r="B840" s="82">
        <f t="shared" si="102"/>
        <v>0</v>
      </c>
      <c r="C840" s="58">
        <f t="shared" si="98"/>
        <v>171.9194128119324</v>
      </c>
      <c r="D840" s="83">
        <f t="shared" si="103"/>
        <v>733.33333333333326</v>
      </c>
      <c r="E840">
        <f t="shared" si="99"/>
        <v>0</v>
      </c>
      <c r="G840">
        <v>790</v>
      </c>
      <c r="H840" s="13">
        <f t="shared" si="104"/>
        <v>-1.0275684203264746E-2</v>
      </c>
      <c r="I840">
        <f t="shared" si="105"/>
        <v>163.80162229135325</v>
      </c>
      <c r="J840">
        <f t="shared" si="100"/>
        <v>713.96415049805091</v>
      </c>
      <c r="K840" s="27">
        <f t="shared" si="101"/>
        <v>-5237.7587826816298</v>
      </c>
    </row>
    <row r="841" spans="1:11" x14ac:dyDescent="0.25">
      <c r="A841" s="26">
        <v>791</v>
      </c>
      <c r="B841" s="82">
        <f t="shared" si="102"/>
        <v>0</v>
      </c>
      <c r="C841" s="58">
        <f t="shared" si="98"/>
        <v>171.9194128119324</v>
      </c>
      <c r="D841" s="83">
        <f t="shared" si="103"/>
        <v>733.33333333333326</v>
      </c>
      <c r="E841">
        <f t="shared" si="99"/>
        <v>0</v>
      </c>
      <c r="G841">
        <v>791</v>
      </c>
      <c r="H841" s="13">
        <f t="shared" si="104"/>
        <v>-1.0275684203264746E-2</v>
      </c>
      <c r="I841">
        <f t="shared" si="105"/>
        <v>163.79134660714999</v>
      </c>
      <c r="J841">
        <f t="shared" si="100"/>
        <v>713.9344504358279</v>
      </c>
      <c r="K841" s="27">
        <f t="shared" si="101"/>
        <v>-5237.3228791553493</v>
      </c>
    </row>
    <row r="842" spans="1:11" x14ac:dyDescent="0.25">
      <c r="A842" s="26">
        <v>792</v>
      </c>
      <c r="B842" s="82">
        <f t="shared" si="102"/>
        <v>0</v>
      </c>
      <c r="C842" s="58">
        <f t="shared" si="98"/>
        <v>171.9194128119324</v>
      </c>
      <c r="D842" s="83">
        <f t="shared" si="103"/>
        <v>733.33333333333326</v>
      </c>
      <c r="E842">
        <f t="shared" si="99"/>
        <v>0</v>
      </c>
      <c r="G842">
        <v>792</v>
      </c>
      <c r="H842" s="13">
        <f t="shared" si="104"/>
        <v>-1.0275684203264746E-2</v>
      </c>
      <c r="I842">
        <f t="shared" si="105"/>
        <v>163.78107092294672</v>
      </c>
      <c r="J842">
        <f t="shared" si="100"/>
        <v>713.9047320508497</v>
      </c>
      <c r="K842" s="27">
        <f t="shared" si="101"/>
        <v>-5236.8867247253374</v>
      </c>
    </row>
    <row r="843" spans="1:11" x14ac:dyDescent="0.25">
      <c r="A843" s="26">
        <v>793</v>
      </c>
      <c r="B843" s="82">
        <f t="shared" si="102"/>
        <v>0</v>
      </c>
      <c r="C843" s="58">
        <f t="shared" si="98"/>
        <v>171.9194128119324</v>
      </c>
      <c r="D843" s="83">
        <f t="shared" si="103"/>
        <v>733.33333333333326</v>
      </c>
      <c r="E843">
        <f t="shared" si="99"/>
        <v>0</v>
      </c>
      <c r="G843">
        <v>793</v>
      </c>
      <c r="H843" s="13">
        <f t="shared" si="104"/>
        <v>-1.0275684203264746E-2</v>
      </c>
      <c r="I843">
        <f t="shared" si="105"/>
        <v>163.77079523874346</v>
      </c>
      <c r="J843">
        <f t="shared" si="100"/>
        <v>713.87499531279479</v>
      </c>
      <c r="K843" s="27">
        <f t="shared" si="101"/>
        <v>-5236.4503189797315</v>
      </c>
    </row>
    <row r="844" spans="1:11" x14ac:dyDescent="0.25">
      <c r="A844" s="26">
        <v>794</v>
      </c>
      <c r="B844" s="82">
        <f t="shared" si="102"/>
        <v>0</v>
      </c>
      <c r="C844" s="58">
        <f t="shared" si="98"/>
        <v>171.9194128119324</v>
      </c>
      <c r="D844" s="83">
        <f t="shared" si="103"/>
        <v>733.33333333333326</v>
      </c>
      <c r="E844">
        <f t="shared" si="99"/>
        <v>0</v>
      </c>
      <c r="G844">
        <v>794</v>
      </c>
      <c r="H844" s="13">
        <f t="shared" si="104"/>
        <v>-1.0275684203264746E-2</v>
      </c>
      <c r="I844">
        <f t="shared" si="105"/>
        <v>163.7605195545402</v>
      </c>
      <c r="J844">
        <f t="shared" si="100"/>
        <v>713.84524019125581</v>
      </c>
      <c r="K844" s="27">
        <f t="shared" si="101"/>
        <v>-5236.0136615055098</v>
      </c>
    </row>
    <row r="845" spans="1:11" x14ac:dyDescent="0.25">
      <c r="A845" s="26">
        <v>795</v>
      </c>
      <c r="B845" s="82">
        <f t="shared" si="102"/>
        <v>0</v>
      </c>
      <c r="C845" s="58">
        <f t="shared" si="98"/>
        <v>171.9194128119324</v>
      </c>
      <c r="D845" s="83">
        <f t="shared" si="103"/>
        <v>733.33333333333326</v>
      </c>
      <c r="E845">
        <f t="shared" si="99"/>
        <v>0</v>
      </c>
      <c r="G845">
        <v>795</v>
      </c>
      <c r="H845" s="13">
        <f t="shared" si="104"/>
        <v>-1.0275684203264746E-2</v>
      </c>
      <c r="I845">
        <f t="shared" si="105"/>
        <v>163.75024387033693</v>
      </c>
      <c r="J845">
        <f t="shared" si="100"/>
        <v>713.81546665573978</v>
      </c>
      <c r="K845" s="27">
        <f t="shared" si="101"/>
        <v>-5235.5767518884795</v>
      </c>
    </row>
    <row r="846" spans="1:11" x14ac:dyDescent="0.25">
      <c r="A846" s="26">
        <v>796</v>
      </c>
      <c r="B846" s="82">
        <f t="shared" si="102"/>
        <v>0</v>
      </c>
      <c r="C846" s="58">
        <f t="shared" si="98"/>
        <v>171.9194128119324</v>
      </c>
      <c r="D846" s="83">
        <f t="shared" si="103"/>
        <v>733.33333333333326</v>
      </c>
      <c r="E846">
        <f t="shared" si="99"/>
        <v>0</v>
      </c>
      <c r="G846">
        <v>796</v>
      </c>
      <c r="H846" s="13">
        <f t="shared" si="104"/>
        <v>-1.0275684203264746E-2</v>
      </c>
      <c r="I846">
        <f t="shared" si="105"/>
        <v>163.73996818613367</v>
      </c>
      <c r="J846">
        <f t="shared" si="100"/>
        <v>713.78567467566688</v>
      </c>
      <c r="K846" s="27">
        <f t="shared" si="101"/>
        <v>-5235.1395897132716</v>
      </c>
    </row>
    <row r="847" spans="1:11" x14ac:dyDescent="0.25">
      <c r="A847" s="26">
        <v>797</v>
      </c>
      <c r="B847" s="82">
        <f t="shared" si="102"/>
        <v>0</v>
      </c>
      <c r="C847" s="58">
        <f t="shared" si="98"/>
        <v>171.9194128119324</v>
      </c>
      <c r="D847" s="83">
        <f t="shared" si="103"/>
        <v>733.33333333333326</v>
      </c>
      <c r="E847">
        <f t="shared" si="99"/>
        <v>0</v>
      </c>
      <c r="G847">
        <v>797</v>
      </c>
      <c r="H847" s="13">
        <f t="shared" si="104"/>
        <v>-1.0275684203264746E-2</v>
      </c>
      <c r="I847">
        <f t="shared" si="105"/>
        <v>163.7296925019304</v>
      </c>
      <c r="J847">
        <f t="shared" si="100"/>
        <v>713.75586422037077</v>
      </c>
      <c r="K847" s="27">
        <f t="shared" si="101"/>
        <v>-5234.7021745633401</v>
      </c>
    </row>
    <row r="848" spans="1:11" x14ac:dyDescent="0.25">
      <c r="A848" s="26">
        <v>798</v>
      </c>
      <c r="B848" s="82">
        <f t="shared" si="102"/>
        <v>0</v>
      </c>
      <c r="C848" s="58">
        <f t="shared" ref="C848:C911" si="106">($C$37-$C$36)/2000+C847</f>
        <v>171.9194128119324</v>
      </c>
      <c r="D848" s="83">
        <f t="shared" si="103"/>
        <v>733.33333333333326</v>
      </c>
      <c r="E848">
        <f t="shared" si="99"/>
        <v>0</v>
      </c>
      <c r="G848">
        <v>798</v>
      </c>
      <c r="H848" s="13">
        <f t="shared" si="104"/>
        <v>-1.0275684203264746E-2</v>
      </c>
      <c r="I848">
        <f t="shared" si="105"/>
        <v>163.71941681772714</v>
      </c>
      <c r="J848">
        <f t="shared" si="100"/>
        <v>713.72603525909801</v>
      </c>
      <c r="K848" s="27">
        <f t="shared" si="101"/>
        <v>-5234.2645060209534</v>
      </c>
    </row>
    <row r="849" spans="1:11" x14ac:dyDescent="0.25">
      <c r="A849" s="26">
        <v>799</v>
      </c>
      <c r="B849" s="82">
        <f t="shared" si="102"/>
        <v>0</v>
      </c>
      <c r="C849" s="58">
        <f t="shared" si="106"/>
        <v>171.9194128119324</v>
      </c>
      <c r="D849" s="83">
        <f t="shared" si="103"/>
        <v>733.33333333333326</v>
      </c>
      <c r="E849">
        <f t="shared" si="99"/>
        <v>0</v>
      </c>
      <c r="G849">
        <v>799</v>
      </c>
      <c r="H849" s="13">
        <f t="shared" si="104"/>
        <v>-1.0275684203264746E-2</v>
      </c>
      <c r="I849">
        <f t="shared" si="105"/>
        <v>163.70914113352387</v>
      </c>
      <c r="J849">
        <f t="shared" si="100"/>
        <v>713.69618776100742</v>
      </c>
      <c r="K849" s="27">
        <f t="shared" si="101"/>
        <v>-5233.8265836671908</v>
      </c>
    </row>
    <row r="850" spans="1:11" x14ac:dyDescent="0.25">
      <c r="A850" s="26">
        <v>800</v>
      </c>
      <c r="B850" s="82">
        <f t="shared" si="102"/>
        <v>0</v>
      </c>
      <c r="C850" s="58">
        <f t="shared" si="106"/>
        <v>171.9194128119324</v>
      </c>
      <c r="D850" s="83">
        <f t="shared" si="103"/>
        <v>733.33333333333326</v>
      </c>
      <c r="E850">
        <f t="shared" si="99"/>
        <v>0</v>
      </c>
      <c r="G850">
        <v>800</v>
      </c>
      <c r="H850" s="13">
        <f t="shared" si="104"/>
        <v>-1.0275684203264746E-2</v>
      </c>
      <c r="I850">
        <f t="shared" si="105"/>
        <v>163.69886544932061</v>
      </c>
      <c r="J850">
        <f t="shared" si="100"/>
        <v>713.66632169517027</v>
      </c>
      <c r="K850" s="27">
        <f t="shared" si="101"/>
        <v>-5233.3884070819413</v>
      </c>
    </row>
    <row r="851" spans="1:11" x14ac:dyDescent="0.25">
      <c r="A851" s="26">
        <v>801</v>
      </c>
      <c r="B851" s="82">
        <f t="shared" si="102"/>
        <v>0</v>
      </c>
      <c r="C851" s="58">
        <f t="shared" si="106"/>
        <v>171.9194128119324</v>
      </c>
      <c r="D851" s="83">
        <f t="shared" si="103"/>
        <v>733.33333333333326</v>
      </c>
      <c r="E851">
        <f t="shared" si="99"/>
        <v>0</v>
      </c>
      <c r="G851">
        <v>801</v>
      </c>
      <c r="H851" s="13">
        <f t="shared" si="104"/>
        <v>-1.0275684203264746E-2</v>
      </c>
      <c r="I851">
        <f t="shared" si="105"/>
        <v>163.68858976511734</v>
      </c>
      <c r="J851">
        <f t="shared" si="100"/>
        <v>713.63643703056982</v>
      </c>
      <c r="K851" s="27">
        <f t="shared" si="101"/>
        <v>-5232.9499758438951</v>
      </c>
    </row>
    <row r="852" spans="1:11" x14ac:dyDescent="0.25">
      <c r="A852" s="26">
        <v>802</v>
      </c>
      <c r="B852" s="82">
        <f t="shared" si="102"/>
        <v>0</v>
      </c>
      <c r="C852" s="58">
        <f t="shared" si="106"/>
        <v>171.9194128119324</v>
      </c>
      <c r="D852" s="83">
        <f t="shared" si="103"/>
        <v>733.33333333333326</v>
      </c>
      <c r="E852">
        <f t="shared" si="99"/>
        <v>0</v>
      </c>
      <c r="G852">
        <v>802</v>
      </c>
      <c r="H852" s="13">
        <f t="shared" si="104"/>
        <v>-1.0275684203264746E-2</v>
      </c>
      <c r="I852">
        <f t="shared" si="105"/>
        <v>163.67831408091408</v>
      </c>
      <c r="J852">
        <f t="shared" si="100"/>
        <v>713.60653373610057</v>
      </c>
      <c r="K852" s="27">
        <f t="shared" si="101"/>
        <v>-5232.5112895305383</v>
      </c>
    </row>
    <row r="853" spans="1:11" x14ac:dyDescent="0.25">
      <c r="A853" s="26">
        <v>803</v>
      </c>
      <c r="B853" s="82">
        <f t="shared" si="102"/>
        <v>0</v>
      </c>
      <c r="C853" s="58">
        <f t="shared" si="106"/>
        <v>171.9194128119324</v>
      </c>
      <c r="D853" s="83">
        <f t="shared" si="103"/>
        <v>733.33333333333326</v>
      </c>
      <c r="E853">
        <f t="shared" si="99"/>
        <v>0</v>
      </c>
      <c r="G853">
        <v>803</v>
      </c>
      <c r="H853" s="13">
        <f t="shared" si="104"/>
        <v>-1.0275684203264746E-2</v>
      </c>
      <c r="I853">
        <f t="shared" si="105"/>
        <v>163.66803839671081</v>
      </c>
      <c r="J853">
        <f t="shared" si="100"/>
        <v>713.57661178056821</v>
      </c>
      <c r="K853" s="27">
        <f t="shared" si="101"/>
        <v>-5232.0723477181482</v>
      </c>
    </row>
    <row r="854" spans="1:11" x14ac:dyDescent="0.25">
      <c r="A854" s="26">
        <v>804</v>
      </c>
      <c r="B854" s="82">
        <f t="shared" si="102"/>
        <v>0</v>
      </c>
      <c r="C854" s="58">
        <f t="shared" si="106"/>
        <v>171.9194128119324</v>
      </c>
      <c r="D854" s="83">
        <f t="shared" si="103"/>
        <v>733.33333333333326</v>
      </c>
      <c r="E854">
        <f t="shared" si="99"/>
        <v>0</v>
      </c>
      <c r="G854">
        <v>804</v>
      </c>
      <c r="H854" s="13">
        <f t="shared" si="104"/>
        <v>-1.0275684203264746E-2</v>
      </c>
      <c r="I854">
        <f t="shared" si="105"/>
        <v>163.65776271250755</v>
      </c>
      <c r="J854">
        <f t="shared" si="100"/>
        <v>713.54667113268931</v>
      </c>
      <c r="K854" s="27">
        <f t="shared" si="101"/>
        <v>-5231.6331499817925</v>
      </c>
    </row>
    <row r="855" spans="1:11" x14ac:dyDescent="0.25">
      <c r="A855" s="26">
        <v>805</v>
      </c>
      <c r="B855" s="82">
        <f t="shared" si="102"/>
        <v>0</v>
      </c>
      <c r="C855" s="58">
        <f t="shared" si="106"/>
        <v>171.9194128119324</v>
      </c>
      <c r="D855" s="83">
        <f t="shared" si="103"/>
        <v>733.33333333333326</v>
      </c>
      <c r="E855">
        <f t="shared" si="99"/>
        <v>0</v>
      </c>
      <c r="G855">
        <v>805</v>
      </c>
      <c r="H855" s="13">
        <f t="shared" si="104"/>
        <v>-1.0275684203264746E-2</v>
      </c>
      <c r="I855">
        <f t="shared" si="105"/>
        <v>163.64748702830428</v>
      </c>
      <c r="J855">
        <f t="shared" si="100"/>
        <v>713.51671176109085</v>
      </c>
      <c r="K855" s="27">
        <f t="shared" si="101"/>
        <v>-5231.1936958953202</v>
      </c>
    </row>
    <row r="856" spans="1:11" x14ac:dyDescent="0.25">
      <c r="A856" s="26">
        <v>806</v>
      </c>
      <c r="B856" s="82">
        <f t="shared" si="102"/>
        <v>0</v>
      </c>
      <c r="C856" s="58">
        <f t="shared" si="106"/>
        <v>171.9194128119324</v>
      </c>
      <c r="D856" s="83">
        <f t="shared" si="103"/>
        <v>733.33333333333326</v>
      </c>
      <c r="E856">
        <f t="shared" si="99"/>
        <v>0</v>
      </c>
      <c r="G856">
        <v>806</v>
      </c>
      <c r="H856" s="13">
        <f t="shared" si="104"/>
        <v>-1.0275684203264746E-2</v>
      </c>
      <c r="I856">
        <f t="shared" si="105"/>
        <v>163.63721134410102</v>
      </c>
      <c r="J856">
        <f t="shared" si="100"/>
        <v>713.48673363430976</v>
      </c>
      <c r="K856" s="27">
        <f t="shared" si="101"/>
        <v>-5230.7539850313578</v>
      </c>
    </row>
    <row r="857" spans="1:11" x14ac:dyDescent="0.25">
      <c r="A857" s="26">
        <v>807</v>
      </c>
      <c r="B857" s="82">
        <f t="shared" si="102"/>
        <v>0</v>
      </c>
      <c r="C857" s="58">
        <f t="shared" si="106"/>
        <v>171.9194128119324</v>
      </c>
      <c r="D857" s="83">
        <f t="shared" si="103"/>
        <v>733.33333333333326</v>
      </c>
      <c r="E857">
        <f t="shared" si="99"/>
        <v>0</v>
      </c>
      <c r="G857">
        <v>807</v>
      </c>
      <c r="H857" s="13">
        <f t="shared" si="104"/>
        <v>-1.0275684203264746E-2</v>
      </c>
      <c r="I857">
        <f t="shared" si="105"/>
        <v>163.62693565989775</v>
      </c>
      <c r="J857">
        <f t="shared" si="100"/>
        <v>713.45673672079272</v>
      </c>
      <c r="K857" s="27">
        <f t="shared" si="101"/>
        <v>-5230.3140169613025</v>
      </c>
    </row>
    <row r="858" spans="1:11" x14ac:dyDescent="0.25">
      <c r="A858" s="26">
        <v>808</v>
      </c>
      <c r="B858" s="82">
        <f t="shared" si="102"/>
        <v>0</v>
      </c>
      <c r="C858" s="58">
        <f t="shared" si="106"/>
        <v>171.9194128119324</v>
      </c>
      <c r="D858" s="83">
        <f t="shared" si="103"/>
        <v>733.33333333333326</v>
      </c>
      <c r="E858">
        <f t="shared" si="99"/>
        <v>0</v>
      </c>
      <c r="G858">
        <v>808</v>
      </c>
      <c r="H858" s="13">
        <f t="shared" si="104"/>
        <v>-1.0275684203264746E-2</v>
      </c>
      <c r="I858">
        <f t="shared" si="105"/>
        <v>163.61665997569449</v>
      </c>
      <c r="J858">
        <f t="shared" si="100"/>
        <v>713.4267209888958</v>
      </c>
      <c r="K858" s="27">
        <f t="shared" si="101"/>
        <v>-5229.8737912553252</v>
      </c>
    </row>
    <row r="859" spans="1:11" x14ac:dyDescent="0.25">
      <c r="A859" s="26">
        <v>809</v>
      </c>
      <c r="B859" s="82">
        <f t="shared" si="102"/>
        <v>0</v>
      </c>
      <c r="C859" s="58">
        <f t="shared" si="106"/>
        <v>171.9194128119324</v>
      </c>
      <c r="D859" s="83">
        <f t="shared" si="103"/>
        <v>733.33333333333326</v>
      </c>
      <c r="E859">
        <f t="shared" si="99"/>
        <v>0</v>
      </c>
      <c r="G859">
        <v>809</v>
      </c>
      <c r="H859" s="13">
        <f t="shared" si="104"/>
        <v>-1.0275684203264746E-2</v>
      </c>
      <c r="I859">
        <f t="shared" si="105"/>
        <v>163.60638429149122</v>
      </c>
      <c r="J859">
        <f t="shared" si="100"/>
        <v>713.3966864068841</v>
      </c>
      <c r="K859" s="27">
        <f t="shared" si="101"/>
        <v>-5229.4333074823535</v>
      </c>
    </row>
    <row r="860" spans="1:11" x14ac:dyDescent="0.25">
      <c r="A860" s="26">
        <v>810</v>
      </c>
      <c r="B860" s="82">
        <f t="shared" si="102"/>
        <v>0</v>
      </c>
      <c r="C860" s="58">
        <f t="shared" si="106"/>
        <v>171.9194128119324</v>
      </c>
      <c r="D860" s="83">
        <f t="shared" si="103"/>
        <v>733.33333333333326</v>
      </c>
      <c r="E860">
        <f t="shared" si="99"/>
        <v>0</v>
      </c>
      <c r="G860">
        <v>810</v>
      </c>
      <c r="H860" s="13">
        <f t="shared" si="104"/>
        <v>-1.0275684203264746E-2</v>
      </c>
      <c r="I860">
        <f t="shared" si="105"/>
        <v>163.59610860728796</v>
      </c>
      <c r="J860">
        <f t="shared" si="100"/>
        <v>713.36663294293123</v>
      </c>
      <c r="K860" s="27">
        <f t="shared" si="101"/>
        <v>-5228.9925652100765</v>
      </c>
    </row>
    <row r="861" spans="1:11" x14ac:dyDescent="0.25">
      <c r="A861" s="26">
        <v>811</v>
      </c>
      <c r="B861" s="82">
        <f t="shared" si="102"/>
        <v>0</v>
      </c>
      <c r="C861" s="58">
        <f t="shared" si="106"/>
        <v>171.9194128119324</v>
      </c>
      <c r="D861" s="83">
        <f t="shared" si="103"/>
        <v>733.33333333333326</v>
      </c>
      <c r="E861">
        <f t="shared" si="99"/>
        <v>0</v>
      </c>
      <c r="G861">
        <v>811</v>
      </c>
      <c r="H861" s="13">
        <f t="shared" si="104"/>
        <v>-1.0275684203264746E-2</v>
      </c>
      <c r="I861">
        <f t="shared" si="105"/>
        <v>163.58583292308469</v>
      </c>
      <c r="J861">
        <f t="shared" si="100"/>
        <v>713.33656056511904</v>
      </c>
      <c r="K861" s="27">
        <f t="shared" si="101"/>
        <v>-5228.5515640049352</v>
      </c>
    </row>
    <row r="862" spans="1:11" x14ac:dyDescent="0.25">
      <c r="A862" s="26">
        <v>812</v>
      </c>
      <c r="B862" s="82">
        <f t="shared" si="102"/>
        <v>0</v>
      </c>
      <c r="C862" s="58">
        <f t="shared" si="106"/>
        <v>171.9194128119324</v>
      </c>
      <c r="D862" s="83">
        <f t="shared" si="103"/>
        <v>733.33333333333326</v>
      </c>
      <c r="E862">
        <f t="shared" si="99"/>
        <v>0</v>
      </c>
      <c r="G862">
        <v>812</v>
      </c>
      <c r="H862" s="13">
        <f t="shared" si="104"/>
        <v>-1.0275684203264746E-2</v>
      </c>
      <c r="I862">
        <f t="shared" si="105"/>
        <v>163.57555723888143</v>
      </c>
      <c r="J862">
        <f t="shared" si="100"/>
        <v>713.30646924143741</v>
      </c>
      <c r="K862" s="27">
        <f t="shared" si="101"/>
        <v>-5228.1103034321177</v>
      </c>
    </row>
    <row r="863" spans="1:11" x14ac:dyDescent="0.25">
      <c r="A863" s="26">
        <v>813</v>
      </c>
      <c r="B863" s="82">
        <f t="shared" si="102"/>
        <v>0</v>
      </c>
      <c r="C863" s="58">
        <f t="shared" si="106"/>
        <v>171.9194128119324</v>
      </c>
      <c r="D863" s="83">
        <f t="shared" si="103"/>
        <v>733.33333333333326</v>
      </c>
      <c r="E863">
        <f t="shared" si="99"/>
        <v>0</v>
      </c>
      <c r="G863">
        <v>813</v>
      </c>
      <c r="H863" s="13">
        <f t="shared" si="104"/>
        <v>-1.0275684203264746E-2</v>
      </c>
      <c r="I863">
        <f t="shared" si="105"/>
        <v>163.56528155467817</v>
      </c>
      <c r="J863">
        <f t="shared" si="100"/>
        <v>713.27635893978322</v>
      </c>
      <c r="K863" s="27">
        <f t="shared" si="101"/>
        <v>-5227.6687830555538</v>
      </c>
    </row>
    <row r="864" spans="1:11" x14ac:dyDescent="0.25">
      <c r="A864" s="26">
        <v>814</v>
      </c>
      <c r="B864" s="82">
        <f t="shared" si="102"/>
        <v>0</v>
      </c>
      <c r="C864" s="58">
        <f t="shared" si="106"/>
        <v>171.9194128119324</v>
      </c>
      <c r="D864" s="83">
        <f t="shared" si="103"/>
        <v>733.33333333333326</v>
      </c>
      <c r="E864">
        <f t="shared" si="99"/>
        <v>0</v>
      </c>
      <c r="G864">
        <v>814</v>
      </c>
      <c r="H864" s="13">
        <f t="shared" si="104"/>
        <v>-1.0275684203264746E-2</v>
      </c>
      <c r="I864">
        <f t="shared" si="105"/>
        <v>163.5550058704749</v>
      </c>
      <c r="J864">
        <f t="shared" si="100"/>
        <v>713.24622962796116</v>
      </c>
      <c r="K864" s="27">
        <f t="shared" si="101"/>
        <v>-5227.2270024379131</v>
      </c>
    </row>
    <row r="865" spans="1:11" x14ac:dyDescent="0.25">
      <c r="A865" s="26">
        <v>815</v>
      </c>
      <c r="B865" s="82">
        <f t="shared" si="102"/>
        <v>0</v>
      </c>
      <c r="C865" s="58">
        <f t="shared" si="106"/>
        <v>171.9194128119324</v>
      </c>
      <c r="D865" s="83">
        <f t="shared" si="103"/>
        <v>733.33333333333326</v>
      </c>
      <c r="E865">
        <f t="shared" si="99"/>
        <v>0</v>
      </c>
      <c r="G865">
        <v>815</v>
      </c>
      <c r="H865" s="13">
        <f t="shared" si="104"/>
        <v>-1.0275684203264746E-2</v>
      </c>
      <c r="I865">
        <f t="shared" si="105"/>
        <v>163.54473018627164</v>
      </c>
      <c r="J865">
        <f t="shared" si="100"/>
        <v>713.21608127368211</v>
      </c>
      <c r="K865" s="27">
        <f t="shared" si="101"/>
        <v>-5226.7849611405982</v>
      </c>
    </row>
    <row r="866" spans="1:11" x14ac:dyDescent="0.25">
      <c r="A866" s="26">
        <v>816</v>
      </c>
      <c r="B866" s="82">
        <f t="shared" si="102"/>
        <v>0</v>
      </c>
      <c r="C866" s="58">
        <f t="shared" si="106"/>
        <v>171.9194128119324</v>
      </c>
      <c r="D866" s="83">
        <f t="shared" si="103"/>
        <v>733.33333333333326</v>
      </c>
      <c r="E866">
        <f t="shared" si="99"/>
        <v>0</v>
      </c>
      <c r="G866">
        <v>816</v>
      </c>
      <c r="H866" s="13">
        <f t="shared" si="104"/>
        <v>-1.0275684203264746E-2</v>
      </c>
      <c r="I866">
        <f t="shared" si="105"/>
        <v>163.53445450206837</v>
      </c>
      <c r="J866">
        <f t="shared" si="100"/>
        <v>713.18591384456363</v>
      </c>
      <c r="K866" s="27">
        <f t="shared" si="101"/>
        <v>-5226.3426587237354</v>
      </c>
    </row>
    <row r="867" spans="1:11" x14ac:dyDescent="0.25">
      <c r="A867" s="26">
        <v>817</v>
      </c>
      <c r="B867" s="82">
        <f t="shared" si="102"/>
        <v>0</v>
      </c>
      <c r="C867" s="58">
        <f t="shared" si="106"/>
        <v>171.9194128119324</v>
      </c>
      <c r="D867" s="83">
        <f t="shared" si="103"/>
        <v>733.33333333333326</v>
      </c>
      <c r="E867">
        <f t="shared" si="99"/>
        <v>0</v>
      </c>
      <c r="G867">
        <v>817</v>
      </c>
      <c r="H867" s="13">
        <f t="shared" si="104"/>
        <v>-1.0275684203264746E-2</v>
      </c>
      <c r="I867">
        <f t="shared" si="105"/>
        <v>163.52417881786511</v>
      </c>
      <c r="J867">
        <f t="shared" si="100"/>
        <v>713.15572730812903</v>
      </c>
      <c r="K867" s="27">
        <f t="shared" si="101"/>
        <v>-5225.9000947461764</v>
      </c>
    </row>
    <row r="868" spans="1:11" x14ac:dyDescent="0.25">
      <c r="A868" s="26">
        <v>818</v>
      </c>
      <c r="B868" s="82">
        <f t="shared" si="102"/>
        <v>0</v>
      </c>
      <c r="C868" s="58">
        <f t="shared" si="106"/>
        <v>171.9194128119324</v>
      </c>
      <c r="D868" s="83">
        <f t="shared" si="103"/>
        <v>733.33333333333326</v>
      </c>
      <c r="E868">
        <f t="shared" si="99"/>
        <v>0</v>
      </c>
      <c r="G868">
        <v>818</v>
      </c>
      <c r="H868" s="13">
        <f t="shared" si="104"/>
        <v>-1.0275684203264746E-2</v>
      </c>
      <c r="I868">
        <f t="shared" si="105"/>
        <v>163.51390313366184</v>
      </c>
      <c r="J868">
        <f t="shared" si="100"/>
        <v>713.12552163180737</v>
      </c>
      <c r="K868" s="27">
        <f t="shared" si="101"/>
        <v>-5225.4572687654872</v>
      </c>
    </row>
    <row r="869" spans="1:11" x14ac:dyDescent="0.25">
      <c r="A869" s="26">
        <v>819</v>
      </c>
      <c r="B869" s="82">
        <f t="shared" si="102"/>
        <v>0</v>
      </c>
      <c r="C869" s="58">
        <f t="shared" si="106"/>
        <v>171.9194128119324</v>
      </c>
      <c r="D869" s="83">
        <f t="shared" si="103"/>
        <v>733.33333333333326</v>
      </c>
      <c r="E869">
        <f t="shared" si="99"/>
        <v>0</v>
      </c>
      <c r="G869">
        <v>819</v>
      </c>
      <c r="H869" s="13">
        <f t="shared" si="104"/>
        <v>-1.0275684203264746E-2</v>
      </c>
      <c r="I869">
        <f t="shared" si="105"/>
        <v>163.50362744945858</v>
      </c>
      <c r="J869">
        <f t="shared" si="100"/>
        <v>713.09529678293291</v>
      </c>
      <c r="K869" s="27">
        <f t="shared" si="101"/>
        <v>-5225.0141803379474</v>
      </c>
    </row>
    <row r="870" spans="1:11" x14ac:dyDescent="0.25">
      <c r="A870" s="26">
        <v>820</v>
      </c>
      <c r="B870" s="82">
        <f t="shared" si="102"/>
        <v>0</v>
      </c>
      <c r="C870" s="58">
        <f t="shared" si="106"/>
        <v>171.9194128119324</v>
      </c>
      <c r="D870" s="83">
        <f t="shared" si="103"/>
        <v>733.33333333333326</v>
      </c>
      <c r="E870">
        <f t="shared" si="99"/>
        <v>0</v>
      </c>
      <c r="G870">
        <v>820</v>
      </c>
      <c r="H870" s="13">
        <f t="shared" si="104"/>
        <v>-1.0275684203264746E-2</v>
      </c>
      <c r="I870">
        <f t="shared" si="105"/>
        <v>163.49335176525531</v>
      </c>
      <c r="J870">
        <f t="shared" si="100"/>
        <v>713.06505272874449</v>
      </c>
      <c r="K870" s="27">
        <f t="shared" si="101"/>
        <v>-5224.5708290185421</v>
      </c>
    </row>
    <row r="871" spans="1:11" x14ac:dyDescent="0.25">
      <c r="A871" s="26">
        <v>821</v>
      </c>
      <c r="B871" s="82">
        <f t="shared" si="102"/>
        <v>0</v>
      </c>
      <c r="C871" s="58">
        <f t="shared" si="106"/>
        <v>171.9194128119324</v>
      </c>
      <c r="D871" s="83">
        <f t="shared" si="103"/>
        <v>733.33333333333326</v>
      </c>
      <c r="E871">
        <f t="shared" si="99"/>
        <v>0</v>
      </c>
      <c r="G871">
        <v>821</v>
      </c>
      <c r="H871" s="13">
        <f t="shared" si="104"/>
        <v>-1.0275684203264746E-2</v>
      </c>
      <c r="I871">
        <f t="shared" si="105"/>
        <v>163.48307608105205</v>
      </c>
      <c r="J871">
        <f t="shared" si="100"/>
        <v>713.03478943638584</v>
      </c>
      <c r="K871" s="27">
        <f t="shared" si="101"/>
        <v>-5224.1272143609576</v>
      </c>
    </row>
    <row r="872" spans="1:11" x14ac:dyDescent="0.25">
      <c r="A872" s="26">
        <v>822</v>
      </c>
      <c r="B872" s="82">
        <f t="shared" si="102"/>
        <v>0</v>
      </c>
      <c r="C872" s="58">
        <f t="shared" si="106"/>
        <v>171.9194128119324</v>
      </c>
      <c r="D872" s="83">
        <f t="shared" si="103"/>
        <v>733.33333333333326</v>
      </c>
      <c r="E872">
        <f t="shared" si="99"/>
        <v>0</v>
      </c>
      <c r="G872">
        <v>822</v>
      </c>
      <c r="H872" s="13">
        <f t="shared" si="104"/>
        <v>-1.0275684203264746E-2</v>
      </c>
      <c r="I872">
        <f t="shared" si="105"/>
        <v>163.47280039684878</v>
      </c>
      <c r="J872">
        <f t="shared" si="100"/>
        <v>713.00450687290424</v>
      </c>
      <c r="K872" s="27">
        <f t="shared" si="101"/>
        <v>-5223.6833359175771</v>
      </c>
    </row>
    <row r="873" spans="1:11" x14ac:dyDescent="0.25">
      <c r="A873" s="26">
        <v>823</v>
      </c>
      <c r="B873" s="82">
        <f t="shared" si="102"/>
        <v>0</v>
      </c>
      <c r="C873" s="58">
        <f t="shared" si="106"/>
        <v>171.9194128119324</v>
      </c>
      <c r="D873" s="83">
        <f t="shared" si="103"/>
        <v>733.33333333333326</v>
      </c>
      <c r="E873">
        <f t="shared" si="99"/>
        <v>0</v>
      </c>
      <c r="G873">
        <v>823</v>
      </c>
      <c r="H873" s="13">
        <f t="shared" si="104"/>
        <v>-1.0275684203264746E-2</v>
      </c>
      <c r="I873">
        <f t="shared" si="105"/>
        <v>163.46252471264552</v>
      </c>
      <c r="J873">
        <f t="shared" si="100"/>
        <v>712.97420500525095</v>
      </c>
      <c r="K873" s="27">
        <f t="shared" si="101"/>
        <v>-5223.2391932394721</v>
      </c>
    </row>
    <row r="874" spans="1:11" x14ac:dyDescent="0.25">
      <c r="A874" s="26">
        <v>824</v>
      </c>
      <c r="B874" s="82">
        <f t="shared" si="102"/>
        <v>0</v>
      </c>
      <c r="C874" s="58">
        <f t="shared" si="106"/>
        <v>171.9194128119324</v>
      </c>
      <c r="D874" s="83">
        <f t="shared" si="103"/>
        <v>733.33333333333326</v>
      </c>
      <c r="E874">
        <f t="shared" si="99"/>
        <v>0</v>
      </c>
      <c r="G874">
        <v>824</v>
      </c>
      <c r="H874" s="13">
        <f t="shared" si="104"/>
        <v>-1.0275684203264746E-2</v>
      </c>
      <c r="I874">
        <f t="shared" si="105"/>
        <v>163.45224902844225</v>
      </c>
      <c r="J874">
        <f t="shared" si="100"/>
        <v>712.94388380028033</v>
      </c>
      <c r="K874" s="27">
        <f t="shared" si="101"/>
        <v>-5222.7947858763973</v>
      </c>
    </row>
    <row r="875" spans="1:11" x14ac:dyDescent="0.25">
      <c r="A875" s="26">
        <v>825</v>
      </c>
      <c r="B875" s="82">
        <f t="shared" si="102"/>
        <v>0</v>
      </c>
      <c r="C875" s="58">
        <f t="shared" si="106"/>
        <v>171.9194128119324</v>
      </c>
      <c r="D875" s="83">
        <f t="shared" si="103"/>
        <v>733.33333333333326</v>
      </c>
      <c r="E875">
        <f t="shared" si="99"/>
        <v>0</v>
      </c>
      <c r="G875">
        <v>825</v>
      </c>
      <c r="H875" s="13">
        <f t="shared" si="104"/>
        <v>-1.0275684203264746E-2</v>
      </c>
      <c r="I875">
        <f t="shared" si="105"/>
        <v>163.44197334423899</v>
      </c>
      <c r="J875">
        <f t="shared" si="100"/>
        <v>712.91354322474956</v>
      </c>
      <c r="K875" s="27">
        <f t="shared" si="101"/>
        <v>-5222.3501133767932</v>
      </c>
    </row>
    <row r="876" spans="1:11" x14ac:dyDescent="0.25">
      <c r="A876" s="26">
        <v>826</v>
      </c>
      <c r="B876" s="82">
        <f t="shared" si="102"/>
        <v>0</v>
      </c>
      <c r="C876" s="58">
        <f t="shared" si="106"/>
        <v>171.9194128119324</v>
      </c>
      <c r="D876" s="83">
        <f t="shared" si="103"/>
        <v>733.33333333333326</v>
      </c>
      <c r="E876">
        <f t="shared" si="99"/>
        <v>0</v>
      </c>
      <c r="G876">
        <v>826</v>
      </c>
      <c r="H876" s="13">
        <f t="shared" si="104"/>
        <v>-1.0275684203264746E-2</v>
      </c>
      <c r="I876">
        <f t="shared" si="105"/>
        <v>163.43169766003572</v>
      </c>
      <c r="J876">
        <f t="shared" si="100"/>
        <v>712.88318324531838</v>
      </c>
      <c r="K876" s="27">
        <f t="shared" si="101"/>
        <v>-5221.9051752877695</v>
      </c>
    </row>
    <row r="877" spans="1:11" x14ac:dyDescent="0.25">
      <c r="A877" s="26">
        <v>827</v>
      </c>
      <c r="B877" s="82">
        <f t="shared" si="102"/>
        <v>0</v>
      </c>
      <c r="C877" s="58">
        <f t="shared" si="106"/>
        <v>171.9194128119324</v>
      </c>
      <c r="D877" s="83">
        <f t="shared" si="103"/>
        <v>733.33333333333326</v>
      </c>
      <c r="E877">
        <f t="shared" si="99"/>
        <v>0</v>
      </c>
      <c r="G877">
        <v>827</v>
      </c>
      <c r="H877" s="13">
        <f t="shared" si="104"/>
        <v>-1.0275684203264746E-2</v>
      </c>
      <c r="I877">
        <f t="shared" si="105"/>
        <v>163.42142197583246</v>
      </c>
      <c r="J877">
        <f t="shared" si="100"/>
        <v>712.85280382854864</v>
      </c>
      <c r="K877" s="27">
        <f t="shared" si="101"/>
        <v>-5221.4599711551045</v>
      </c>
    </row>
    <row r="878" spans="1:11" x14ac:dyDescent="0.25">
      <c r="A878" s="26">
        <v>828</v>
      </c>
      <c r="B878" s="82">
        <f t="shared" si="102"/>
        <v>0</v>
      </c>
      <c r="C878" s="58">
        <f t="shared" si="106"/>
        <v>171.9194128119324</v>
      </c>
      <c r="D878" s="83">
        <f t="shared" si="103"/>
        <v>733.33333333333326</v>
      </c>
      <c r="E878">
        <f t="shared" si="99"/>
        <v>0</v>
      </c>
      <c r="G878">
        <v>828</v>
      </c>
      <c r="H878" s="13">
        <f t="shared" si="104"/>
        <v>-1.0275684203264746E-2</v>
      </c>
      <c r="I878">
        <f t="shared" si="105"/>
        <v>163.41114629162919</v>
      </c>
      <c r="J878">
        <f t="shared" si="100"/>
        <v>712.82240494090343</v>
      </c>
      <c r="K878" s="27">
        <f t="shared" si="101"/>
        <v>-5221.0145005232425</v>
      </c>
    </row>
    <row r="879" spans="1:11" x14ac:dyDescent="0.25">
      <c r="A879" s="26">
        <v>829</v>
      </c>
      <c r="B879" s="82">
        <f t="shared" si="102"/>
        <v>0</v>
      </c>
      <c r="C879" s="58">
        <f t="shared" si="106"/>
        <v>171.9194128119324</v>
      </c>
      <c r="D879" s="83">
        <f t="shared" si="103"/>
        <v>733.33333333333326</v>
      </c>
      <c r="E879">
        <f t="shared" si="99"/>
        <v>0</v>
      </c>
      <c r="G879">
        <v>829</v>
      </c>
      <c r="H879" s="13">
        <f t="shared" si="104"/>
        <v>-1.0275684203264746E-2</v>
      </c>
      <c r="I879">
        <f t="shared" si="105"/>
        <v>163.40087060742593</v>
      </c>
      <c r="J879">
        <f t="shared" si="100"/>
        <v>712.79198654874767</v>
      </c>
      <c r="K879" s="27">
        <f t="shared" si="101"/>
        <v>-5220.5687629352824</v>
      </c>
    </row>
    <row r="880" spans="1:11" x14ac:dyDescent="0.25">
      <c r="A880" s="26">
        <v>830</v>
      </c>
      <c r="B880" s="82">
        <f t="shared" si="102"/>
        <v>0</v>
      </c>
      <c r="C880" s="58">
        <f t="shared" si="106"/>
        <v>171.9194128119324</v>
      </c>
      <c r="D880" s="83">
        <f t="shared" si="103"/>
        <v>733.33333333333326</v>
      </c>
      <c r="E880">
        <f t="shared" si="99"/>
        <v>0</v>
      </c>
      <c r="G880">
        <v>830</v>
      </c>
      <c r="H880" s="13">
        <f t="shared" si="104"/>
        <v>-1.0275684203264746E-2</v>
      </c>
      <c r="I880">
        <f t="shared" si="105"/>
        <v>163.39059492322266</v>
      </c>
      <c r="J880">
        <f t="shared" si="100"/>
        <v>712.76154861834664</v>
      </c>
      <c r="K880" s="27">
        <f t="shared" si="101"/>
        <v>-5220.1227579329779</v>
      </c>
    </row>
    <row r="881" spans="1:11" x14ac:dyDescent="0.25">
      <c r="A881" s="26">
        <v>831</v>
      </c>
      <c r="B881" s="82">
        <f t="shared" si="102"/>
        <v>0</v>
      </c>
      <c r="C881" s="58">
        <f t="shared" si="106"/>
        <v>171.9194128119324</v>
      </c>
      <c r="D881" s="83">
        <f t="shared" si="103"/>
        <v>733.33333333333326</v>
      </c>
      <c r="E881">
        <f t="shared" si="99"/>
        <v>0</v>
      </c>
      <c r="G881">
        <v>831</v>
      </c>
      <c r="H881" s="13">
        <f t="shared" si="104"/>
        <v>-1.0275684203264746E-2</v>
      </c>
      <c r="I881">
        <f t="shared" si="105"/>
        <v>163.3803192390194</v>
      </c>
      <c r="J881">
        <f t="shared" si="100"/>
        <v>712.73109111586609</v>
      </c>
      <c r="K881" s="27">
        <f t="shared" si="101"/>
        <v>-5219.676485056727</v>
      </c>
    </row>
    <row r="882" spans="1:11" x14ac:dyDescent="0.25">
      <c r="A882" s="26">
        <v>832</v>
      </c>
      <c r="B882" s="82">
        <f t="shared" si="102"/>
        <v>0</v>
      </c>
      <c r="C882" s="58">
        <f t="shared" si="106"/>
        <v>171.9194128119324</v>
      </c>
      <c r="D882" s="83">
        <f t="shared" si="103"/>
        <v>733.33333333333326</v>
      </c>
      <c r="E882">
        <f t="shared" si="99"/>
        <v>0</v>
      </c>
      <c r="G882">
        <v>832</v>
      </c>
      <c r="H882" s="13">
        <f t="shared" si="104"/>
        <v>-1.0275684203264746E-2</v>
      </c>
      <c r="I882">
        <f t="shared" si="105"/>
        <v>163.37004355481614</v>
      </c>
      <c r="J882">
        <f t="shared" si="100"/>
        <v>712.70061400737222</v>
      </c>
      <c r="K882" s="27">
        <f t="shared" si="101"/>
        <v>-5219.2299438455702</v>
      </c>
    </row>
    <row r="883" spans="1:11" x14ac:dyDescent="0.25">
      <c r="A883" s="26">
        <v>833</v>
      </c>
      <c r="B883" s="82">
        <f t="shared" si="102"/>
        <v>0</v>
      </c>
      <c r="C883" s="58">
        <f t="shared" si="106"/>
        <v>171.9194128119324</v>
      </c>
      <c r="D883" s="83">
        <f t="shared" si="103"/>
        <v>733.33333333333326</v>
      </c>
      <c r="E883">
        <f t="shared" ref="E883:E946" si="107">((D883^2)+(D883*D884)+(D884^2))*B884/3</f>
        <v>0</v>
      </c>
      <c r="G883">
        <v>833</v>
      </c>
      <c r="H883" s="13">
        <f t="shared" si="104"/>
        <v>-1.0275684203264746E-2</v>
      </c>
      <c r="I883">
        <f t="shared" si="105"/>
        <v>163.35976787061287</v>
      </c>
      <c r="J883">
        <f t="shared" ref="J883:J946" si="108">IF($G$28&lt;$C$14,0,((($C$11^2)-((I883-$C$13)^2))^0.5)+$C$16)</f>
        <v>712.67011725883015</v>
      </c>
      <c r="K883" s="27">
        <f t="shared" ref="K883:K946" si="109">((J883^2)+(J883*J884)+(J884^2))*H884/3</f>
        <v>-5218.7831338371789</v>
      </c>
    </row>
    <row r="884" spans="1:11" x14ac:dyDescent="0.25">
      <c r="A884" s="26">
        <v>834</v>
      </c>
      <c r="B884" s="82">
        <f t="shared" ref="B884:B947" si="110">C884-C883</f>
        <v>0</v>
      </c>
      <c r="C884" s="58">
        <f t="shared" si="106"/>
        <v>171.9194128119324</v>
      </c>
      <c r="D884" s="83">
        <f t="shared" ref="D884:D947" si="111">IF($G$28&lt;$C$14,0,((($C$11^2)-((C884-$C$13)^2))^0.5)+$C$16)</f>
        <v>733.33333333333326</v>
      </c>
      <c r="E884">
        <f t="shared" si="107"/>
        <v>0</v>
      </c>
      <c r="G884">
        <v>834</v>
      </c>
      <c r="H884" s="13">
        <f t="shared" ref="H884:H947" si="112">I884-I883</f>
        <v>-1.0275684203264746E-2</v>
      </c>
      <c r="I884">
        <f t="shared" ref="I884:I947" si="113">($G$27-$C$14)/2000+I883</f>
        <v>163.34949218640961</v>
      </c>
      <c r="J884">
        <f t="shared" si="108"/>
        <v>712.63960083610459</v>
      </c>
      <c r="K884" s="27">
        <f t="shared" si="109"/>
        <v>-5218.3360545678624</v>
      </c>
    </row>
    <row r="885" spans="1:11" x14ac:dyDescent="0.25">
      <c r="A885" s="26">
        <v>835</v>
      </c>
      <c r="B885" s="82">
        <f t="shared" si="110"/>
        <v>0</v>
      </c>
      <c r="C885" s="58">
        <f t="shared" si="106"/>
        <v>171.9194128119324</v>
      </c>
      <c r="D885" s="83">
        <f t="shared" si="111"/>
        <v>733.33333333333326</v>
      </c>
      <c r="E885">
        <f t="shared" si="107"/>
        <v>0</v>
      </c>
      <c r="G885">
        <v>835</v>
      </c>
      <c r="H885" s="13">
        <f t="shared" si="112"/>
        <v>-1.0275684203264746E-2</v>
      </c>
      <c r="I885">
        <f t="shared" si="113"/>
        <v>163.33921650220634</v>
      </c>
      <c r="J885">
        <f t="shared" si="108"/>
        <v>712.609064704959</v>
      </c>
      <c r="K885" s="27">
        <f t="shared" si="109"/>
        <v>-5217.8887055725454</v>
      </c>
    </row>
    <row r="886" spans="1:11" x14ac:dyDescent="0.25">
      <c r="A886" s="26">
        <v>836</v>
      </c>
      <c r="B886" s="82">
        <f t="shared" si="110"/>
        <v>0</v>
      </c>
      <c r="C886" s="58">
        <f t="shared" si="106"/>
        <v>171.9194128119324</v>
      </c>
      <c r="D886" s="83">
        <f t="shared" si="111"/>
        <v>733.33333333333326</v>
      </c>
      <c r="E886">
        <f t="shared" si="107"/>
        <v>0</v>
      </c>
      <c r="G886">
        <v>836</v>
      </c>
      <c r="H886" s="13">
        <f t="shared" si="112"/>
        <v>-1.0275684203264746E-2</v>
      </c>
      <c r="I886">
        <f t="shared" si="113"/>
        <v>163.32894081800308</v>
      </c>
      <c r="J886">
        <f t="shared" si="108"/>
        <v>712.57850883105505</v>
      </c>
      <c r="K886" s="27">
        <f t="shared" si="109"/>
        <v>-5217.4410863847761</v>
      </c>
    </row>
    <row r="887" spans="1:11" x14ac:dyDescent="0.25">
      <c r="A887" s="26">
        <v>837</v>
      </c>
      <c r="B887" s="82">
        <f t="shared" si="110"/>
        <v>0</v>
      </c>
      <c r="C887" s="58">
        <f t="shared" si="106"/>
        <v>171.9194128119324</v>
      </c>
      <c r="D887" s="83">
        <f t="shared" si="111"/>
        <v>733.33333333333326</v>
      </c>
      <c r="E887">
        <f t="shared" si="107"/>
        <v>0</v>
      </c>
      <c r="G887">
        <v>837</v>
      </c>
      <c r="H887" s="13">
        <f t="shared" si="112"/>
        <v>-1.0275684203264746E-2</v>
      </c>
      <c r="I887">
        <f t="shared" si="113"/>
        <v>163.31866513379981</v>
      </c>
      <c r="J887">
        <f t="shared" si="108"/>
        <v>712.54793317995234</v>
      </c>
      <c r="K887" s="27">
        <f t="shared" si="109"/>
        <v>-5216.9931965367114</v>
      </c>
    </row>
    <row r="888" spans="1:11" x14ac:dyDescent="0.25">
      <c r="A888" s="26">
        <v>838</v>
      </c>
      <c r="B888" s="82">
        <f t="shared" si="110"/>
        <v>0</v>
      </c>
      <c r="C888" s="58">
        <f t="shared" si="106"/>
        <v>171.9194128119324</v>
      </c>
      <c r="D888" s="83">
        <f t="shared" si="111"/>
        <v>733.33333333333326</v>
      </c>
      <c r="E888">
        <f t="shared" si="107"/>
        <v>0</v>
      </c>
      <c r="G888">
        <v>838</v>
      </c>
      <c r="H888" s="13">
        <f t="shared" si="112"/>
        <v>-1.0275684203264746E-2</v>
      </c>
      <c r="I888">
        <f t="shared" si="113"/>
        <v>163.30838944959655</v>
      </c>
      <c r="J888">
        <f t="shared" si="108"/>
        <v>712.51733771710781</v>
      </c>
      <c r="K888" s="27">
        <f t="shared" si="109"/>
        <v>-5216.5450355591174</v>
      </c>
    </row>
    <row r="889" spans="1:11" x14ac:dyDescent="0.25">
      <c r="A889" s="26">
        <v>839</v>
      </c>
      <c r="B889" s="82">
        <f t="shared" si="110"/>
        <v>0</v>
      </c>
      <c r="C889" s="58">
        <f t="shared" si="106"/>
        <v>171.9194128119324</v>
      </c>
      <c r="D889" s="83">
        <f t="shared" si="111"/>
        <v>733.33333333333326</v>
      </c>
      <c r="E889">
        <f t="shared" si="107"/>
        <v>0</v>
      </c>
      <c r="G889">
        <v>839</v>
      </c>
      <c r="H889" s="13">
        <f t="shared" si="112"/>
        <v>-1.0275684203264746E-2</v>
      </c>
      <c r="I889">
        <f t="shared" si="113"/>
        <v>163.29811376539328</v>
      </c>
      <c r="J889">
        <f t="shared" si="108"/>
        <v>712.48672240787585</v>
      </c>
      <c r="K889" s="27">
        <f t="shared" si="109"/>
        <v>-5216.0966029813599</v>
      </c>
    </row>
    <row r="890" spans="1:11" x14ac:dyDescent="0.25">
      <c r="A890" s="26">
        <v>840</v>
      </c>
      <c r="B890" s="82">
        <f t="shared" si="110"/>
        <v>0</v>
      </c>
      <c r="C890" s="58">
        <f t="shared" si="106"/>
        <v>171.9194128119324</v>
      </c>
      <c r="D890" s="83">
        <f t="shared" si="111"/>
        <v>733.33333333333326</v>
      </c>
      <c r="E890">
        <f t="shared" si="107"/>
        <v>0</v>
      </c>
      <c r="G890">
        <v>840</v>
      </c>
      <c r="H890" s="13">
        <f t="shared" si="112"/>
        <v>-1.0275684203264746E-2</v>
      </c>
      <c r="I890">
        <f t="shared" si="113"/>
        <v>163.28783808119002</v>
      </c>
      <c r="J890">
        <f t="shared" si="108"/>
        <v>712.45608721750693</v>
      </c>
      <c r="K890" s="27">
        <f t="shared" si="109"/>
        <v>-5215.6478983313973</v>
      </c>
    </row>
    <row r="891" spans="1:11" x14ac:dyDescent="0.25">
      <c r="A891" s="26">
        <v>841</v>
      </c>
      <c r="B891" s="82">
        <f t="shared" si="110"/>
        <v>0</v>
      </c>
      <c r="C891" s="58">
        <f t="shared" si="106"/>
        <v>171.9194128119324</v>
      </c>
      <c r="D891" s="83">
        <f t="shared" si="111"/>
        <v>733.33333333333326</v>
      </c>
      <c r="E891">
        <f t="shared" si="107"/>
        <v>0</v>
      </c>
      <c r="G891">
        <v>841</v>
      </c>
      <c r="H891" s="13">
        <f t="shared" si="112"/>
        <v>-1.0275684203264746E-2</v>
      </c>
      <c r="I891">
        <f t="shared" si="113"/>
        <v>163.27756239698675</v>
      </c>
      <c r="J891">
        <f t="shared" si="108"/>
        <v>712.42543211114821</v>
      </c>
      <c r="K891" s="27">
        <f t="shared" si="109"/>
        <v>-5215.1989211357804</v>
      </c>
    </row>
    <row r="892" spans="1:11" x14ac:dyDescent="0.25">
      <c r="A892" s="26">
        <v>842</v>
      </c>
      <c r="B892" s="82">
        <f t="shared" si="110"/>
        <v>0</v>
      </c>
      <c r="C892" s="58">
        <f t="shared" si="106"/>
        <v>171.9194128119324</v>
      </c>
      <c r="D892" s="83">
        <f t="shared" si="111"/>
        <v>733.33333333333326</v>
      </c>
      <c r="E892">
        <f t="shared" si="107"/>
        <v>0</v>
      </c>
      <c r="G892">
        <v>842</v>
      </c>
      <c r="H892" s="13">
        <f t="shared" si="112"/>
        <v>-1.0275684203264746E-2</v>
      </c>
      <c r="I892">
        <f t="shared" si="113"/>
        <v>163.26728671278349</v>
      </c>
      <c r="J892">
        <f t="shared" si="108"/>
        <v>712.39475705384223</v>
      </c>
      <c r="K892" s="27">
        <f t="shared" si="109"/>
        <v>-5214.7496709196412</v>
      </c>
    </row>
    <row r="893" spans="1:11" x14ac:dyDescent="0.25">
      <c r="A893" s="26">
        <v>843</v>
      </c>
      <c r="B893" s="82">
        <f t="shared" si="110"/>
        <v>0</v>
      </c>
      <c r="C893" s="58">
        <f t="shared" si="106"/>
        <v>171.9194128119324</v>
      </c>
      <c r="D893" s="83">
        <f t="shared" si="111"/>
        <v>733.33333333333326</v>
      </c>
      <c r="E893">
        <f t="shared" si="107"/>
        <v>0</v>
      </c>
      <c r="G893">
        <v>843</v>
      </c>
      <c r="H893" s="13">
        <f t="shared" si="112"/>
        <v>-1.0275684203264746E-2</v>
      </c>
      <c r="I893">
        <f t="shared" si="113"/>
        <v>163.25701102858022</v>
      </c>
      <c r="J893">
        <f t="shared" si="108"/>
        <v>712.36406201052694</v>
      </c>
      <c r="K893" s="27">
        <f t="shared" si="109"/>
        <v>-5214.300147206689</v>
      </c>
    </row>
    <row r="894" spans="1:11" x14ac:dyDescent="0.25">
      <c r="A894" s="26">
        <v>844</v>
      </c>
      <c r="B894" s="82">
        <f t="shared" si="110"/>
        <v>0</v>
      </c>
      <c r="C894" s="58">
        <f t="shared" si="106"/>
        <v>171.9194128119324</v>
      </c>
      <c r="D894" s="83">
        <f t="shared" si="111"/>
        <v>733.33333333333326</v>
      </c>
      <c r="E894">
        <f t="shared" si="107"/>
        <v>0</v>
      </c>
      <c r="G894">
        <v>844</v>
      </c>
      <c r="H894" s="13">
        <f t="shared" si="112"/>
        <v>-1.0275684203264746E-2</v>
      </c>
      <c r="I894">
        <f t="shared" si="113"/>
        <v>163.24673534437696</v>
      </c>
      <c r="J894">
        <f t="shared" si="108"/>
        <v>712.33334694603536</v>
      </c>
      <c r="K894" s="27">
        <f t="shared" si="109"/>
        <v>-5213.8503495192035</v>
      </c>
    </row>
    <row r="895" spans="1:11" x14ac:dyDescent="0.25">
      <c r="A895" s="26">
        <v>845</v>
      </c>
      <c r="B895" s="82">
        <f t="shared" si="110"/>
        <v>0</v>
      </c>
      <c r="C895" s="58">
        <f t="shared" si="106"/>
        <v>171.9194128119324</v>
      </c>
      <c r="D895" s="83">
        <f t="shared" si="111"/>
        <v>733.33333333333326</v>
      </c>
      <c r="E895">
        <f t="shared" si="107"/>
        <v>0</v>
      </c>
      <c r="G895">
        <v>845</v>
      </c>
      <c r="H895" s="13">
        <f t="shared" si="112"/>
        <v>-1.0275684203264746E-2</v>
      </c>
      <c r="I895">
        <f t="shared" si="113"/>
        <v>163.23645966017369</v>
      </c>
      <c r="J895">
        <f t="shared" si="108"/>
        <v>712.30261182509457</v>
      </c>
      <c r="K895" s="27">
        <f t="shared" si="109"/>
        <v>-5213.4002773780312</v>
      </c>
    </row>
    <row r="896" spans="1:11" x14ac:dyDescent="0.25">
      <c r="A896" s="26">
        <v>846</v>
      </c>
      <c r="B896" s="82">
        <f t="shared" si="110"/>
        <v>0</v>
      </c>
      <c r="C896" s="58">
        <f t="shared" si="106"/>
        <v>171.9194128119324</v>
      </c>
      <c r="D896" s="83">
        <f t="shared" si="111"/>
        <v>733.33333333333326</v>
      </c>
      <c r="E896">
        <f t="shared" si="107"/>
        <v>0</v>
      </c>
      <c r="G896">
        <v>846</v>
      </c>
      <c r="H896" s="13">
        <f t="shared" si="112"/>
        <v>-1.0275684203264746E-2</v>
      </c>
      <c r="I896">
        <f t="shared" si="113"/>
        <v>163.22618397597043</v>
      </c>
      <c r="J896">
        <f t="shared" si="108"/>
        <v>712.27185661232613</v>
      </c>
      <c r="K896" s="27">
        <f t="shared" si="109"/>
        <v>-5212.949930302575</v>
      </c>
    </row>
    <row r="897" spans="1:11" x14ac:dyDescent="0.25">
      <c r="A897" s="26">
        <v>847</v>
      </c>
      <c r="B897" s="82">
        <f t="shared" si="110"/>
        <v>0</v>
      </c>
      <c r="C897" s="58">
        <f t="shared" si="106"/>
        <v>171.9194128119324</v>
      </c>
      <c r="D897" s="83">
        <f t="shared" si="111"/>
        <v>733.33333333333326</v>
      </c>
      <c r="E897">
        <f t="shared" si="107"/>
        <v>0</v>
      </c>
      <c r="G897">
        <v>847</v>
      </c>
      <c r="H897" s="13">
        <f t="shared" si="112"/>
        <v>-1.0275684203264746E-2</v>
      </c>
      <c r="I897">
        <f t="shared" si="113"/>
        <v>163.21590829176716</v>
      </c>
      <c r="J897">
        <f t="shared" si="108"/>
        <v>712.24108127224451</v>
      </c>
      <c r="K897" s="27">
        <f t="shared" si="109"/>
        <v>-5212.4993078107918</v>
      </c>
    </row>
    <row r="898" spans="1:11" x14ac:dyDescent="0.25">
      <c r="A898" s="26">
        <v>848</v>
      </c>
      <c r="B898" s="82">
        <f t="shared" si="110"/>
        <v>0</v>
      </c>
      <c r="C898" s="58">
        <f t="shared" si="106"/>
        <v>171.9194128119324</v>
      </c>
      <c r="D898" s="83">
        <f t="shared" si="111"/>
        <v>733.33333333333326</v>
      </c>
      <c r="E898">
        <f t="shared" si="107"/>
        <v>0</v>
      </c>
      <c r="G898">
        <v>848</v>
      </c>
      <c r="H898" s="13">
        <f t="shared" si="112"/>
        <v>-1.0275684203264746E-2</v>
      </c>
      <c r="I898">
        <f t="shared" si="113"/>
        <v>163.2056326075639</v>
      </c>
      <c r="J898">
        <f t="shared" si="108"/>
        <v>712.21028576925778</v>
      </c>
      <c r="K898" s="27">
        <f t="shared" si="109"/>
        <v>-5212.0484094191879</v>
      </c>
    </row>
    <row r="899" spans="1:11" x14ac:dyDescent="0.25">
      <c r="A899" s="26">
        <v>849</v>
      </c>
      <c r="B899" s="82">
        <f t="shared" si="110"/>
        <v>0</v>
      </c>
      <c r="C899" s="58">
        <f t="shared" si="106"/>
        <v>171.9194128119324</v>
      </c>
      <c r="D899" s="83">
        <f t="shared" si="111"/>
        <v>733.33333333333326</v>
      </c>
      <c r="E899">
        <f t="shared" si="107"/>
        <v>0</v>
      </c>
      <c r="G899">
        <v>849</v>
      </c>
      <c r="H899" s="13">
        <f t="shared" si="112"/>
        <v>-1.0275684203264746E-2</v>
      </c>
      <c r="I899">
        <f t="shared" si="113"/>
        <v>163.19535692336063</v>
      </c>
      <c r="J899">
        <f t="shared" si="108"/>
        <v>712.17947006766644</v>
      </c>
      <c r="K899" s="27">
        <f t="shared" si="109"/>
        <v>-5211.5972346428052</v>
      </c>
    </row>
    <row r="900" spans="1:11" x14ac:dyDescent="0.25">
      <c r="A900" s="26">
        <v>850</v>
      </c>
      <c r="B900" s="82">
        <f t="shared" si="110"/>
        <v>0</v>
      </c>
      <c r="C900" s="58">
        <f t="shared" si="106"/>
        <v>171.9194128119324</v>
      </c>
      <c r="D900" s="83">
        <f t="shared" si="111"/>
        <v>733.33333333333326</v>
      </c>
      <c r="E900">
        <f t="shared" si="107"/>
        <v>0</v>
      </c>
      <c r="G900">
        <v>850</v>
      </c>
      <c r="H900" s="13">
        <f t="shared" si="112"/>
        <v>-1.0275684203264746E-2</v>
      </c>
      <c r="I900">
        <f t="shared" si="113"/>
        <v>163.18508123915737</v>
      </c>
      <c r="J900">
        <f t="shared" si="108"/>
        <v>712.14863413166324</v>
      </c>
      <c r="K900" s="27">
        <f t="shared" si="109"/>
        <v>-5211.1457829952233</v>
      </c>
    </row>
    <row r="901" spans="1:11" x14ac:dyDescent="0.25">
      <c r="A901" s="26">
        <v>851</v>
      </c>
      <c r="B901" s="82">
        <f t="shared" si="110"/>
        <v>0</v>
      </c>
      <c r="C901" s="58">
        <f t="shared" si="106"/>
        <v>171.9194128119324</v>
      </c>
      <c r="D901" s="83">
        <f t="shared" si="111"/>
        <v>733.33333333333326</v>
      </c>
      <c r="E901">
        <f t="shared" si="107"/>
        <v>0</v>
      </c>
      <c r="G901">
        <v>851</v>
      </c>
      <c r="H901" s="13">
        <f t="shared" si="112"/>
        <v>-1.0275684203264746E-2</v>
      </c>
      <c r="I901">
        <f t="shared" si="113"/>
        <v>163.1748055549541</v>
      </c>
      <c r="J901">
        <f t="shared" si="108"/>
        <v>712.11777792533235</v>
      </c>
      <c r="K901" s="27">
        <f t="shared" si="109"/>
        <v>-5210.6940539885481</v>
      </c>
    </row>
    <row r="902" spans="1:11" x14ac:dyDescent="0.25">
      <c r="A902" s="26">
        <v>852</v>
      </c>
      <c r="B902" s="82">
        <f t="shared" si="110"/>
        <v>0</v>
      </c>
      <c r="C902" s="58">
        <f t="shared" si="106"/>
        <v>171.9194128119324</v>
      </c>
      <c r="D902" s="83">
        <f t="shared" si="111"/>
        <v>733.33333333333326</v>
      </c>
      <c r="E902">
        <f t="shared" si="107"/>
        <v>0</v>
      </c>
      <c r="G902">
        <v>852</v>
      </c>
      <c r="H902" s="13">
        <f t="shared" si="112"/>
        <v>-1.0275684203264746E-2</v>
      </c>
      <c r="I902">
        <f t="shared" si="113"/>
        <v>163.16452987075084</v>
      </c>
      <c r="J902">
        <f t="shared" si="108"/>
        <v>712.08690141264958</v>
      </c>
      <c r="K902" s="27">
        <f t="shared" si="109"/>
        <v>-5210.242047133409</v>
      </c>
    </row>
    <row r="903" spans="1:11" x14ac:dyDescent="0.25">
      <c r="A903" s="26">
        <v>853</v>
      </c>
      <c r="B903" s="82">
        <f t="shared" si="110"/>
        <v>0</v>
      </c>
      <c r="C903" s="58">
        <f t="shared" si="106"/>
        <v>171.9194128119324</v>
      </c>
      <c r="D903" s="83">
        <f t="shared" si="111"/>
        <v>733.33333333333326</v>
      </c>
      <c r="E903">
        <f t="shared" si="107"/>
        <v>0</v>
      </c>
      <c r="G903">
        <v>853</v>
      </c>
      <c r="H903" s="13">
        <f t="shared" si="112"/>
        <v>-1.0275684203264746E-2</v>
      </c>
      <c r="I903">
        <f t="shared" si="113"/>
        <v>163.15425418654758</v>
      </c>
      <c r="J903">
        <f t="shared" si="108"/>
        <v>712.05600455748151</v>
      </c>
      <c r="K903" s="27">
        <f t="shared" si="109"/>
        <v>-5209.7897619389505</v>
      </c>
    </row>
    <row r="904" spans="1:11" x14ac:dyDescent="0.25">
      <c r="A904" s="26">
        <v>854</v>
      </c>
      <c r="B904" s="82">
        <f t="shared" si="110"/>
        <v>0</v>
      </c>
      <c r="C904" s="58">
        <f t="shared" si="106"/>
        <v>171.9194128119324</v>
      </c>
      <c r="D904" s="83">
        <f t="shared" si="111"/>
        <v>733.33333333333326</v>
      </c>
      <c r="E904">
        <f t="shared" si="107"/>
        <v>0</v>
      </c>
      <c r="G904">
        <v>854</v>
      </c>
      <c r="H904" s="13">
        <f t="shared" si="112"/>
        <v>-1.0275684203264746E-2</v>
      </c>
      <c r="I904">
        <f t="shared" si="113"/>
        <v>163.14397850234431</v>
      </c>
      <c r="J904">
        <f t="shared" si="108"/>
        <v>712.02508732358467</v>
      </c>
      <c r="K904" s="27">
        <f t="shared" si="109"/>
        <v>-5209.337197912826</v>
      </c>
    </row>
    <row r="905" spans="1:11" x14ac:dyDescent="0.25">
      <c r="A905" s="26">
        <v>855</v>
      </c>
      <c r="B905" s="82">
        <f t="shared" si="110"/>
        <v>0</v>
      </c>
      <c r="C905" s="58">
        <f t="shared" si="106"/>
        <v>171.9194128119324</v>
      </c>
      <c r="D905" s="83">
        <f t="shared" si="111"/>
        <v>733.33333333333326</v>
      </c>
      <c r="E905">
        <f t="shared" si="107"/>
        <v>0</v>
      </c>
      <c r="G905">
        <v>855</v>
      </c>
      <c r="H905" s="13">
        <f t="shared" si="112"/>
        <v>-1.0275684203264746E-2</v>
      </c>
      <c r="I905">
        <f t="shared" si="113"/>
        <v>163.13370281814105</v>
      </c>
      <c r="J905">
        <f t="shared" si="108"/>
        <v>711.99414967460586</v>
      </c>
      <c r="K905" s="27">
        <f t="shared" si="109"/>
        <v>-5208.8843545611917</v>
      </c>
    </row>
    <row r="906" spans="1:11" x14ac:dyDescent="0.25">
      <c r="A906" s="26">
        <v>856</v>
      </c>
      <c r="B906" s="82">
        <f t="shared" si="110"/>
        <v>0</v>
      </c>
      <c r="C906" s="58">
        <f t="shared" si="106"/>
        <v>171.9194128119324</v>
      </c>
      <c r="D906" s="83">
        <f t="shared" si="111"/>
        <v>733.33333333333326</v>
      </c>
      <c r="E906">
        <f t="shared" si="107"/>
        <v>0</v>
      </c>
      <c r="G906">
        <v>856</v>
      </c>
      <c r="H906" s="13">
        <f t="shared" si="112"/>
        <v>-1.0275684203264746E-2</v>
      </c>
      <c r="I906">
        <f t="shared" si="113"/>
        <v>163.12342713393778</v>
      </c>
      <c r="J906">
        <f t="shared" si="108"/>
        <v>711.96319157408107</v>
      </c>
      <c r="K906" s="27">
        <f t="shared" si="109"/>
        <v>-5208.4312313886994</v>
      </c>
    </row>
    <row r="907" spans="1:11" x14ac:dyDescent="0.25">
      <c r="A907" s="26">
        <v>857</v>
      </c>
      <c r="B907" s="82">
        <f t="shared" si="110"/>
        <v>0</v>
      </c>
      <c r="C907" s="58">
        <f t="shared" si="106"/>
        <v>171.9194128119324</v>
      </c>
      <c r="D907" s="83">
        <f t="shared" si="111"/>
        <v>733.33333333333326</v>
      </c>
      <c r="E907">
        <f t="shared" si="107"/>
        <v>0</v>
      </c>
      <c r="G907">
        <v>857</v>
      </c>
      <c r="H907" s="13">
        <f t="shared" si="112"/>
        <v>-1.0275684203264746E-2</v>
      </c>
      <c r="I907">
        <f t="shared" si="113"/>
        <v>163.11315144973452</v>
      </c>
      <c r="J907">
        <f t="shared" si="108"/>
        <v>711.93221298543529</v>
      </c>
      <c r="K907" s="27">
        <f t="shared" si="109"/>
        <v>-5207.9778278984941</v>
      </c>
    </row>
    <row r="908" spans="1:11" x14ac:dyDescent="0.25">
      <c r="A908" s="26">
        <v>858</v>
      </c>
      <c r="B908" s="82">
        <f t="shared" si="110"/>
        <v>0</v>
      </c>
      <c r="C908" s="58">
        <f t="shared" si="106"/>
        <v>171.9194128119324</v>
      </c>
      <c r="D908" s="83">
        <f t="shared" si="111"/>
        <v>733.33333333333326</v>
      </c>
      <c r="E908">
        <f t="shared" si="107"/>
        <v>0</v>
      </c>
      <c r="G908">
        <v>858</v>
      </c>
      <c r="H908" s="13">
        <f t="shared" si="112"/>
        <v>-1.0275684203264746E-2</v>
      </c>
      <c r="I908">
        <f t="shared" si="113"/>
        <v>163.10287576553125</v>
      </c>
      <c r="J908">
        <f t="shared" si="108"/>
        <v>711.90121387198189</v>
      </c>
      <c r="K908" s="27">
        <f t="shared" si="109"/>
        <v>-5207.5241435922026</v>
      </c>
    </row>
    <row r="909" spans="1:11" x14ac:dyDescent="0.25">
      <c r="A909" s="26">
        <v>859</v>
      </c>
      <c r="B909" s="82">
        <f t="shared" si="110"/>
        <v>0</v>
      </c>
      <c r="C909" s="58">
        <f t="shared" si="106"/>
        <v>171.9194128119324</v>
      </c>
      <c r="D909" s="83">
        <f t="shared" si="111"/>
        <v>733.33333333333326</v>
      </c>
      <c r="E909">
        <f t="shared" si="107"/>
        <v>0</v>
      </c>
      <c r="G909">
        <v>859</v>
      </c>
      <c r="H909" s="13">
        <f t="shared" si="112"/>
        <v>-1.0275684203264746E-2</v>
      </c>
      <c r="I909">
        <f t="shared" si="113"/>
        <v>163.09260008132799</v>
      </c>
      <c r="J909">
        <f t="shared" si="108"/>
        <v>711.87019419692228</v>
      </c>
      <c r="K909" s="27">
        <f t="shared" si="109"/>
        <v>-5207.0701779699275</v>
      </c>
    </row>
    <row r="910" spans="1:11" x14ac:dyDescent="0.25">
      <c r="A910" s="26">
        <v>860</v>
      </c>
      <c r="B910" s="82">
        <f t="shared" si="110"/>
        <v>0</v>
      </c>
      <c r="C910" s="58">
        <f t="shared" si="106"/>
        <v>171.9194128119324</v>
      </c>
      <c r="D910" s="83">
        <f t="shared" si="111"/>
        <v>733.33333333333326</v>
      </c>
      <c r="E910">
        <f t="shared" si="107"/>
        <v>0</v>
      </c>
      <c r="G910">
        <v>860</v>
      </c>
      <c r="H910" s="13">
        <f t="shared" si="112"/>
        <v>-1.0275684203264746E-2</v>
      </c>
      <c r="I910">
        <f t="shared" si="113"/>
        <v>163.08232439712472</v>
      </c>
      <c r="J910">
        <f t="shared" si="108"/>
        <v>711.83915392334518</v>
      </c>
      <c r="K910" s="27">
        <f t="shared" si="109"/>
        <v>-5206.6159305302417</v>
      </c>
    </row>
    <row r="911" spans="1:11" x14ac:dyDescent="0.25">
      <c r="A911" s="26">
        <v>861</v>
      </c>
      <c r="B911" s="82">
        <f t="shared" si="110"/>
        <v>0</v>
      </c>
      <c r="C911" s="58">
        <f t="shared" si="106"/>
        <v>171.9194128119324</v>
      </c>
      <c r="D911" s="83">
        <f t="shared" si="111"/>
        <v>733.33333333333326</v>
      </c>
      <c r="E911">
        <f t="shared" si="107"/>
        <v>0</v>
      </c>
      <c r="G911">
        <v>861</v>
      </c>
      <c r="H911" s="13">
        <f t="shared" si="112"/>
        <v>-1.0275684203264746E-2</v>
      </c>
      <c r="I911">
        <f t="shared" si="113"/>
        <v>163.07204871292146</v>
      </c>
      <c r="J911">
        <f t="shared" si="108"/>
        <v>711.80809301422653</v>
      </c>
      <c r="K911" s="27">
        <f t="shared" si="109"/>
        <v>-5206.1614007701864</v>
      </c>
    </row>
    <row r="912" spans="1:11" x14ac:dyDescent="0.25">
      <c r="A912" s="26">
        <v>862</v>
      </c>
      <c r="B912" s="82">
        <f t="shared" si="110"/>
        <v>0</v>
      </c>
      <c r="C912" s="58">
        <f t="shared" ref="C912:C975" si="114">($C$37-$C$36)/2000+C911</f>
        <v>171.9194128119324</v>
      </c>
      <c r="D912" s="83">
        <f t="shared" si="111"/>
        <v>733.33333333333326</v>
      </c>
      <c r="E912">
        <f t="shared" si="107"/>
        <v>0</v>
      </c>
      <c r="G912">
        <v>862</v>
      </c>
      <c r="H912" s="13">
        <f t="shared" si="112"/>
        <v>-1.0275684203264746E-2</v>
      </c>
      <c r="I912">
        <f t="shared" si="113"/>
        <v>163.06177302871819</v>
      </c>
      <c r="J912">
        <f t="shared" si="108"/>
        <v>711.77701143242871</v>
      </c>
      <c r="K912" s="27">
        <f t="shared" si="109"/>
        <v>-5205.7065881852559</v>
      </c>
    </row>
    <row r="913" spans="1:11" x14ac:dyDescent="0.25">
      <c r="A913" s="26">
        <v>863</v>
      </c>
      <c r="B913" s="82">
        <f t="shared" si="110"/>
        <v>0</v>
      </c>
      <c r="C913" s="58">
        <f t="shared" si="114"/>
        <v>171.9194128119324</v>
      </c>
      <c r="D913" s="83">
        <f t="shared" si="111"/>
        <v>733.33333333333326</v>
      </c>
      <c r="E913">
        <f t="shared" si="107"/>
        <v>0</v>
      </c>
      <c r="G913">
        <v>863</v>
      </c>
      <c r="H913" s="13">
        <f t="shared" si="112"/>
        <v>-1.0275684203264746E-2</v>
      </c>
      <c r="I913">
        <f t="shared" si="113"/>
        <v>163.05149734451493</v>
      </c>
      <c r="J913">
        <f t="shared" si="108"/>
        <v>711.74590914070006</v>
      </c>
      <c r="K913" s="27">
        <f t="shared" si="109"/>
        <v>-5205.2514922693972</v>
      </c>
    </row>
    <row r="914" spans="1:11" x14ac:dyDescent="0.25">
      <c r="A914" s="26">
        <v>864</v>
      </c>
      <c r="B914" s="82">
        <f t="shared" si="110"/>
        <v>0</v>
      </c>
      <c r="C914" s="58">
        <f t="shared" si="114"/>
        <v>171.9194128119324</v>
      </c>
      <c r="D914" s="83">
        <f t="shared" si="111"/>
        <v>733.33333333333326</v>
      </c>
      <c r="E914">
        <f t="shared" si="107"/>
        <v>0</v>
      </c>
      <c r="G914">
        <v>864</v>
      </c>
      <c r="H914" s="13">
        <f t="shared" si="112"/>
        <v>-1.0275684203264746E-2</v>
      </c>
      <c r="I914">
        <f t="shared" si="113"/>
        <v>163.04122166031166</v>
      </c>
      <c r="J914">
        <f t="shared" si="108"/>
        <v>711.71478610167458</v>
      </c>
      <c r="K914" s="27">
        <f t="shared" si="109"/>
        <v>-5204.7961125150005</v>
      </c>
    </row>
    <row r="915" spans="1:11" x14ac:dyDescent="0.25">
      <c r="A915" s="26">
        <v>865</v>
      </c>
      <c r="B915" s="82">
        <f t="shared" si="110"/>
        <v>0</v>
      </c>
      <c r="C915" s="58">
        <f t="shared" si="114"/>
        <v>171.9194128119324</v>
      </c>
      <c r="D915" s="83">
        <f t="shared" si="111"/>
        <v>733.33333333333326</v>
      </c>
      <c r="E915">
        <f t="shared" si="107"/>
        <v>0</v>
      </c>
      <c r="G915">
        <v>865</v>
      </c>
      <c r="H915" s="13">
        <f t="shared" si="112"/>
        <v>-1.0275684203264746E-2</v>
      </c>
      <c r="I915">
        <f t="shared" si="113"/>
        <v>163.0309459761084</v>
      </c>
      <c r="J915">
        <f t="shared" si="108"/>
        <v>711.68364227787106</v>
      </c>
      <c r="K915" s="27">
        <f t="shared" si="109"/>
        <v>-5204.3404484128914</v>
      </c>
    </row>
    <row r="916" spans="1:11" x14ac:dyDescent="0.25">
      <c r="A916" s="26">
        <v>866</v>
      </c>
      <c r="B916" s="82">
        <f t="shared" si="110"/>
        <v>0</v>
      </c>
      <c r="C916" s="58">
        <f t="shared" si="114"/>
        <v>171.9194128119324</v>
      </c>
      <c r="D916" s="83">
        <f t="shared" si="111"/>
        <v>733.33333333333326</v>
      </c>
      <c r="E916">
        <f t="shared" si="107"/>
        <v>0</v>
      </c>
      <c r="G916">
        <v>866</v>
      </c>
      <c r="H916" s="13">
        <f t="shared" si="112"/>
        <v>-1.0275684203264746E-2</v>
      </c>
      <c r="I916">
        <f t="shared" si="113"/>
        <v>163.02067029190513</v>
      </c>
      <c r="J916">
        <f t="shared" si="108"/>
        <v>711.65247763169316</v>
      </c>
      <c r="K916" s="27">
        <f t="shared" si="109"/>
        <v>-5203.8844994523306</v>
      </c>
    </row>
    <row r="917" spans="1:11" x14ac:dyDescent="0.25">
      <c r="A917" s="26">
        <v>867</v>
      </c>
      <c r="B917" s="82">
        <f t="shared" si="110"/>
        <v>0</v>
      </c>
      <c r="C917" s="58">
        <f t="shared" si="114"/>
        <v>171.9194128119324</v>
      </c>
      <c r="D917" s="83">
        <f t="shared" si="111"/>
        <v>733.33333333333326</v>
      </c>
      <c r="E917">
        <f t="shared" si="107"/>
        <v>0</v>
      </c>
      <c r="G917">
        <v>867</v>
      </c>
      <c r="H917" s="13">
        <f t="shared" si="112"/>
        <v>-1.0275684203264746E-2</v>
      </c>
      <c r="I917">
        <f t="shared" si="113"/>
        <v>163.01039460770187</v>
      </c>
      <c r="J917">
        <f t="shared" si="108"/>
        <v>711.62129212542823</v>
      </c>
      <c r="K917" s="27">
        <f t="shared" si="109"/>
        <v>-5203.4282651209987</v>
      </c>
    </row>
    <row r="918" spans="1:11" x14ac:dyDescent="0.25">
      <c r="A918" s="26">
        <v>868</v>
      </c>
      <c r="B918" s="82">
        <f t="shared" si="110"/>
        <v>0</v>
      </c>
      <c r="C918" s="58">
        <f t="shared" si="114"/>
        <v>171.9194128119324</v>
      </c>
      <c r="D918" s="83">
        <f t="shared" si="111"/>
        <v>733.33333333333326</v>
      </c>
      <c r="E918">
        <f t="shared" si="107"/>
        <v>0</v>
      </c>
      <c r="G918">
        <v>868</v>
      </c>
      <c r="H918" s="13">
        <f t="shared" si="112"/>
        <v>-1.0275684203264746E-2</v>
      </c>
      <c r="I918">
        <f t="shared" si="113"/>
        <v>163.0001189234986</v>
      </c>
      <c r="J918">
        <f t="shared" si="108"/>
        <v>711.59008572124765</v>
      </c>
      <c r="K918" s="27">
        <f t="shared" si="109"/>
        <v>-5202.9717449049967</v>
      </c>
    </row>
    <row r="919" spans="1:11" x14ac:dyDescent="0.25">
      <c r="A919" s="26">
        <v>869</v>
      </c>
      <c r="B919" s="82">
        <f t="shared" si="110"/>
        <v>0</v>
      </c>
      <c r="C919" s="58">
        <f t="shared" si="114"/>
        <v>171.9194128119324</v>
      </c>
      <c r="D919" s="83">
        <f t="shared" si="111"/>
        <v>733.33333333333326</v>
      </c>
      <c r="E919">
        <f t="shared" si="107"/>
        <v>0</v>
      </c>
      <c r="G919">
        <v>869</v>
      </c>
      <c r="H919" s="13">
        <f t="shared" si="112"/>
        <v>-1.0275684203264746E-2</v>
      </c>
      <c r="I919">
        <f t="shared" si="113"/>
        <v>162.98984323929534</v>
      </c>
      <c r="J919">
        <f t="shared" si="108"/>
        <v>711.55885838120525</v>
      </c>
      <c r="K919" s="27">
        <f t="shared" si="109"/>
        <v>-5202.5149382888321</v>
      </c>
    </row>
    <row r="920" spans="1:11" x14ac:dyDescent="0.25">
      <c r="A920" s="26">
        <v>870</v>
      </c>
      <c r="B920" s="82">
        <f t="shared" si="110"/>
        <v>0</v>
      </c>
      <c r="C920" s="58">
        <f t="shared" si="114"/>
        <v>171.9194128119324</v>
      </c>
      <c r="D920" s="83">
        <f t="shared" si="111"/>
        <v>733.33333333333326</v>
      </c>
      <c r="E920">
        <f t="shared" si="107"/>
        <v>0</v>
      </c>
      <c r="G920">
        <v>870</v>
      </c>
      <c r="H920" s="13">
        <f t="shared" si="112"/>
        <v>-1.0275684203264746E-2</v>
      </c>
      <c r="I920">
        <f t="shared" si="113"/>
        <v>162.97956755509207</v>
      </c>
      <c r="J920">
        <f t="shared" si="108"/>
        <v>711.5276100672379</v>
      </c>
      <c r="K920" s="27">
        <f t="shared" si="109"/>
        <v>-5202.0578447554171</v>
      </c>
    </row>
    <row r="921" spans="1:11" x14ac:dyDescent="0.25">
      <c r="A921" s="26">
        <v>871</v>
      </c>
      <c r="B921" s="82">
        <f t="shared" si="110"/>
        <v>0</v>
      </c>
      <c r="C921" s="58">
        <f t="shared" si="114"/>
        <v>171.9194128119324</v>
      </c>
      <c r="D921" s="83">
        <f t="shared" si="111"/>
        <v>733.33333333333326</v>
      </c>
      <c r="E921">
        <f t="shared" si="107"/>
        <v>0</v>
      </c>
      <c r="G921">
        <v>871</v>
      </c>
      <c r="H921" s="13">
        <f t="shared" si="112"/>
        <v>-1.0275684203264746E-2</v>
      </c>
      <c r="I921">
        <f t="shared" si="113"/>
        <v>162.96929187088881</v>
      </c>
      <c r="J921">
        <f t="shared" si="108"/>
        <v>711.49634074116398</v>
      </c>
      <c r="K921" s="27">
        <f t="shared" si="109"/>
        <v>-5201.6004637860597</v>
      </c>
    </row>
    <row r="922" spans="1:11" x14ac:dyDescent="0.25">
      <c r="A922" s="26">
        <v>872</v>
      </c>
      <c r="B922" s="82">
        <f t="shared" si="110"/>
        <v>0</v>
      </c>
      <c r="C922" s="58">
        <f t="shared" si="114"/>
        <v>171.9194128119324</v>
      </c>
      <c r="D922" s="83">
        <f t="shared" si="111"/>
        <v>733.33333333333326</v>
      </c>
      <c r="E922">
        <f t="shared" si="107"/>
        <v>0</v>
      </c>
      <c r="G922">
        <v>872</v>
      </c>
      <c r="H922" s="13">
        <f t="shared" si="112"/>
        <v>-1.0275684203264746E-2</v>
      </c>
      <c r="I922">
        <f t="shared" si="113"/>
        <v>162.95901618668555</v>
      </c>
      <c r="J922">
        <f t="shared" si="108"/>
        <v>711.46505036468398</v>
      </c>
      <c r="K922" s="27">
        <f t="shared" si="109"/>
        <v>-5201.1427948604587</v>
      </c>
    </row>
    <row r="923" spans="1:11" x14ac:dyDescent="0.25">
      <c r="A923" s="26">
        <v>873</v>
      </c>
      <c r="B923" s="82">
        <f t="shared" si="110"/>
        <v>0</v>
      </c>
      <c r="C923" s="58">
        <f t="shared" si="114"/>
        <v>171.9194128119324</v>
      </c>
      <c r="D923" s="83">
        <f t="shared" si="111"/>
        <v>733.33333333333326</v>
      </c>
      <c r="E923">
        <f t="shared" si="107"/>
        <v>0</v>
      </c>
      <c r="G923">
        <v>873</v>
      </c>
      <c r="H923" s="13">
        <f t="shared" si="112"/>
        <v>-1.0275684203264746E-2</v>
      </c>
      <c r="I923">
        <f t="shared" si="113"/>
        <v>162.94874050248228</v>
      </c>
      <c r="J923">
        <f t="shared" si="108"/>
        <v>711.4337388993788</v>
      </c>
      <c r="K923" s="27">
        <f t="shared" si="109"/>
        <v>-5200.6848374566916</v>
      </c>
    </row>
    <row r="924" spans="1:11" x14ac:dyDescent="0.25">
      <c r="A924" s="26">
        <v>874</v>
      </c>
      <c r="B924" s="82">
        <f t="shared" si="110"/>
        <v>0</v>
      </c>
      <c r="C924" s="58">
        <f t="shared" si="114"/>
        <v>171.9194128119324</v>
      </c>
      <c r="D924" s="83">
        <f t="shared" si="111"/>
        <v>733.33333333333326</v>
      </c>
      <c r="E924">
        <f t="shared" si="107"/>
        <v>0</v>
      </c>
      <c r="G924">
        <v>874</v>
      </c>
      <c r="H924" s="13">
        <f t="shared" si="112"/>
        <v>-1.0275684203264746E-2</v>
      </c>
      <c r="I924">
        <f t="shared" si="113"/>
        <v>162.93846481827902</v>
      </c>
      <c r="J924">
        <f t="shared" si="108"/>
        <v>711.40240630671019</v>
      </c>
      <c r="K924" s="27">
        <f t="shared" si="109"/>
        <v>-5200.2265910512151</v>
      </c>
    </row>
    <row r="925" spans="1:11" x14ac:dyDescent="0.25">
      <c r="A925" s="26">
        <v>875</v>
      </c>
      <c r="B925" s="82">
        <f t="shared" si="110"/>
        <v>0</v>
      </c>
      <c r="C925" s="58">
        <f t="shared" si="114"/>
        <v>171.9194128119324</v>
      </c>
      <c r="D925" s="83">
        <f t="shared" si="111"/>
        <v>733.33333333333326</v>
      </c>
      <c r="E925">
        <f t="shared" si="107"/>
        <v>0</v>
      </c>
      <c r="G925">
        <v>875</v>
      </c>
      <c r="H925" s="13">
        <f t="shared" si="112"/>
        <v>-1.0275684203264746E-2</v>
      </c>
      <c r="I925">
        <f t="shared" si="113"/>
        <v>162.92818913407575</v>
      </c>
      <c r="J925">
        <f t="shared" si="108"/>
        <v>711.37105254801963</v>
      </c>
      <c r="K925" s="27">
        <f t="shared" si="109"/>
        <v>-5199.7680551188505</v>
      </c>
    </row>
    <row r="926" spans="1:11" x14ac:dyDescent="0.25">
      <c r="A926" s="26">
        <v>876</v>
      </c>
      <c r="B926" s="82">
        <f t="shared" si="110"/>
        <v>0</v>
      </c>
      <c r="C926" s="58">
        <f t="shared" si="114"/>
        <v>171.9194128119324</v>
      </c>
      <c r="D926" s="83">
        <f t="shared" si="111"/>
        <v>733.33333333333326</v>
      </c>
      <c r="E926">
        <f t="shared" si="107"/>
        <v>0</v>
      </c>
      <c r="G926">
        <v>876</v>
      </c>
      <c r="H926" s="13">
        <f t="shared" si="112"/>
        <v>-1.0275684203264746E-2</v>
      </c>
      <c r="I926">
        <f t="shared" si="113"/>
        <v>162.91791344987249</v>
      </c>
      <c r="J926">
        <f t="shared" si="108"/>
        <v>711.33967758452798</v>
      </c>
      <c r="K926" s="27">
        <f t="shared" si="109"/>
        <v>-5199.309229132783</v>
      </c>
    </row>
    <row r="927" spans="1:11" x14ac:dyDescent="0.25">
      <c r="A927" s="26">
        <v>877</v>
      </c>
      <c r="B927" s="82">
        <f t="shared" si="110"/>
        <v>0</v>
      </c>
      <c r="C927" s="58">
        <f t="shared" si="114"/>
        <v>171.9194128119324</v>
      </c>
      <c r="D927" s="83">
        <f t="shared" si="111"/>
        <v>733.33333333333326</v>
      </c>
      <c r="E927">
        <f t="shared" si="107"/>
        <v>0</v>
      </c>
      <c r="G927">
        <v>877</v>
      </c>
      <c r="H927" s="13">
        <f t="shared" si="112"/>
        <v>-1.0275684203264746E-2</v>
      </c>
      <c r="I927">
        <f t="shared" si="113"/>
        <v>162.90763776566922</v>
      </c>
      <c r="J927">
        <f t="shared" si="108"/>
        <v>711.30828137733533</v>
      </c>
      <c r="K927" s="27">
        <f t="shared" si="109"/>
        <v>-5198.8501125645489</v>
      </c>
    </row>
    <row r="928" spans="1:11" x14ac:dyDescent="0.25">
      <c r="A928" s="26">
        <v>878</v>
      </c>
      <c r="B928" s="82">
        <f t="shared" si="110"/>
        <v>0</v>
      </c>
      <c r="C928" s="58">
        <f t="shared" si="114"/>
        <v>171.9194128119324</v>
      </c>
      <c r="D928" s="83">
        <f t="shared" si="111"/>
        <v>733.33333333333326</v>
      </c>
      <c r="E928">
        <f t="shared" si="107"/>
        <v>0</v>
      </c>
      <c r="G928">
        <v>878</v>
      </c>
      <c r="H928" s="13">
        <f t="shared" si="112"/>
        <v>-1.0275684203264746E-2</v>
      </c>
      <c r="I928">
        <f t="shared" si="113"/>
        <v>162.89736208146596</v>
      </c>
      <c r="J928">
        <f t="shared" si="108"/>
        <v>711.27686388741984</v>
      </c>
      <c r="K928" s="27">
        <f t="shared" si="109"/>
        <v>-5198.3907048840319</v>
      </c>
    </row>
    <row r="929" spans="1:11" x14ac:dyDescent="0.25">
      <c r="A929" s="26">
        <v>879</v>
      </c>
      <c r="B929" s="82">
        <f t="shared" si="110"/>
        <v>0</v>
      </c>
      <c r="C929" s="58">
        <f t="shared" si="114"/>
        <v>171.9194128119324</v>
      </c>
      <c r="D929" s="83">
        <f t="shared" si="111"/>
        <v>733.33333333333326</v>
      </c>
      <c r="E929">
        <f t="shared" si="107"/>
        <v>0</v>
      </c>
      <c r="G929">
        <v>879</v>
      </c>
      <c r="H929" s="13">
        <f t="shared" si="112"/>
        <v>-1.0275684203264746E-2</v>
      </c>
      <c r="I929">
        <f t="shared" si="113"/>
        <v>162.88708639726269</v>
      </c>
      <c r="J929">
        <f t="shared" si="108"/>
        <v>711.2454250756374</v>
      </c>
      <c r="K929" s="27">
        <f t="shared" si="109"/>
        <v>-5197.9310055594542</v>
      </c>
    </row>
    <row r="930" spans="1:11" x14ac:dyDescent="0.25">
      <c r="A930" s="26">
        <v>880</v>
      </c>
      <c r="B930" s="82">
        <f t="shared" si="110"/>
        <v>0</v>
      </c>
      <c r="C930" s="58">
        <f t="shared" si="114"/>
        <v>171.9194128119324</v>
      </c>
      <c r="D930" s="83">
        <f t="shared" si="111"/>
        <v>733.33333333333326</v>
      </c>
      <c r="E930">
        <f t="shared" si="107"/>
        <v>0</v>
      </c>
      <c r="G930">
        <v>880</v>
      </c>
      <c r="H930" s="13">
        <f t="shared" si="112"/>
        <v>-1.0275684203264746E-2</v>
      </c>
      <c r="I930">
        <f t="shared" si="113"/>
        <v>162.87681071305943</v>
      </c>
      <c r="J930">
        <f t="shared" si="108"/>
        <v>711.21396490272139</v>
      </c>
      <c r="K930" s="27">
        <f t="shared" si="109"/>
        <v>-5197.4710140573707</v>
      </c>
    </row>
    <row r="931" spans="1:11" x14ac:dyDescent="0.25">
      <c r="A931" s="26">
        <v>881</v>
      </c>
      <c r="B931" s="82">
        <f t="shared" si="110"/>
        <v>0</v>
      </c>
      <c r="C931" s="58">
        <f t="shared" si="114"/>
        <v>171.9194128119324</v>
      </c>
      <c r="D931" s="83">
        <f t="shared" si="111"/>
        <v>733.33333333333326</v>
      </c>
      <c r="E931">
        <f t="shared" si="107"/>
        <v>0</v>
      </c>
      <c r="G931">
        <v>881</v>
      </c>
      <c r="H931" s="13">
        <f t="shared" si="112"/>
        <v>-1.0275684203264746E-2</v>
      </c>
      <c r="I931">
        <f t="shared" si="113"/>
        <v>162.86653502885616</v>
      </c>
      <c r="J931">
        <f t="shared" si="108"/>
        <v>711.18248332928192</v>
      </c>
      <c r="K931" s="27">
        <f t="shared" si="109"/>
        <v>-5197.0107298426619</v>
      </c>
    </row>
    <row r="932" spans="1:11" x14ac:dyDescent="0.25">
      <c r="A932" s="26">
        <v>882</v>
      </c>
      <c r="B932" s="82">
        <f t="shared" si="110"/>
        <v>0</v>
      </c>
      <c r="C932" s="58">
        <f t="shared" si="114"/>
        <v>171.9194128119324</v>
      </c>
      <c r="D932" s="83">
        <f t="shared" si="111"/>
        <v>733.33333333333326</v>
      </c>
      <c r="E932">
        <f t="shared" si="107"/>
        <v>0</v>
      </c>
      <c r="G932">
        <v>882</v>
      </c>
      <c r="H932" s="13">
        <f t="shared" si="112"/>
        <v>-1.0275684203264746E-2</v>
      </c>
      <c r="I932">
        <f t="shared" si="113"/>
        <v>162.8562593446529</v>
      </c>
      <c r="J932">
        <f t="shared" si="108"/>
        <v>711.15098031580521</v>
      </c>
      <c r="K932" s="27">
        <f t="shared" si="109"/>
        <v>-5196.5501523785215</v>
      </c>
    </row>
    <row r="933" spans="1:11" x14ac:dyDescent="0.25">
      <c r="A933" s="26">
        <v>883</v>
      </c>
      <c r="B933" s="82">
        <f t="shared" si="110"/>
        <v>0</v>
      </c>
      <c r="C933" s="58">
        <f t="shared" si="114"/>
        <v>171.9194128119324</v>
      </c>
      <c r="D933" s="83">
        <f t="shared" si="111"/>
        <v>733.33333333333326</v>
      </c>
      <c r="E933">
        <f t="shared" si="107"/>
        <v>0</v>
      </c>
      <c r="G933">
        <v>883</v>
      </c>
      <c r="H933" s="13">
        <f t="shared" si="112"/>
        <v>-1.0275684203264746E-2</v>
      </c>
      <c r="I933">
        <f t="shared" si="113"/>
        <v>162.84598366044963</v>
      </c>
      <c r="J933">
        <f t="shared" si="108"/>
        <v>711.11945582265321</v>
      </c>
      <c r="K933" s="27">
        <f t="shared" si="109"/>
        <v>-5196.0892811264566</v>
      </c>
    </row>
    <row r="934" spans="1:11" x14ac:dyDescent="0.25">
      <c r="A934" s="26">
        <v>884</v>
      </c>
      <c r="B934" s="82">
        <f t="shared" si="110"/>
        <v>0</v>
      </c>
      <c r="C934" s="58">
        <f t="shared" si="114"/>
        <v>171.9194128119324</v>
      </c>
      <c r="D934" s="83">
        <f t="shared" si="111"/>
        <v>733.33333333333326</v>
      </c>
      <c r="E934">
        <f t="shared" si="107"/>
        <v>0</v>
      </c>
      <c r="G934">
        <v>884</v>
      </c>
      <c r="H934" s="13">
        <f t="shared" si="112"/>
        <v>-1.0275684203264746E-2</v>
      </c>
      <c r="I934">
        <f t="shared" si="113"/>
        <v>162.83570797624637</v>
      </c>
      <c r="J934">
        <f t="shared" si="108"/>
        <v>711.0879098100628</v>
      </c>
      <c r="K934" s="27">
        <f t="shared" si="109"/>
        <v>-5195.6281155462757</v>
      </c>
    </row>
    <row r="935" spans="1:11" x14ac:dyDescent="0.25">
      <c r="A935" s="26">
        <v>885</v>
      </c>
      <c r="B935" s="82">
        <f t="shared" si="110"/>
        <v>0</v>
      </c>
      <c r="C935" s="58">
        <f t="shared" si="114"/>
        <v>171.9194128119324</v>
      </c>
      <c r="D935" s="83">
        <f t="shared" si="111"/>
        <v>733.33333333333326</v>
      </c>
      <c r="E935">
        <f t="shared" si="107"/>
        <v>0</v>
      </c>
      <c r="G935">
        <v>885</v>
      </c>
      <c r="H935" s="13">
        <f t="shared" si="112"/>
        <v>-1.0275684203264746E-2</v>
      </c>
      <c r="I935">
        <f t="shared" si="113"/>
        <v>162.8254322920431</v>
      </c>
      <c r="J935">
        <f t="shared" si="108"/>
        <v>711.05634223814582</v>
      </c>
      <c r="K935" s="27">
        <f t="shared" si="109"/>
        <v>-5195.1666550960799</v>
      </c>
    </row>
    <row r="936" spans="1:11" x14ac:dyDescent="0.25">
      <c r="A936" s="26">
        <v>886</v>
      </c>
      <c r="B936" s="82">
        <f t="shared" si="110"/>
        <v>0</v>
      </c>
      <c r="C936" s="58">
        <f t="shared" si="114"/>
        <v>171.9194128119324</v>
      </c>
      <c r="D936" s="83">
        <f t="shared" si="111"/>
        <v>733.33333333333326</v>
      </c>
      <c r="E936">
        <f t="shared" si="107"/>
        <v>0</v>
      </c>
      <c r="G936">
        <v>886</v>
      </c>
      <c r="H936" s="13">
        <f t="shared" si="112"/>
        <v>-1.0275684203264746E-2</v>
      </c>
      <c r="I936">
        <f t="shared" si="113"/>
        <v>162.81515660783984</v>
      </c>
      <c r="J936">
        <f t="shared" si="108"/>
        <v>711.02475306688757</v>
      </c>
      <c r="K936" s="27">
        <f t="shared" si="109"/>
        <v>-5194.7048992322589</v>
      </c>
    </row>
    <row r="937" spans="1:11" x14ac:dyDescent="0.25">
      <c r="A937" s="26">
        <v>887</v>
      </c>
      <c r="B937" s="82">
        <f t="shared" si="110"/>
        <v>0</v>
      </c>
      <c r="C937" s="58">
        <f t="shared" si="114"/>
        <v>171.9194128119324</v>
      </c>
      <c r="D937" s="83">
        <f t="shared" si="111"/>
        <v>733.33333333333326</v>
      </c>
      <c r="E937">
        <f t="shared" si="107"/>
        <v>0</v>
      </c>
      <c r="G937">
        <v>887</v>
      </c>
      <c r="H937" s="13">
        <f t="shared" si="112"/>
        <v>-1.0275684203264746E-2</v>
      </c>
      <c r="I937">
        <f t="shared" si="113"/>
        <v>162.80488092363657</v>
      </c>
      <c r="J937">
        <f t="shared" si="108"/>
        <v>710.99314225614717</v>
      </c>
      <c r="K937" s="27">
        <f t="shared" si="109"/>
        <v>-5194.242847409485</v>
      </c>
    </row>
    <row r="938" spans="1:11" x14ac:dyDescent="0.25">
      <c r="A938" s="26">
        <v>888</v>
      </c>
      <c r="B938" s="82">
        <f t="shared" si="110"/>
        <v>0</v>
      </c>
      <c r="C938" s="58">
        <f t="shared" si="114"/>
        <v>171.9194128119324</v>
      </c>
      <c r="D938" s="83">
        <f t="shared" si="111"/>
        <v>733.33333333333326</v>
      </c>
      <c r="E938">
        <f t="shared" si="107"/>
        <v>0</v>
      </c>
      <c r="G938">
        <v>888</v>
      </c>
      <c r="H938" s="13">
        <f t="shared" si="112"/>
        <v>-1.0275684203264746E-2</v>
      </c>
      <c r="I938">
        <f t="shared" si="113"/>
        <v>162.79460523943331</v>
      </c>
      <c r="J938">
        <f t="shared" si="108"/>
        <v>710.96150976565661</v>
      </c>
      <c r="K938" s="27">
        <f t="shared" si="109"/>
        <v>-5193.7804990806953</v>
      </c>
    </row>
    <row r="939" spans="1:11" x14ac:dyDescent="0.25">
      <c r="A939" s="26">
        <v>889</v>
      </c>
      <c r="B939" s="82">
        <f t="shared" si="110"/>
        <v>0</v>
      </c>
      <c r="C939" s="58">
        <f t="shared" si="114"/>
        <v>171.9194128119324</v>
      </c>
      <c r="D939" s="83">
        <f t="shared" si="111"/>
        <v>733.33333333333326</v>
      </c>
      <c r="E939">
        <f t="shared" si="107"/>
        <v>0</v>
      </c>
      <c r="G939">
        <v>889</v>
      </c>
      <c r="H939" s="13">
        <f t="shared" si="112"/>
        <v>-1.0275684203264746E-2</v>
      </c>
      <c r="I939">
        <f t="shared" si="113"/>
        <v>162.78432955523004</v>
      </c>
      <c r="J939">
        <f t="shared" si="108"/>
        <v>710.9298555550198</v>
      </c>
      <c r="K939" s="27">
        <f t="shared" si="109"/>
        <v>-5193.3178536970963</v>
      </c>
    </row>
    <row r="940" spans="1:11" x14ac:dyDescent="0.25">
      <c r="A940" s="26">
        <v>890</v>
      </c>
      <c r="B940" s="82">
        <f t="shared" si="110"/>
        <v>0</v>
      </c>
      <c r="C940" s="58">
        <f t="shared" si="114"/>
        <v>171.9194128119324</v>
      </c>
      <c r="D940" s="83">
        <f t="shared" si="111"/>
        <v>733.33333333333326</v>
      </c>
      <c r="E940">
        <f t="shared" si="107"/>
        <v>0</v>
      </c>
      <c r="G940">
        <v>890</v>
      </c>
      <c r="H940" s="13">
        <f t="shared" si="112"/>
        <v>-1.0275684203264746E-2</v>
      </c>
      <c r="I940">
        <f t="shared" si="113"/>
        <v>162.77405387102678</v>
      </c>
      <c r="J940">
        <f t="shared" si="108"/>
        <v>710.89817958371282</v>
      </c>
      <c r="K940" s="27">
        <f t="shared" si="109"/>
        <v>-5192.8549107081499</v>
      </c>
    </row>
    <row r="941" spans="1:11" x14ac:dyDescent="0.25">
      <c r="A941" s="26">
        <v>891</v>
      </c>
      <c r="B941" s="82">
        <f t="shared" si="110"/>
        <v>0</v>
      </c>
      <c r="C941" s="58">
        <f t="shared" si="114"/>
        <v>171.9194128119324</v>
      </c>
      <c r="D941" s="83">
        <f t="shared" si="111"/>
        <v>733.33333333333326</v>
      </c>
      <c r="E941">
        <f t="shared" si="107"/>
        <v>0</v>
      </c>
      <c r="G941">
        <v>891</v>
      </c>
      <c r="H941" s="13">
        <f t="shared" si="112"/>
        <v>-1.0275684203264746E-2</v>
      </c>
      <c r="I941">
        <f t="shared" si="113"/>
        <v>162.76377818682352</v>
      </c>
      <c r="J941">
        <f t="shared" si="108"/>
        <v>710.86648181108262</v>
      </c>
      <c r="K941" s="27">
        <f t="shared" si="109"/>
        <v>-5192.3916695615644</v>
      </c>
    </row>
    <row r="942" spans="1:11" x14ac:dyDescent="0.25">
      <c r="A942" s="26">
        <v>892</v>
      </c>
      <c r="B942" s="82">
        <f t="shared" si="110"/>
        <v>0</v>
      </c>
      <c r="C942" s="58">
        <f t="shared" si="114"/>
        <v>171.9194128119324</v>
      </c>
      <c r="D942" s="83">
        <f t="shared" si="111"/>
        <v>733.33333333333326</v>
      </c>
      <c r="E942">
        <f t="shared" si="107"/>
        <v>0</v>
      </c>
      <c r="G942">
        <v>892</v>
      </c>
      <c r="H942" s="13">
        <f t="shared" si="112"/>
        <v>-1.0275684203264746E-2</v>
      </c>
      <c r="I942">
        <f t="shared" si="113"/>
        <v>162.75350250262025</v>
      </c>
      <c r="J942">
        <f t="shared" si="108"/>
        <v>710.83476219634701</v>
      </c>
      <c r="K942" s="27">
        <f t="shared" si="109"/>
        <v>-5191.9281297032931</v>
      </c>
    </row>
    <row r="943" spans="1:11" x14ac:dyDescent="0.25">
      <c r="A943" s="26">
        <v>893</v>
      </c>
      <c r="B943" s="82">
        <f t="shared" si="110"/>
        <v>0</v>
      </c>
      <c r="C943" s="58">
        <f t="shared" si="114"/>
        <v>171.9194128119324</v>
      </c>
      <c r="D943" s="83">
        <f t="shared" si="111"/>
        <v>733.33333333333326</v>
      </c>
      <c r="E943">
        <f t="shared" si="107"/>
        <v>0</v>
      </c>
      <c r="G943">
        <v>893</v>
      </c>
      <c r="H943" s="13">
        <f t="shared" si="112"/>
        <v>-1.0275684203264746E-2</v>
      </c>
      <c r="I943">
        <f t="shared" si="113"/>
        <v>162.74322681841699</v>
      </c>
      <c r="J943">
        <f t="shared" si="108"/>
        <v>710.80302069859363</v>
      </c>
      <c r="K943" s="27">
        <f t="shared" si="109"/>
        <v>-5191.4642905775172</v>
      </c>
    </row>
    <row r="944" spans="1:11" x14ac:dyDescent="0.25">
      <c r="A944" s="26">
        <v>894</v>
      </c>
      <c r="B944" s="82">
        <f t="shared" si="110"/>
        <v>0</v>
      </c>
      <c r="C944" s="58">
        <f t="shared" si="114"/>
        <v>171.9194128119324</v>
      </c>
      <c r="D944" s="83">
        <f t="shared" si="111"/>
        <v>733.33333333333326</v>
      </c>
      <c r="E944">
        <f t="shared" si="107"/>
        <v>0</v>
      </c>
      <c r="G944">
        <v>894</v>
      </c>
      <c r="H944" s="13">
        <f t="shared" si="112"/>
        <v>-1.0275684203264746E-2</v>
      </c>
      <c r="I944">
        <f t="shared" si="113"/>
        <v>162.73295113421372</v>
      </c>
      <c r="J944">
        <f t="shared" si="108"/>
        <v>710.77125727677958</v>
      </c>
      <c r="K944" s="27">
        <f t="shared" si="109"/>
        <v>-5191.0001516266475</v>
      </c>
    </row>
    <row r="945" spans="1:11" x14ac:dyDescent="0.25">
      <c r="A945" s="26">
        <v>895</v>
      </c>
      <c r="B945" s="82">
        <f t="shared" si="110"/>
        <v>0</v>
      </c>
      <c r="C945" s="58">
        <f t="shared" si="114"/>
        <v>171.9194128119324</v>
      </c>
      <c r="D945" s="83">
        <f t="shared" si="111"/>
        <v>733.33333333333326</v>
      </c>
      <c r="E945">
        <f t="shared" si="107"/>
        <v>0</v>
      </c>
      <c r="G945">
        <v>895</v>
      </c>
      <c r="H945" s="13">
        <f t="shared" si="112"/>
        <v>-1.0275684203264746E-2</v>
      </c>
      <c r="I945">
        <f t="shared" si="113"/>
        <v>162.72267545001046</v>
      </c>
      <c r="J945">
        <f t="shared" si="108"/>
        <v>710.73947188973079</v>
      </c>
      <c r="K945" s="27">
        <f t="shared" si="109"/>
        <v>-5190.5357122913092</v>
      </c>
    </row>
    <row r="946" spans="1:11" x14ac:dyDescent="0.25">
      <c r="A946" s="26">
        <v>896</v>
      </c>
      <c r="B946" s="82">
        <f t="shared" si="110"/>
        <v>0</v>
      </c>
      <c r="C946" s="58">
        <f t="shared" si="114"/>
        <v>171.9194128119324</v>
      </c>
      <c r="D946" s="83">
        <f t="shared" si="111"/>
        <v>733.33333333333326</v>
      </c>
      <c r="E946">
        <f t="shared" si="107"/>
        <v>0</v>
      </c>
      <c r="G946">
        <v>896</v>
      </c>
      <c r="H946" s="13">
        <f t="shared" si="112"/>
        <v>-1.0275684203264746E-2</v>
      </c>
      <c r="I946">
        <f t="shared" si="113"/>
        <v>162.71239976580719</v>
      </c>
      <c r="J946">
        <f t="shared" si="108"/>
        <v>710.70766449614155</v>
      </c>
      <c r="K946" s="27">
        <f t="shared" si="109"/>
        <v>-5190.0709720103359</v>
      </c>
    </row>
    <row r="947" spans="1:11" x14ac:dyDescent="0.25">
      <c r="A947" s="26">
        <v>897</v>
      </c>
      <c r="B947" s="82">
        <f t="shared" si="110"/>
        <v>0</v>
      </c>
      <c r="C947" s="58">
        <f t="shared" si="114"/>
        <v>171.9194128119324</v>
      </c>
      <c r="D947" s="83">
        <f t="shared" si="111"/>
        <v>733.33333333333326</v>
      </c>
      <c r="E947">
        <f t="shared" ref="E947:E1010" si="115">((D947^2)+(D947*D948)+(D948^2))*B948/3</f>
        <v>0</v>
      </c>
      <c r="G947">
        <v>897</v>
      </c>
      <c r="H947" s="13">
        <f t="shared" si="112"/>
        <v>-1.0275684203264746E-2</v>
      </c>
      <c r="I947">
        <f t="shared" si="113"/>
        <v>162.70212408160393</v>
      </c>
      <c r="J947">
        <f t="shared" ref="J947:J1010" si="116">IF($G$28&lt;$C$14,0,((($C$11^2)-((I947-$C$13)^2))^0.5)+$C$16)</f>
        <v>710.67583505457355</v>
      </c>
      <c r="K947" s="27">
        <f t="shared" ref="K947:K1010" si="117">((J947^2)+(J947*J948)+(J948^2))*H948/3</f>
        <v>-5189.6059302207641</v>
      </c>
    </row>
    <row r="948" spans="1:11" x14ac:dyDescent="0.25">
      <c r="A948" s="26">
        <v>898</v>
      </c>
      <c r="B948" s="82">
        <f t="shared" ref="B948:B1011" si="118">C948-C947</f>
        <v>0</v>
      </c>
      <c r="C948" s="58">
        <f t="shared" si="114"/>
        <v>171.9194128119324</v>
      </c>
      <c r="D948" s="83">
        <f t="shared" ref="D948:D1011" si="119">IF($G$28&lt;$C$14,0,((($C$11^2)-((C948-$C$13)^2))^0.5)+$C$16)</f>
        <v>733.33333333333326</v>
      </c>
      <c r="E948">
        <f t="shared" si="115"/>
        <v>0</v>
      </c>
      <c r="G948">
        <v>898</v>
      </c>
      <c r="H948" s="13">
        <f t="shared" ref="H948:H1011" si="120">I948-I947</f>
        <v>-1.0275684203264746E-2</v>
      </c>
      <c r="I948">
        <f t="shared" ref="I948:I1011" si="121">($G$27-$C$14)/2000+I947</f>
        <v>162.69184839740066</v>
      </c>
      <c r="J948">
        <f t="shared" si="116"/>
        <v>710.64398352345586</v>
      </c>
      <c r="K948" s="27">
        <f t="shared" si="117"/>
        <v>-5189.1405863578229</v>
      </c>
    </row>
    <row r="949" spans="1:11" x14ac:dyDescent="0.25">
      <c r="A949" s="26">
        <v>899</v>
      </c>
      <c r="B949" s="82">
        <f t="shared" si="118"/>
        <v>0</v>
      </c>
      <c r="C949" s="58">
        <f t="shared" si="114"/>
        <v>171.9194128119324</v>
      </c>
      <c r="D949" s="83">
        <f t="shared" si="119"/>
        <v>733.33333333333326</v>
      </c>
      <c r="E949">
        <f t="shared" si="115"/>
        <v>0</v>
      </c>
      <c r="G949">
        <v>899</v>
      </c>
      <c r="H949" s="13">
        <f t="shared" si="120"/>
        <v>-1.0275684203264746E-2</v>
      </c>
      <c r="I949">
        <f t="shared" si="121"/>
        <v>162.6815727131974</v>
      </c>
      <c r="J949">
        <f t="shared" si="116"/>
        <v>710.61210986108392</v>
      </c>
      <c r="K949" s="27">
        <f t="shared" si="117"/>
        <v>-5188.6749398549227</v>
      </c>
    </row>
    <row r="950" spans="1:11" x14ac:dyDescent="0.25">
      <c r="A950" s="26">
        <v>900</v>
      </c>
      <c r="B950" s="82">
        <f t="shared" si="118"/>
        <v>0</v>
      </c>
      <c r="C950" s="58">
        <f t="shared" si="114"/>
        <v>171.9194128119324</v>
      </c>
      <c r="D950" s="83">
        <f t="shared" si="119"/>
        <v>733.33333333333326</v>
      </c>
      <c r="E950">
        <f t="shared" si="115"/>
        <v>0</v>
      </c>
      <c r="G950">
        <v>900</v>
      </c>
      <c r="H950" s="13">
        <f t="shared" si="120"/>
        <v>-1.0275684203264746E-2</v>
      </c>
      <c r="I950">
        <f t="shared" si="121"/>
        <v>162.67129702899413</v>
      </c>
      <c r="J950">
        <f t="shared" si="116"/>
        <v>710.58021402561883</v>
      </c>
      <c r="K950" s="27">
        <f t="shared" si="117"/>
        <v>-5188.2089901436548</v>
      </c>
    </row>
    <row r="951" spans="1:11" x14ac:dyDescent="0.25">
      <c r="A951" s="26">
        <v>901</v>
      </c>
      <c r="B951" s="82">
        <f t="shared" si="118"/>
        <v>0</v>
      </c>
      <c r="C951" s="58">
        <f t="shared" si="114"/>
        <v>171.9194128119324</v>
      </c>
      <c r="D951" s="83">
        <f t="shared" si="119"/>
        <v>733.33333333333326</v>
      </c>
      <c r="E951">
        <f t="shared" si="115"/>
        <v>0</v>
      </c>
      <c r="G951">
        <v>901</v>
      </c>
      <c r="H951" s="13">
        <f t="shared" si="120"/>
        <v>-1.0275684203264746E-2</v>
      </c>
      <c r="I951">
        <f t="shared" si="121"/>
        <v>162.66102134479087</v>
      </c>
      <c r="J951">
        <f t="shared" si="116"/>
        <v>710.54829597508717</v>
      </c>
      <c r="K951" s="27">
        <f t="shared" si="117"/>
        <v>-5187.7427366537777</v>
      </c>
    </row>
    <row r="952" spans="1:11" x14ac:dyDescent="0.25">
      <c r="A952" s="26">
        <v>902</v>
      </c>
      <c r="B952" s="82">
        <f t="shared" si="118"/>
        <v>0</v>
      </c>
      <c r="C952" s="58">
        <f t="shared" si="114"/>
        <v>171.9194128119324</v>
      </c>
      <c r="D952" s="83">
        <f t="shared" si="119"/>
        <v>733.33333333333326</v>
      </c>
      <c r="E952">
        <f t="shared" si="115"/>
        <v>0</v>
      </c>
      <c r="G952">
        <v>902</v>
      </c>
      <c r="H952" s="13">
        <f t="shared" si="120"/>
        <v>-1.0275684203264746E-2</v>
      </c>
      <c r="I952">
        <f t="shared" si="121"/>
        <v>162.6507456605876</v>
      </c>
      <c r="J952">
        <f t="shared" si="116"/>
        <v>710.51635566738014</v>
      </c>
      <c r="K952" s="27">
        <f t="shared" si="117"/>
        <v>-5187.2761788132075</v>
      </c>
    </row>
    <row r="953" spans="1:11" x14ac:dyDescent="0.25">
      <c r="A953" s="26">
        <v>903</v>
      </c>
      <c r="B953" s="82">
        <f t="shared" si="118"/>
        <v>0</v>
      </c>
      <c r="C953" s="58">
        <f t="shared" si="114"/>
        <v>171.9194128119324</v>
      </c>
      <c r="D953" s="83">
        <f t="shared" si="119"/>
        <v>733.33333333333326</v>
      </c>
      <c r="E953">
        <f t="shared" si="115"/>
        <v>0</v>
      </c>
      <c r="G953">
        <v>903</v>
      </c>
      <c r="H953" s="13">
        <f t="shared" si="120"/>
        <v>-1.0275684203264746E-2</v>
      </c>
      <c r="I953">
        <f t="shared" si="121"/>
        <v>162.64046997638434</v>
      </c>
      <c r="J953">
        <f t="shared" si="116"/>
        <v>710.48439306025296</v>
      </c>
      <c r="K953" s="27">
        <f t="shared" si="117"/>
        <v>-5186.8093160480139</v>
      </c>
    </row>
    <row r="954" spans="1:11" x14ac:dyDescent="0.25">
      <c r="A954" s="26">
        <v>904</v>
      </c>
      <c r="B954" s="82">
        <f t="shared" si="118"/>
        <v>0</v>
      </c>
      <c r="C954" s="58">
        <f t="shared" si="114"/>
        <v>171.9194128119324</v>
      </c>
      <c r="D954" s="83">
        <f t="shared" si="119"/>
        <v>733.33333333333326</v>
      </c>
      <c r="E954">
        <f t="shared" si="115"/>
        <v>0</v>
      </c>
      <c r="G954">
        <v>904</v>
      </c>
      <c r="H954" s="13">
        <f t="shared" si="120"/>
        <v>-1.0275684203264746E-2</v>
      </c>
      <c r="I954">
        <f t="shared" si="121"/>
        <v>162.63019429218107</v>
      </c>
      <c r="J954">
        <f t="shared" si="116"/>
        <v>710.45240811132419</v>
      </c>
      <c r="K954" s="27">
        <f t="shared" si="117"/>
        <v>-5186.3421477824104</v>
      </c>
    </row>
    <row r="955" spans="1:11" x14ac:dyDescent="0.25">
      <c r="A955" s="26">
        <v>905</v>
      </c>
      <c r="B955" s="82">
        <f t="shared" si="118"/>
        <v>0</v>
      </c>
      <c r="C955" s="58">
        <f t="shared" si="114"/>
        <v>171.9194128119324</v>
      </c>
      <c r="D955" s="83">
        <f t="shared" si="119"/>
        <v>733.33333333333326</v>
      </c>
      <c r="E955">
        <f t="shared" si="115"/>
        <v>0</v>
      </c>
      <c r="G955">
        <v>905</v>
      </c>
      <c r="H955" s="13">
        <f t="shared" si="120"/>
        <v>-1.0275684203264746E-2</v>
      </c>
      <c r="I955">
        <f t="shared" si="121"/>
        <v>162.61991860797781</v>
      </c>
      <c r="J955">
        <f t="shared" si="116"/>
        <v>710.42040077807519</v>
      </c>
      <c r="K955" s="27">
        <f t="shared" si="117"/>
        <v>-5185.8746734387432</v>
      </c>
    </row>
    <row r="956" spans="1:11" x14ac:dyDescent="0.25">
      <c r="A956" s="26">
        <v>906</v>
      </c>
      <c r="B956" s="82">
        <f t="shared" si="118"/>
        <v>0</v>
      </c>
      <c r="C956" s="58">
        <f t="shared" si="114"/>
        <v>171.9194128119324</v>
      </c>
      <c r="D956" s="83">
        <f t="shared" si="119"/>
        <v>733.33333333333326</v>
      </c>
      <c r="E956">
        <f t="shared" si="115"/>
        <v>0</v>
      </c>
      <c r="G956">
        <v>906</v>
      </c>
      <c r="H956" s="13">
        <f t="shared" si="120"/>
        <v>-1.0275684203264746E-2</v>
      </c>
      <c r="I956">
        <f t="shared" si="121"/>
        <v>162.60964292377454</v>
      </c>
      <c r="J956">
        <f t="shared" si="116"/>
        <v>710.38837101784975</v>
      </c>
      <c r="K956" s="27">
        <f t="shared" si="117"/>
        <v>-5185.4068924374878</v>
      </c>
    </row>
    <row r="957" spans="1:11" x14ac:dyDescent="0.25">
      <c r="A957" s="26">
        <v>907</v>
      </c>
      <c r="B957" s="82">
        <f t="shared" si="118"/>
        <v>0</v>
      </c>
      <c r="C957" s="58">
        <f t="shared" si="114"/>
        <v>171.9194128119324</v>
      </c>
      <c r="D957" s="83">
        <f t="shared" si="119"/>
        <v>733.33333333333326</v>
      </c>
      <c r="E957">
        <f t="shared" si="115"/>
        <v>0</v>
      </c>
      <c r="G957">
        <v>907</v>
      </c>
      <c r="H957" s="13">
        <f t="shared" si="120"/>
        <v>-1.0275684203264746E-2</v>
      </c>
      <c r="I957">
        <f t="shared" si="121"/>
        <v>162.59936723957128</v>
      </c>
      <c r="J957">
        <f t="shared" si="116"/>
        <v>710.35631878785284</v>
      </c>
      <c r="K957" s="27">
        <f t="shared" si="117"/>
        <v>-5184.9388041972325</v>
      </c>
    </row>
    <row r="958" spans="1:11" x14ac:dyDescent="0.25">
      <c r="A958" s="26">
        <v>908</v>
      </c>
      <c r="B958" s="82">
        <f t="shared" si="118"/>
        <v>0</v>
      </c>
      <c r="C958" s="58">
        <f t="shared" si="114"/>
        <v>171.9194128119324</v>
      </c>
      <c r="D958" s="83">
        <f t="shared" si="119"/>
        <v>733.33333333333326</v>
      </c>
      <c r="E958">
        <f t="shared" si="115"/>
        <v>0</v>
      </c>
      <c r="G958">
        <v>908</v>
      </c>
      <c r="H958" s="13">
        <f t="shared" si="120"/>
        <v>-1.0275684203264746E-2</v>
      </c>
      <c r="I958">
        <f t="shared" si="121"/>
        <v>162.58909155536801</v>
      </c>
      <c r="J958">
        <f t="shared" si="116"/>
        <v>710.32424404515052</v>
      </c>
      <c r="K958" s="27">
        <f t="shared" si="117"/>
        <v>-5184.4704081346799</v>
      </c>
    </row>
    <row r="959" spans="1:11" x14ac:dyDescent="0.25">
      <c r="A959" s="26">
        <v>909</v>
      </c>
      <c r="B959" s="82">
        <f t="shared" si="118"/>
        <v>0</v>
      </c>
      <c r="C959" s="58">
        <f t="shared" si="114"/>
        <v>171.9194128119324</v>
      </c>
      <c r="D959" s="83">
        <f t="shared" si="119"/>
        <v>733.33333333333326</v>
      </c>
      <c r="E959">
        <f t="shared" si="115"/>
        <v>0</v>
      </c>
      <c r="G959">
        <v>909</v>
      </c>
      <c r="H959" s="13">
        <f t="shared" si="120"/>
        <v>-1.0275684203264746E-2</v>
      </c>
      <c r="I959">
        <f t="shared" si="121"/>
        <v>162.57881587116475</v>
      </c>
      <c r="J959">
        <f t="shared" si="116"/>
        <v>710.29214674666912</v>
      </c>
      <c r="K959" s="27">
        <f t="shared" si="117"/>
        <v>-5184.0017036646295</v>
      </c>
    </row>
    <row r="960" spans="1:11" x14ac:dyDescent="0.25">
      <c r="A960" s="26">
        <v>910</v>
      </c>
      <c r="B960" s="82">
        <f t="shared" si="118"/>
        <v>0</v>
      </c>
      <c r="C960" s="58">
        <f t="shared" si="114"/>
        <v>171.9194128119324</v>
      </c>
      <c r="D960" s="83">
        <f t="shared" si="119"/>
        <v>733.33333333333326</v>
      </c>
      <c r="E960">
        <f t="shared" si="115"/>
        <v>0</v>
      </c>
      <c r="G960">
        <v>910</v>
      </c>
      <c r="H960" s="13">
        <f t="shared" si="120"/>
        <v>-1.0275684203264746E-2</v>
      </c>
      <c r="I960">
        <f t="shared" si="121"/>
        <v>162.56854018696149</v>
      </c>
      <c r="J960">
        <f t="shared" si="116"/>
        <v>710.26002684919467</v>
      </c>
      <c r="K960" s="27">
        <f t="shared" si="117"/>
        <v>-5183.5326901999751</v>
      </c>
    </row>
    <row r="961" spans="1:11" x14ac:dyDescent="0.25">
      <c r="A961" s="26">
        <v>911</v>
      </c>
      <c r="B961" s="82">
        <f t="shared" si="118"/>
        <v>0</v>
      </c>
      <c r="C961" s="58">
        <f t="shared" si="114"/>
        <v>171.9194128119324</v>
      </c>
      <c r="D961" s="83">
        <f t="shared" si="119"/>
        <v>733.33333333333326</v>
      </c>
      <c r="E961">
        <f t="shared" si="115"/>
        <v>0</v>
      </c>
      <c r="G961">
        <v>911</v>
      </c>
      <c r="H961" s="13">
        <f t="shared" si="120"/>
        <v>-1.0275684203264746E-2</v>
      </c>
      <c r="I961">
        <f t="shared" si="121"/>
        <v>162.55826450275822</v>
      </c>
      <c r="J961">
        <f t="shared" si="116"/>
        <v>710.22788430937203</v>
      </c>
      <c r="K961" s="27">
        <f t="shared" si="117"/>
        <v>-5183.0633671516907</v>
      </c>
    </row>
    <row r="962" spans="1:11" x14ac:dyDescent="0.25">
      <c r="A962" s="26">
        <v>912</v>
      </c>
      <c r="B962" s="82">
        <f t="shared" si="118"/>
        <v>0</v>
      </c>
      <c r="C962" s="58">
        <f t="shared" si="114"/>
        <v>171.9194128119324</v>
      </c>
      <c r="D962" s="83">
        <f t="shared" si="119"/>
        <v>733.33333333333326</v>
      </c>
      <c r="E962">
        <f t="shared" si="115"/>
        <v>0</v>
      </c>
      <c r="G962">
        <v>912</v>
      </c>
      <c r="H962" s="13">
        <f t="shared" si="120"/>
        <v>-1.0275684203264746E-2</v>
      </c>
      <c r="I962">
        <f t="shared" si="121"/>
        <v>162.54798881855496</v>
      </c>
      <c r="J962">
        <f t="shared" si="116"/>
        <v>710.19571908370449</v>
      </c>
      <c r="K962" s="27">
        <f t="shared" si="117"/>
        <v>-5182.5937339288284</v>
      </c>
    </row>
    <row r="963" spans="1:11" x14ac:dyDescent="0.25">
      <c r="A963" s="26">
        <v>913</v>
      </c>
      <c r="B963" s="82">
        <f t="shared" si="118"/>
        <v>0</v>
      </c>
      <c r="C963" s="58">
        <f t="shared" si="114"/>
        <v>171.9194128119324</v>
      </c>
      <c r="D963" s="83">
        <f t="shared" si="119"/>
        <v>733.33333333333326</v>
      </c>
      <c r="E963">
        <f t="shared" si="115"/>
        <v>0</v>
      </c>
      <c r="G963">
        <v>913</v>
      </c>
      <c r="H963" s="13">
        <f t="shared" si="120"/>
        <v>-1.0275684203264746E-2</v>
      </c>
      <c r="I963">
        <f t="shared" si="121"/>
        <v>162.53771313435169</v>
      </c>
      <c r="J963">
        <f t="shared" si="116"/>
        <v>710.16353112855325</v>
      </c>
      <c r="K963" s="27">
        <f t="shared" si="117"/>
        <v>-5182.1237899385014</v>
      </c>
    </row>
    <row r="964" spans="1:11" x14ac:dyDescent="0.25">
      <c r="A964" s="26">
        <v>914</v>
      </c>
      <c r="B964" s="82">
        <f t="shared" si="118"/>
        <v>0</v>
      </c>
      <c r="C964" s="58">
        <f t="shared" si="114"/>
        <v>171.9194128119324</v>
      </c>
      <c r="D964" s="83">
        <f t="shared" si="119"/>
        <v>733.33333333333326</v>
      </c>
      <c r="E964">
        <f t="shared" si="115"/>
        <v>0</v>
      </c>
      <c r="G964">
        <v>914</v>
      </c>
      <c r="H964" s="13">
        <f t="shared" si="120"/>
        <v>-1.0275684203264746E-2</v>
      </c>
      <c r="I964">
        <f t="shared" si="121"/>
        <v>162.52743745014843</v>
      </c>
      <c r="J964">
        <f t="shared" si="116"/>
        <v>710.13132040013602</v>
      </c>
      <c r="K964" s="27">
        <f t="shared" si="117"/>
        <v>-5181.6535345858829</v>
      </c>
    </row>
    <row r="965" spans="1:11" x14ac:dyDescent="0.25">
      <c r="A965" s="26">
        <v>915</v>
      </c>
      <c r="B965" s="82">
        <f t="shared" si="118"/>
        <v>0</v>
      </c>
      <c r="C965" s="58">
        <f t="shared" si="114"/>
        <v>171.9194128119324</v>
      </c>
      <c r="D965" s="83">
        <f t="shared" si="119"/>
        <v>733.33333333333326</v>
      </c>
      <c r="E965">
        <f t="shared" si="115"/>
        <v>0</v>
      </c>
      <c r="G965">
        <v>915</v>
      </c>
      <c r="H965" s="13">
        <f t="shared" si="120"/>
        <v>-1.0275684203264746E-2</v>
      </c>
      <c r="I965">
        <f t="shared" si="121"/>
        <v>162.51716176594516</v>
      </c>
      <c r="J965">
        <f t="shared" si="116"/>
        <v>710.09908685452763</v>
      </c>
      <c r="K965" s="27">
        <f t="shared" si="117"/>
        <v>-5181.1829672741924</v>
      </c>
    </row>
    <row r="966" spans="1:11" x14ac:dyDescent="0.25">
      <c r="A966" s="26">
        <v>916</v>
      </c>
      <c r="B966" s="82">
        <f t="shared" si="118"/>
        <v>0</v>
      </c>
      <c r="C966" s="58">
        <f t="shared" si="114"/>
        <v>171.9194128119324</v>
      </c>
      <c r="D966" s="83">
        <f t="shared" si="119"/>
        <v>733.33333333333326</v>
      </c>
      <c r="E966">
        <f t="shared" si="115"/>
        <v>0</v>
      </c>
      <c r="G966">
        <v>916</v>
      </c>
      <c r="H966" s="13">
        <f t="shared" si="120"/>
        <v>-1.0275684203264746E-2</v>
      </c>
      <c r="I966">
        <f t="shared" si="121"/>
        <v>162.5068860817419</v>
      </c>
      <c r="J966">
        <f t="shared" si="116"/>
        <v>710.06683044765805</v>
      </c>
      <c r="K966" s="27">
        <f t="shared" si="117"/>
        <v>-5180.7120874046896</v>
      </c>
    </row>
    <row r="967" spans="1:11" x14ac:dyDescent="0.25">
      <c r="A967" s="26">
        <v>917</v>
      </c>
      <c r="B967" s="82">
        <f t="shared" si="118"/>
        <v>0</v>
      </c>
      <c r="C967" s="58">
        <f t="shared" si="114"/>
        <v>171.9194128119324</v>
      </c>
      <c r="D967" s="83">
        <f t="shared" si="119"/>
        <v>733.33333333333326</v>
      </c>
      <c r="E967">
        <f t="shared" si="115"/>
        <v>0</v>
      </c>
      <c r="G967">
        <v>917</v>
      </c>
      <c r="H967" s="13">
        <f t="shared" si="120"/>
        <v>-1.0275684203264746E-2</v>
      </c>
      <c r="I967">
        <f t="shared" si="121"/>
        <v>162.49661039753863</v>
      </c>
      <c r="J967">
        <f t="shared" si="116"/>
        <v>710.03455113531254</v>
      </c>
      <c r="K967" s="27">
        <f t="shared" si="117"/>
        <v>-5180.2408943766595</v>
      </c>
    </row>
    <row r="968" spans="1:11" x14ac:dyDescent="0.25">
      <c r="A968" s="26">
        <v>918</v>
      </c>
      <c r="B968" s="82">
        <f t="shared" si="118"/>
        <v>0</v>
      </c>
      <c r="C968" s="58">
        <f t="shared" si="114"/>
        <v>171.9194128119324</v>
      </c>
      <c r="D968" s="83">
        <f t="shared" si="119"/>
        <v>733.33333333333326</v>
      </c>
      <c r="E968">
        <f t="shared" si="115"/>
        <v>0</v>
      </c>
      <c r="G968">
        <v>918</v>
      </c>
      <c r="H968" s="13">
        <f t="shared" si="120"/>
        <v>-1.0275684203264746E-2</v>
      </c>
      <c r="I968">
        <f t="shared" si="121"/>
        <v>162.48633471333537</v>
      </c>
      <c r="J968">
        <f t="shared" si="116"/>
        <v>710.00224887313061</v>
      </c>
      <c r="K968" s="27">
        <f t="shared" si="117"/>
        <v>-5179.7693875874093</v>
      </c>
    </row>
    <row r="969" spans="1:11" x14ac:dyDescent="0.25">
      <c r="A969" s="26">
        <v>919</v>
      </c>
      <c r="B969" s="82">
        <f t="shared" si="118"/>
        <v>0</v>
      </c>
      <c r="C969" s="58">
        <f t="shared" si="114"/>
        <v>171.9194128119324</v>
      </c>
      <c r="D969" s="83">
        <f t="shared" si="119"/>
        <v>733.33333333333326</v>
      </c>
      <c r="E969">
        <f t="shared" si="115"/>
        <v>0</v>
      </c>
      <c r="G969">
        <v>919</v>
      </c>
      <c r="H969" s="13">
        <f t="shared" si="120"/>
        <v>-1.0275684203264746E-2</v>
      </c>
      <c r="I969">
        <f t="shared" si="121"/>
        <v>162.4760590291321</v>
      </c>
      <c r="J969">
        <f t="shared" si="116"/>
        <v>709.96992361660568</v>
      </c>
      <c r="K969" s="27">
        <f t="shared" si="117"/>
        <v>-5179.2975664322612</v>
      </c>
    </row>
    <row r="970" spans="1:11" x14ac:dyDescent="0.25">
      <c r="A970" s="26">
        <v>920</v>
      </c>
      <c r="B970" s="82">
        <f t="shared" si="118"/>
        <v>0</v>
      </c>
      <c r="C970" s="58">
        <f t="shared" si="114"/>
        <v>171.9194128119324</v>
      </c>
      <c r="D970" s="83">
        <f t="shared" si="119"/>
        <v>733.33333333333326</v>
      </c>
      <c r="E970">
        <f t="shared" si="115"/>
        <v>0</v>
      </c>
      <c r="G970">
        <v>920</v>
      </c>
      <c r="H970" s="13">
        <f t="shared" si="120"/>
        <v>-1.0275684203264746E-2</v>
      </c>
      <c r="I970">
        <f t="shared" si="121"/>
        <v>162.46578334492884</v>
      </c>
      <c r="J970">
        <f t="shared" si="116"/>
        <v>709.93757532108418</v>
      </c>
      <c r="K970" s="27">
        <f t="shared" si="117"/>
        <v>-5178.8254303045333</v>
      </c>
    </row>
    <row r="971" spans="1:11" x14ac:dyDescent="0.25">
      <c r="A971" s="26">
        <v>921</v>
      </c>
      <c r="B971" s="82">
        <f t="shared" si="118"/>
        <v>0</v>
      </c>
      <c r="C971" s="58">
        <f t="shared" si="114"/>
        <v>171.9194128119324</v>
      </c>
      <c r="D971" s="83">
        <f t="shared" si="119"/>
        <v>733.33333333333326</v>
      </c>
      <c r="E971">
        <f t="shared" si="115"/>
        <v>0</v>
      </c>
      <c r="G971">
        <v>921</v>
      </c>
      <c r="H971" s="13">
        <f t="shared" si="120"/>
        <v>-1.0275684203264746E-2</v>
      </c>
      <c r="I971">
        <f t="shared" si="121"/>
        <v>162.45550766072557</v>
      </c>
      <c r="J971">
        <f t="shared" si="116"/>
        <v>709.90520394176474</v>
      </c>
      <c r="K971" s="27">
        <f t="shared" si="117"/>
        <v>-5178.3529785955416</v>
      </c>
    </row>
    <row r="972" spans="1:11" x14ac:dyDescent="0.25">
      <c r="A972" s="26">
        <v>922</v>
      </c>
      <c r="B972" s="82">
        <f t="shared" si="118"/>
        <v>0</v>
      </c>
      <c r="C972" s="58">
        <f t="shared" si="114"/>
        <v>171.9194128119324</v>
      </c>
      <c r="D972" s="83">
        <f t="shared" si="119"/>
        <v>733.33333333333326</v>
      </c>
      <c r="E972">
        <f t="shared" si="115"/>
        <v>0</v>
      </c>
      <c r="G972">
        <v>922</v>
      </c>
      <c r="H972" s="13">
        <f t="shared" si="120"/>
        <v>-1.0275684203264746E-2</v>
      </c>
      <c r="I972">
        <f t="shared" si="121"/>
        <v>162.44523197652231</v>
      </c>
      <c r="J972">
        <f t="shared" si="116"/>
        <v>709.87280943369774</v>
      </c>
      <c r="K972" s="27">
        <f t="shared" si="117"/>
        <v>-5177.8802106945823</v>
      </c>
    </row>
    <row r="973" spans="1:11" x14ac:dyDescent="0.25">
      <c r="A973" s="26">
        <v>923</v>
      </c>
      <c r="B973" s="82">
        <f t="shared" si="118"/>
        <v>0</v>
      </c>
      <c r="C973" s="58">
        <f t="shared" si="114"/>
        <v>171.9194128119324</v>
      </c>
      <c r="D973" s="83">
        <f t="shared" si="119"/>
        <v>733.33333333333326</v>
      </c>
      <c r="E973">
        <f t="shared" si="115"/>
        <v>0</v>
      </c>
      <c r="G973">
        <v>923</v>
      </c>
      <c r="H973" s="13">
        <f t="shared" si="120"/>
        <v>-1.0275684203264746E-2</v>
      </c>
      <c r="I973">
        <f t="shared" si="121"/>
        <v>162.43495629231904</v>
      </c>
      <c r="J973">
        <f t="shared" si="116"/>
        <v>709.84039175178464</v>
      </c>
      <c r="K973" s="27">
        <f t="shared" si="117"/>
        <v>-5177.407125988927</v>
      </c>
    </row>
    <row r="974" spans="1:11" x14ac:dyDescent="0.25">
      <c r="A974" s="26">
        <v>924</v>
      </c>
      <c r="B974" s="82">
        <f t="shared" si="118"/>
        <v>0</v>
      </c>
      <c r="C974" s="58">
        <f t="shared" si="114"/>
        <v>171.9194128119324</v>
      </c>
      <c r="D974" s="83">
        <f t="shared" si="119"/>
        <v>733.33333333333326</v>
      </c>
      <c r="E974">
        <f t="shared" si="115"/>
        <v>0</v>
      </c>
      <c r="G974">
        <v>924</v>
      </c>
      <c r="H974" s="13">
        <f t="shared" si="120"/>
        <v>-1.0275684203264746E-2</v>
      </c>
      <c r="I974">
        <f t="shared" si="121"/>
        <v>162.42468060811578</v>
      </c>
      <c r="J974">
        <f t="shared" si="116"/>
        <v>709.80795085077705</v>
      </c>
      <c r="K974" s="27">
        <f t="shared" si="117"/>
        <v>-5176.9337238638118</v>
      </c>
    </row>
    <row r="975" spans="1:11" x14ac:dyDescent="0.25">
      <c r="A975" s="26">
        <v>925</v>
      </c>
      <c r="B975" s="82">
        <f t="shared" si="118"/>
        <v>0</v>
      </c>
      <c r="C975" s="58">
        <f t="shared" si="114"/>
        <v>171.9194128119324</v>
      </c>
      <c r="D975" s="83">
        <f t="shared" si="119"/>
        <v>733.33333333333326</v>
      </c>
      <c r="E975">
        <f t="shared" si="115"/>
        <v>0</v>
      </c>
      <c r="G975">
        <v>925</v>
      </c>
      <c r="H975" s="13">
        <f t="shared" si="120"/>
        <v>-1.0275684203264746E-2</v>
      </c>
      <c r="I975">
        <f t="shared" si="121"/>
        <v>162.41440492391251</v>
      </c>
      <c r="J975">
        <f t="shared" si="116"/>
        <v>709.77548668527629</v>
      </c>
      <c r="K975" s="27">
        <f t="shared" si="117"/>
        <v>-5176.4600037024265</v>
      </c>
    </row>
    <row r="976" spans="1:11" x14ac:dyDescent="0.25">
      <c r="A976" s="26">
        <v>926</v>
      </c>
      <c r="B976" s="82">
        <f t="shared" si="118"/>
        <v>0</v>
      </c>
      <c r="C976" s="58">
        <f t="shared" ref="C976:C1039" si="122">($C$37-$C$36)/2000+C975</f>
        <v>171.9194128119324</v>
      </c>
      <c r="D976" s="83">
        <f t="shared" si="119"/>
        <v>733.33333333333326</v>
      </c>
      <c r="E976">
        <f t="shared" si="115"/>
        <v>0</v>
      </c>
      <c r="G976">
        <v>926</v>
      </c>
      <c r="H976" s="13">
        <f t="shared" si="120"/>
        <v>-1.0275684203264746E-2</v>
      </c>
      <c r="I976">
        <f t="shared" si="121"/>
        <v>162.40412923970925</v>
      </c>
      <c r="J976">
        <f t="shared" si="116"/>
        <v>709.74299920973226</v>
      </c>
      <c r="K976" s="27">
        <f t="shared" si="117"/>
        <v>-5175.9859648859074</v>
      </c>
    </row>
    <row r="977" spans="1:11" x14ac:dyDescent="0.25">
      <c r="A977" s="26">
        <v>927</v>
      </c>
      <c r="B977" s="82">
        <f t="shared" si="118"/>
        <v>0</v>
      </c>
      <c r="C977" s="58">
        <f t="shared" si="122"/>
        <v>171.9194128119324</v>
      </c>
      <c r="D977" s="83">
        <f t="shared" si="119"/>
        <v>733.33333333333326</v>
      </c>
      <c r="E977">
        <f t="shared" si="115"/>
        <v>0</v>
      </c>
      <c r="G977">
        <v>927</v>
      </c>
      <c r="H977" s="13">
        <f t="shared" si="120"/>
        <v>-1.0275684203264746E-2</v>
      </c>
      <c r="I977">
        <f t="shared" si="121"/>
        <v>162.39385355550598</v>
      </c>
      <c r="J977">
        <f t="shared" si="116"/>
        <v>709.71048837844353</v>
      </c>
      <c r="K977" s="27">
        <f t="shared" si="117"/>
        <v>-5175.5116067933277</v>
      </c>
    </row>
    <row r="978" spans="1:11" x14ac:dyDescent="0.25">
      <c r="A978" s="26">
        <v>928</v>
      </c>
      <c r="B978" s="82">
        <f t="shared" si="118"/>
        <v>0</v>
      </c>
      <c r="C978" s="58">
        <f t="shared" si="122"/>
        <v>171.9194128119324</v>
      </c>
      <c r="D978" s="83">
        <f t="shared" si="119"/>
        <v>733.33333333333326</v>
      </c>
      <c r="E978">
        <f t="shared" si="115"/>
        <v>0</v>
      </c>
      <c r="G978">
        <v>928</v>
      </c>
      <c r="H978" s="13">
        <f t="shared" si="120"/>
        <v>-1.0275684203264746E-2</v>
      </c>
      <c r="I978">
        <f t="shared" si="121"/>
        <v>162.38357787130272</v>
      </c>
      <c r="J978">
        <f t="shared" si="116"/>
        <v>709.67795414555576</v>
      </c>
      <c r="K978" s="27">
        <f t="shared" si="117"/>
        <v>-5175.0369288016864</v>
      </c>
    </row>
    <row r="979" spans="1:11" x14ac:dyDescent="0.25">
      <c r="A979" s="26">
        <v>929</v>
      </c>
      <c r="B979" s="82">
        <f t="shared" si="118"/>
        <v>0</v>
      </c>
      <c r="C979" s="58">
        <f t="shared" si="122"/>
        <v>171.9194128119324</v>
      </c>
      <c r="D979" s="83">
        <f t="shared" si="119"/>
        <v>733.33333333333326</v>
      </c>
      <c r="E979">
        <f t="shared" si="115"/>
        <v>0</v>
      </c>
      <c r="G979">
        <v>929</v>
      </c>
      <c r="H979" s="13">
        <f t="shared" si="120"/>
        <v>-1.0275684203264746E-2</v>
      </c>
      <c r="I979">
        <f t="shared" si="121"/>
        <v>162.37330218709945</v>
      </c>
      <c r="J979">
        <f t="shared" si="116"/>
        <v>709.64539646506159</v>
      </c>
      <c r="K979" s="27">
        <f t="shared" si="117"/>
        <v>-5174.5619302858968</v>
      </c>
    </row>
    <row r="980" spans="1:11" x14ac:dyDescent="0.25">
      <c r="A980" s="26">
        <v>930</v>
      </c>
      <c r="B980" s="82">
        <f t="shared" si="118"/>
        <v>0</v>
      </c>
      <c r="C980" s="58">
        <f t="shared" si="122"/>
        <v>171.9194128119324</v>
      </c>
      <c r="D980" s="83">
        <f t="shared" si="119"/>
        <v>733.33333333333326</v>
      </c>
      <c r="E980">
        <f t="shared" si="115"/>
        <v>0</v>
      </c>
      <c r="G980">
        <v>930</v>
      </c>
      <c r="H980" s="13">
        <f t="shared" si="120"/>
        <v>-1.0275684203264746E-2</v>
      </c>
      <c r="I980">
        <f t="shared" si="121"/>
        <v>162.36302650289619</v>
      </c>
      <c r="J980">
        <f t="shared" si="116"/>
        <v>709.6128152907994</v>
      </c>
      <c r="K980" s="27">
        <f t="shared" si="117"/>
        <v>-5174.0866106187814</v>
      </c>
    </row>
    <row r="981" spans="1:11" x14ac:dyDescent="0.25">
      <c r="A981" s="26">
        <v>931</v>
      </c>
      <c r="B981" s="82">
        <f t="shared" si="118"/>
        <v>0</v>
      </c>
      <c r="C981" s="58">
        <f t="shared" si="122"/>
        <v>171.9194128119324</v>
      </c>
      <c r="D981" s="83">
        <f t="shared" si="119"/>
        <v>733.33333333333326</v>
      </c>
      <c r="E981">
        <f t="shared" si="115"/>
        <v>0</v>
      </c>
      <c r="G981">
        <v>931</v>
      </c>
      <c r="H981" s="13">
        <f t="shared" si="120"/>
        <v>-1.0275684203264746E-2</v>
      </c>
      <c r="I981">
        <f t="shared" si="121"/>
        <v>162.35275081869293</v>
      </c>
      <c r="J981">
        <f t="shared" si="116"/>
        <v>709.58021057645317</v>
      </c>
      <c r="K981" s="27">
        <f t="shared" si="117"/>
        <v>-5173.6109691710571</v>
      </c>
    </row>
    <row r="982" spans="1:11" x14ac:dyDescent="0.25">
      <c r="A982" s="26">
        <v>932</v>
      </c>
      <c r="B982" s="82">
        <f t="shared" si="118"/>
        <v>0</v>
      </c>
      <c r="C982" s="58">
        <f t="shared" si="122"/>
        <v>171.9194128119324</v>
      </c>
      <c r="D982" s="83">
        <f t="shared" si="119"/>
        <v>733.33333333333326</v>
      </c>
      <c r="E982">
        <f t="shared" si="115"/>
        <v>0</v>
      </c>
      <c r="G982">
        <v>932</v>
      </c>
      <c r="H982" s="13">
        <f t="shared" si="120"/>
        <v>-1.0275684203264746E-2</v>
      </c>
      <c r="I982">
        <f t="shared" si="121"/>
        <v>162.34247513448966</v>
      </c>
      <c r="J982">
        <f t="shared" si="116"/>
        <v>709.54758227555124</v>
      </c>
      <c r="K982" s="27">
        <f t="shared" si="117"/>
        <v>-5173.1350053113301</v>
      </c>
    </row>
    <row r="983" spans="1:11" x14ac:dyDescent="0.25">
      <c r="A983" s="26">
        <v>933</v>
      </c>
      <c r="B983" s="82">
        <f t="shared" si="118"/>
        <v>0</v>
      </c>
      <c r="C983" s="58">
        <f t="shared" si="122"/>
        <v>171.9194128119324</v>
      </c>
      <c r="D983" s="83">
        <f t="shared" si="119"/>
        <v>733.33333333333326</v>
      </c>
      <c r="E983">
        <f t="shared" si="115"/>
        <v>0</v>
      </c>
      <c r="G983">
        <v>933</v>
      </c>
      <c r="H983" s="13">
        <f t="shared" si="120"/>
        <v>-1.0275684203264746E-2</v>
      </c>
      <c r="I983">
        <f t="shared" si="121"/>
        <v>162.3321994502864</v>
      </c>
      <c r="J983">
        <f t="shared" si="116"/>
        <v>709.51493034146608</v>
      </c>
      <c r="K983" s="27">
        <f t="shared" si="117"/>
        <v>-5172.6587184060836</v>
      </c>
    </row>
    <row r="984" spans="1:11" x14ac:dyDescent="0.25">
      <c r="A984" s="26">
        <v>934</v>
      </c>
      <c r="B984" s="82">
        <f t="shared" si="118"/>
        <v>0</v>
      </c>
      <c r="C984" s="58">
        <f t="shared" si="122"/>
        <v>171.9194128119324</v>
      </c>
      <c r="D984" s="83">
        <f t="shared" si="119"/>
        <v>733.33333333333326</v>
      </c>
      <c r="E984">
        <f t="shared" si="115"/>
        <v>0</v>
      </c>
      <c r="G984">
        <v>934</v>
      </c>
      <c r="H984" s="13">
        <f t="shared" si="120"/>
        <v>-1.0275684203264746E-2</v>
      </c>
      <c r="I984">
        <f t="shared" si="121"/>
        <v>162.32192376608313</v>
      </c>
      <c r="J984">
        <f t="shared" si="116"/>
        <v>709.48225472741296</v>
      </c>
      <c r="K984" s="27">
        <f t="shared" si="117"/>
        <v>-5172.1821078196654</v>
      </c>
    </row>
    <row r="985" spans="1:11" x14ac:dyDescent="0.25">
      <c r="A985" s="26">
        <v>935</v>
      </c>
      <c r="B985" s="82">
        <f t="shared" si="118"/>
        <v>0</v>
      </c>
      <c r="C985" s="58">
        <f t="shared" si="122"/>
        <v>171.9194128119324</v>
      </c>
      <c r="D985" s="83">
        <f t="shared" si="119"/>
        <v>733.33333333333326</v>
      </c>
      <c r="E985">
        <f t="shared" si="115"/>
        <v>0</v>
      </c>
      <c r="G985">
        <v>935</v>
      </c>
      <c r="H985" s="13">
        <f t="shared" si="120"/>
        <v>-1.0275684203264746E-2</v>
      </c>
      <c r="I985">
        <f t="shared" si="121"/>
        <v>162.31164808187987</v>
      </c>
      <c r="J985">
        <f t="shared" si="116"/>
        <v>709.44955538644967</v>
      </c>
      <c r="K985" s="27">
        <f t="shared" si="117"/>
        <v>-5171.705172914284</v>
      </c>
    </row>
    <row r="986" spans="1:11" x14ac:dyDescent="0.25">
      <c r="A986" s="26">
        <v>936</v>
      </c>
      <c r="B986" s="82">
        <f t="shared" si="118"/>
        <v>0</v>
      </c>
      <c r="C986" s="58">
        <f t="shared" si="122"/>
        <v>171.9194128119324</v>
      </c>
      <c r="D986" s="83">
        <f t="shared" si="119"/>
        <v>733.33333333333326</v>
      </c>
      <c r="E986">
        <f t="shared" si="115"/>
        <v>0</v>
      </c>
      <c r="G986">
        <v>936</v>
      </c>
      <c r="H986" s="13">
        <f t="shared" si="120"/>
        <v>-1.0275684203264746E-2</v>
      </c>
      <c r="I986">
        <f t="shared" si="121"/>
        <v>162.3013723976766</v>
      </c>
      <c r="J986">
        <f t="shared" si="116"/>
        <v>709.41683227147564</v>
      </c>
      <c r="K986" s="27">
        <f t="shared" si="117"/>
        <v>-5171.2279130499874</v>
      </c>
    </row>
    <row r="987" spans="1:11" x14ac:dyDescent="0.25">
      <c r="A987" s="26">
        <v>937</v>
      </c>
      <c r="B987" s="82">
        <f t="shared" si="118"/>
        <v>0</v>
      </c>
      <c r="C987" s="58">
        <f t="shared" si="122"/>
        <v>171.9194128119324</v>
      </c>
      <c r="D987" s="83">
        <f t="shared" si="119"/>
        <v>733.33333333333326</v>
      </c>
      <c r="E987">
        <f t="shared" si="115"/>
        <v>0</v>
      </c>
      <c r="G987">
        <v>937</v>
      </c>
      <c r="H987" s="13">
        <f t="shared" si="120"/>
        <v>-1.0275684203264746E-2</v>
      </c>
      <c r="I987">
        <f t="shared" si="121"/>
        <v>162.29109671347334</v>
      </c>
      <c r="J987">
        <f t="shared" si="116"/>
        <v>709.38408533523102</v>
      </c>
      <c r="K987" s="27">
        <f t="shared" si="117"/>
        <v>-5170.7503275846675</v>
      </c>
    </row>
    <row r="988" spans="1:11" x14ac:dyDescent="0.25">
      <c r="A988" s="26">
        <v>938</v>
      </c>
      <c r="B988" s="82">
        <f t="shared" si="118"/>
        <v>0</v>
      </c>
      <c r="C988" s="58">
        <f t="shared" si="122"/>
        <v>171.9194128119324</v>
      </c>
      <c r="D988" s="83">
        <f t="shared" si="119"/>
        <v>733.33333333333326</v>
      </c>
      <c r="E988">
        <f t="shared" si="115"/>
        <v>0</v>
      </c>
      <c r="G988">
        <v>938</v>
      </c>
      <c r="H988" s="13">
        <f t="shared" si="120"/>
        <v>-1.0275684203264746E-2</v>
      </c>
      <c r="I988">
        <f t="shared" si="121"/>
        <v>162.28082102927007</v>
      </c>
      <c r="J988">
        <f t="shared" si="116"/>
        <v>709.35131453029624</v>
      </c>
      <c r="K988" s="27">
        <f t="shared" si="117"/>
        <v>-5170.2724158740393</v>
      </c>
    </row>
    <row r="989" spans="1:11" x14ac:dyDescent="0.25">
      <c r="A989" s="26">
        <v>939</v>
      </c>
      <c r="B989" s="82">
        <f t="shared" si="118"/>
        <v>0</v>
      </c>
      <c r="C989" s="58">
        <f t="shared" si="122"/>
        <v>171.9194128119324</v>
      </c>
      <c r="D989" s="83">
        <f t="shared" si="119"/>
        <v>733.33333333333326</v>
      </c>
      <c r="E989">
        <f t="shared" si="115"/>
        <v>0</v>
      </c>
      <c r="G989">
        <v>939</v>
      </c>
      <c r="H989" s="13">
        <f t="shared" si="120"/>
        <v>-1.0275684203264746E-2</v>
      </c>
      <c r="I989">
        <f t="shared" si="121"/>
        <v>162.27054534506681</v>
      </c>
      <c r="J989">
        <f t="shared" si="116"/>
        <v>709.31851980909119</v>
      </c>
      <c r="K989" s="27">
        <f t="shared" si="117"/>
        <v>-5169.7941772716349</v>
      </c>
    </row>
    <row r="990" spans="1:11" x14ac:dyDescent="0.25">
      <c r="A990" s="26">
        <v>940</v>
      </c>
      <c r="B990" s="82">
        <f t="shared" si="118"/>
        <v>0</v>
      </c>
      <c r="C990" s="58">
        <f t="shared" si="122"/>
        <v>171.9194128119324</v>
      </c>
      <c r="D990" s="83">
        <f t="shared" si="119"/>
        <v>733.33333333333326</v>
      </c>
      <c r="E990">
        <f t="shared" si="115"/>
        <v>0</v>
      </c>
      <c r="G990">
        <v>940</v>
      </c>
      <c r="H990" s="13">
        <f t="shared" si="120"/>
        <v>-1.0275684203264746E-2</v>
      </c>
      <c r="I990">
        <f t="shared" si="121"/>
        <v>162.26026966086354</v>
      </c>
      <c r="J990">
        <f t="shared" si="116"/>
        <v>709.28570112387388</v>
      </c>
      <c r="K990" s="27">
        <f t="shared" si="117"/>
        <v>-5169.315611128789</v>
      </c>
    </row>
    <row r="991" spans="1:11" x14ac:dyDescent="0.25">
      <c r="A991" s="26">
        <v>941</v>
      </c>
      <c r="B991" s="82">
        <f t="shared" si="118"/>
        <v>0</v>
      </c>
      <c r="C991" s="58">
        <f t="shared" si="122"/>
        <v>171.9194128119324</v>
      </c>
      <c r="D991" s="83">
        <f t="shared" si="119"/>
        <v>733.33333333333326</v>
      </c>
      <c r="E991">
        <f t="shared" si="115"/>
        <v>0</v>
      </c>
      <c r="G991">
        <v>941</v>
      </c>
      <c r="H991" s="13">
        <f t="shared" si="120"/>
        <v>-1.0275684203264746E-2</v>
      </c>
      <c r="I991">
        <f t="shared" si="121"/>
        <v>162.24999397666028</v>
      </c>
      <c r="J991">
        <f t="shared" si="116"/>
        <v>709.25285842674077</v>
      </c>
      <c r="K991" s="27">
        <f t="shared" si="117"/>
        <v>-5168.8367167946353</v>
      </c>
    </row>
    <row r="992" spans="1:11" x14ac:dyDescent="0.25">
      <c r="A992" s="26">
        <v>942</v>
      </c>
      <c r="B992" s="82">
        <f t="shared" si="118"/>
        <v>0</v>
      </c>
      <c r="C992" s="58">
        <f t="shared" si="122"/>
        <v>171.9194128119324</v>
      </c>
      <c r="D992" s="83">
        <f t="shared" si="119"/>
        <v>733.33333333333326</v>
      </c>
      <c r="E992">
        <f t="shared" si="115"/>
        <v>0</v>
      </c>
      <c r="G992">
        <v>942</v>
      </c>
      <c r="H992" s="13">
        <f t="shared" si="120"/>
        <v>-1.0275684203264746E-2</v>
      </c>
      <c r="I992">
        <f t="shared" si="121"/>
        <v>162.23971829245701</v>
      </c>
      <c r="J992">
        <f t="shared" si="116"/>
        <v>709.21999166962485</v>
      </c>
      <c r="K992" s="27">
        <f t="shared" si="117"/>
        <v>-5168.3574936160885</v>
      </c>
    </row>
    <row r="993" spans="1:11" x14ac:dyDescent="0.25">
      <c r="A993" s="26">
        <v>943</v>
      </c>
      <c r="B993" s="82">
        <f t="shared" si="118"/>
        <v>0</v>
      </c>
      <c r="C993" s="58">
        <f t="shared" si="122"/>
        <v>171.9194128119324</v>
      </c>
      <c r="D993" s="83">
        <f t="shared" si="119"/>
        <v>733.33333333333326</v>
      </c>
      <c r="E993">
        <f t="shared" si="115"/>
        <v>0</v>
      </c>
      <c r="G993">
        <v>943</v>
      </c>
      <c r="H993" s="13">
        <f t="shared" si="120"/>
        <v>-1.0275684203264746E-2</v>
      </c>
      <c r="I993">
        <f t="shared" si="121"/>
        <v>162.22944260825375</v>
      </c>
      <c r="J993">
        <f t="shared" si="116"/>
        <v>709.1871008042956</v>
      </c>
      <c r="K993" s="27">
        <f t="shared" si="117"/>
        <v>-5167.8779409378376</v>
      </c>
    </row>
    <row r="994" spans="1:11" x14ac:dyDescent="0.25">
      <c r="A994" s="26">
        <v>944</v>
      </c>
      <c r="B994" s="82">
        <f t="shared" si="118"/>
        <v>0</v>
      </c>
      <c r="C994" s="58">
        <f t="shared" si="122"/>
        <v>171.9194128119324</v>
      </c>
      <c r="D994" s="83">
        <f t="shared" si="119"/>
        <v>733.33333333333326</v>
      </c>
      <c r="E994">
        <f t="shared" si="115"/>
        <v>0</v>
      </c>
      <c r="G994">
        <v>944</v>
      </c>
      <c r="H994" s="13">
        <f t="shared" si="120"/>
        <v>-1.0275684203264746E-2</v>
      </c>
      <c r="I994">
        <f t="shared" si="121"/>
        <v>162.21916692405048</v>
      </c>
      <c r="J994">
        <f t="shared" si="116"/>
        <v>709.15418578235801</v>
      </c>
      <c r="K994" s="27">
        <f t="shared" si="117"/>
        <v>-5167.3980581023361</v>
      </c>
    </row>
    <row r="995" spans="1:11" x14ac:dyDescent="0.25">
      <c r="A995" s="26">
        <v>945</v>
      </c>
      <c r="B995" s="82">
        <f t="shared" si="118"/>
        <v>0</v>
      </c>
      <c r="C995" s="58">
        <f t="shared" si="122"/>
        <v>171.9194128119324</v>
      </c>
      <c r="D995" s="83">
        <f t="shared" si="119"/>
        <v>733.33333333333326</v>
      </c>
      <c r="E995">
        <f t="shared" si="115"/>
        <v>0</v>
      </c>
      <c r="G995">
        <v>945</v>
      </c>
      <c r="H995" s="13">
        <f t="shared" si="120"/>
        <v>-1.0275684203264746E-2</v>
      </c>
      <c r="I995">
        <f t="shared" si="121"/>
        <v>162.20889123984722</v>
      </c>
      <c r="J995">
        <f t="shared" si="116"/>
        <v>709.12124655525156</v>
      </c>
      <c r="K995" s="27">
        <f t="shared" si="117"/>
        <v>-5166.9178444497893</v>
      </c>
    </row>
    <row r="996" spans="1:11" x14ac:dyDescent="0.25">
      <c r="A996" s="26">
        <v>946</v>
      </c>
      <c r="B996" s="82">
        <f t="shared" si="118"/>
        <v>0</v>
      </c>
      <c r="C996" s="58">
        <f t="shared" si="122"/>
        <v>171.9194128119324</v>
      </c>
      <c r="D996" s="83">
        <f t="shared" si="119"/>
        <v>733.33333333333326</v>
      </c>
      <c r="E996">
        <f t="shared" si="115"/>
        <v>0</v>
      </c>
      <c r="G996">
        <v>946</v>
      </c>
      <c r="H996" s="13">
        <f t="shared" si="120"/>
        <v>-1.0275684203264746E-2</v>
      </c>
      <c r="I996">
        <f t="shared" si="121"/>
        <v>162.19861555564395</v>
      </c>
      <c r="J996">
        <f t="shared" si="116"/>
        <v>709.08828307425006</v>
      </c>
      <c r="K996" s="27">
        <f t="shared" si="117"/>
        <v>-5166.4372993181441</v>
      </c>
    </row>
    <row r="997" spans="1:11" x14ac:dyDescent="0.25">
      <c r="A997" s="26">
        <v>947</v>
      </c>
      <c r="B997" s="82">
        <f t="shared" si="118"/>
        <v>0</v>
      </c>
      <c r="C997" s="58">
        <f t="shared" si="122"/>
        <v>171.9194128119324</v>
      </c>
      <c r="D997" s="83">
        <f t="shared" si="119"/>
        <v>733.33333333333326</v>
      </c>
      <c r="E997">
        <f t="shared" si="115"/>
        <v>0</v>
      </c>
      <c r="G997">
        <v>947</v>
      </c>
      <c r="H997" s="13">
        <f t="shared" si="120"/>
        <v>-1.0275684203264746E-2</v>
      </c>
      <c r="I997">
        <f t="shared" si="121"/>
        <v>162.18833987144069</v>
      </c>
      <c r="J997">
        <f t="shared" si="116"/>
        <v>709.05529529045987</v>
      </c>
      <c r="K997" s="27">
        <f t="shared" si="117"/>
        <v>-5165.9564220430784</v>
      </c>
    </row>
    <row r="998" spans="1:11" x14ac:dyDescent="0.25">
      <c r="A998" s="26">
        <v>948</v>
      </c>
      <c r="B998" s="82">
        <f t="shared" si="118"/>
        <v>0</v>
      </c>
      <c r="C998" s="58">
        <f t="shared" si="122"/>
        <v>171.9194128119324</v>
      </c>
      <c r="D998" s="83">
        <f t="shared" si="119"/>
        <v>733.33333333333326</v>
      </c>
      <c r="E998">
        <f t="shared" si="115"/>
        <v>0</v>
      </c>
      <c r="G998">
        <v>948</v>
      </c>
      <c r="H998" s="13">
        <f t="shared" si="120"/>
        <v>-1.0275684203264746E-2</v>
      </c>
      <c r="I998">
        <f t="shared" si="121"/>
        <v>162.17806418723742</v>
      </c>
      <c r="J998">
        <f t="shared" si="116"/>
        <v>709.02228315482</v>
      </c>
      <c r="K998" s="27">
        <f t="shared" si="117"/>
        <v>-5165.4752119579907</v>
      </c>
    </row>
    <row r="999" spans="1:11" x14ac:dyDescent="0.25">
      <c r="A999" s="26">
        <v>949</v>
      </c>
      <c r="B999" s="82">
        <f t="shared" si="118"/>
        <v>0</v>
      </c>
      <c r="C999" s="58">
        <f t="shared" si="122"/>
        <v>171.9194128119324</v>
      </c>
      <c r="D999" s="83">
        <f t="shared" si="119"/>
        <v>733.33333333333326</v>
      </c>
      <c r="E999">
        <f t="shared" si="115"/>
        <v>0</v>
      </c>
      <c r="G999">
        <v>949</v>
      </c>
      <c r="H999" s="13">
        <f t="shared" si="120"/>
        <v>-1.0275684203264746E-2</v>
      </c>
      <c r="I999">
        <f t="shared" si="121"/>
        <v>162.16778850303416</v>
      </c>
      <c r="J999">
        <f t="shared" si="116"/>
        <v>708.98924661810099</v>
      </c>
      <c r="K999" s="27">
        <f t="shared" si="117"/>
        <v>-5164.9936683939868</v>
      </c>
    </row>
    <row r="1000" spans="1:11" x14ac:dyDescent="0.25">
      <c r="A1000" s="26">
        <v>950</v>
      </c>
      <c r="B1000" s="82">
        <f t="shared" si="118"/>
        <v>0</v>
      </c>
      <c r="C1000" s="58">
        <f t="shared" si="122"/>
        <v>171.9194128119324</v>
      </c>
      <c r="D1000" s="83">
        <f t="shared" si="119"/>
        <v>733.33333333333326</v>
      </c>
      <c r="E1000">
        <f t="shared" si="115"/>
        <v>0</v>
      </c>
      <c r="G1000">
        <v>950</v>
      </c>
      <c r="H1000" s="13">
        <f t="shared" si="120"/>
        <v>-1.0275684203264746E-2</v>
      </c>
      <c r="I1000">
        <f t="shared" si="121"/>
        <v>162.1575128188309</v>
      </c>
      <c r="J1000">
        <f t="shared" si="116"/>
        <v>708.95618563090386</v>
      </c>
      <c r="K1000" s="27">
        <f t="shared" si="117"/>
        <v>-5164.5117906798705</v>
      </c>
    </row>
    <row r="1001" spans="1:11" x14ac:dyDescent="0.25">
      <c r="A1001" s="26">
        <v>951</v>
      </c>
      <c r="B1001" s="82">
        <f t="shared" si="118"/>
        <v>0</v>
      </c>
      <c r="C1001" s="58">
        <f t="shared" si="122"/>
        <v>171.9194128119324</v>
      </c>
      <c r="D1001" s="83">
        <f t="shared" si="119"/>
        <v>733.33333333333326</v>
      </c>
      <c r="E1001">
        <f t="shared" si="115"/>
        <v>0</v>
      </c>
      <c r="G1001">
        <v>951</v>
      </c>
      <c r="H1001" s="13">
        <f t="shared" si="120"/>
        <v>-1.0275684203264746E-2</v>
      </c>
      <c r="I1001">
        <f t="shared" si="121"/>
        <v>162.14723713462763</v>
      </c>
      <c r="J1001">
        <f t="shared" si="116"/>
        <v>708.92310014365955</v>
      </c>
      <c r="K1001" s="27">
        <f t="shared" si="117"/>
        <v>-5164.029578142131</v>
      </c>
    </row>
    <row r="1002" spans="1:11" x14ac:dyDescent="0.25">
      <c r="A1002" s="26">
        <v>952</v>
      </c>
      <c r="B1002" s="82">
        <f t="shared" si="118"/>
        <v>0</v>
      </c>
      <c r="C1002" s="58">
        <f t="shared" si="122"/>
        <v>171.9194128119324</v>
      </c>
      <c r="D1002" s="83">
        <f t="shared" si="119"/>
        <v>733.33333333333326</v>
      </c>
      <c r="E1002">
        <f t="shared" si="115"/>
        <v>0</v>
      </c>
      <c r="G1002">
        <v>952</v>
      </c>
      <c r="H1002" s="13">
        <f t="shared" si="120"/>
        <v>-1.0275684203264746E-2</v>
      </c>
      <c r="I1002">
        <f t="shared" si="121"/>
        <v>162.13696145042437</v>
      </c>
      <c r="J1002">
        <f t="shared" si="116"/>
        <v>708.88999010662803</v>
      </c>
      <c r="K1002" s="27">
        <f t="shared" si="117"/>
        <v>-5163.5470301049399</v>
      </c>
    </row>
    <row r="1003" spans="1:11" x14ac:dyDescent="0.25">
      <c r="A1003" s="26">
        <v>953</v>
      </c>
      <c r="B1003" s="82">
        <f t="shared" si="118"/>
        <v>0</v>
      </c>
      <c r="C1003" s="58">
        <f t="shared" si="122"/>
        <v>171.9194128119324</v>
      </c>
      <c r="D1003" s="83">
        <f t="shared" si="119"/>
        <v>733.33333333333326</v>
      </c>
      <c r="E1003">
        <f t="shared" si="115"/>
        <v>0</v>
      </c>
      <c r="G1003">
        <v>953</v>
      </c>
      <c r="H1003" s="13">
        <f t="shared" si="120"/>
        <v>-1.0275684203264746E-2</v>
      </c>
      <c r="I1003">
        <f t="shared" si="121"/>
        <v>162.1266857662211</v>
      </c>
      <c r="J1003">
        <f t="shared" si="116"/>
        <v>708.85685546989771</v>
      </c>
      <c r="K1003" s="27">
        <f t="shared" si="117"/>
        <v>-5163.0641458901237</v>
      </c>
    </row>
    <row r="1004" spans="1:11" x14ac:dyDescent="0.25">
      <c r="A1004" s="26">
        <v>954</v>
      </c>
      <c r="B1004" s="82">
        <f t="shared" si="118"/>
        <v>0</v>
      </c>
      <c r="C1004" s="58">
        <f t="shared" si="122"/>
        <v>171.9194128119324</v>
      </c>
      <c r="D1004" s="83">
        <f t="shared" si="119"/>
        <v>733.33333333333326</v>
      </c>
      <c r="E1004">
        <f t="shared" si="115"/>
        <v>0</v>
      </c>
      <c r="G1004">
        <v>954</v>
      </c>
      <c r="H1004" s="13">
        <f t="shared" si="120"/>
        <v>-1.0275684203264746E-2</v>
      </c>
      <c r="I1004">
        <f t="shared" si="121"/>
        <v>162.11641008201784</v>
      </c>
      <c r="J1004">
        <f t="shared" si="116"/>
        <v>708.82369618338396</v>
      </c>
      <c r="K1004" s="27">
        <f t="shared" si="117"/>
        <v>-5162.5809248171654</v>
      </c>
    </row>
    <row r="1005" spans="1:11" x14ac:dyDescent="0.25">
      <c r="A1005" s="26">
        <v>955</v>
      </c>
      <c r="B1005" s="82">
        <f t="shared" si="118"/>
        <v>0</v>
      </c>
      <c r="C1005" s="58">
        <f t="shared" si="122"/>
        <v>171.9194128119324</v>
      </c>
      <c r="D1005" s="83">
        <f t="shared" si="119"/>
        <v>733.33333333333326</v>
      </c>
      <c r="E1005">
        <f t="shared" si="115"/>
        <v>0</v>
      </c>
      <c r="G1005">
        <v>955</v>
      </c>
      <c r="H1005" s="13">
        <f t="shared" si="120"/>
        <v>-1.0275684203264746E-2</v>
      </c>
      <c r="I1005">
        <f t="shared" si="121"/>
        <v>162.10613439781457</v>
      </c>
      <c r="J1005">
        <f t="shared" si="116"/>
        <v>708.79051219682901</v>
      </c>
      <c r="K1005" s="27">
        <f t="shared" si="117"/>
        <v>-5162.097366203192</v>
      </c>
    </row>
    <row r="1006" spans="1:11" x14ac:dyDescent="0.25">
      <c r="A1006" s="26">
        <v>956</v>
      </c>
      <c r="B1006" s="82">
        <f t="shared" si="118"/>
        <v>0</v>
      </c>
      <c r="C1006" s="58">
        <f t="shared" si="122"/>
        <v>171.9194128119324</v>
      </c>
      <c r="D1006" s="83">
        <f t="shared" si="119"/>
        <v>733.33333333333326</v>
      </c>
      <c r="E1006">
        <f t="shared" si="115"/>
        <v>0</v>
      </c>
      <c r="G1006">
        <v>956</v>
      </c>
      <c r="H1006" s="13">
        <f t="shared" si="120"/>
        <v>-1.0275684203264746E-2</v>
      </c>
      <c r="I1006">
        <f t="shared" si="121"/>
        <v>162.09585871361131</v>
      </c>
      <c r="J1006">
        <f t="shared" si="116"/>
        <v>708.7573034598006</v>
      </c>
      <c r="K1006" s="27">
        <f t="shared" si="117"/>
        <v>-5161.6134693629565</v>
      </c>
    </row>
    <row r="1007" spans="1:11" x14ac:dyDescent="0.25">
      <c r="A1007" s="26">
        <v>957</v>
      </c>
      <c r="B1007" s="82">
        <f t="shared" si="118"/>
        <v>0</v>
      </c>
      <c r="C1007" s="58">
        <f t="shared" si="122"/>
        <v>171.9194128119324</v>
      </c>
      <c r="D1007" s="83">
        <f t="shared" si="119"/>
        <v>733.33333333333326</v>
      </c>
      <c r="E1007">
        <f t="shared" si="115"/>
        <v>0</v>
      </c>
      <c r="G1007">
        <v>957</v>
      </c>
      <c r="H1007" s="13">
        <f t="shared" si="120"/>
        <v>-1.0275684203264746E-2</v>
      </c>
      <c r="I1007">
        <f t="shared" si="121"/>
        <v>162.08558302940804</v>
      </c>
      <c r="J1007">
        <f t="shared" si="116"/>
        <v>708.72406992169147</v>
      </c>
      <c r="K1007" s="27">
        <f t="shared" si="117"/>
        <v>-5161.1292336088336</v>
      </c>
    </row>
    <row r="1008" spans="1:11" x14ac:dyDescent="0.25">
      <c r="A1008" s="26">
        <v>958</v>
      </c>
      <c r="B1008" s="82">
        <f t="shared" si="118"/>
        <v>0</v>
      </c>
      <c r="C1008" s="58">
        <f t="shared" si="122"/>
        <v>171.9194128119324</v>
      </c>
      <c r="D1008" s="83">
        <f t="shared" si="119"/>
        <v>733.33333333333326</v>
      </c>
      <c r="E1008">
        <f t="shared" si="115"/>
        <v>0</v>
      </c>
      <c r="G1008">
        <v>958</v>
      </c>
      <c r="H1008" s="13">
        <f t="shared" si="120"/>
        <v>-1.0275684203264746E-2</v>
      </c>
      <c r="I1008">
        <f t="shared" si="121"/>
        <v>162.07530734520478</v>
      </c>
      <c r="J1008">
        <f t="shared" si="116"/>
        <v>708.69081153171817</v>
      </c>
      <c r="K1008" s="27">
        <f t="shared" si="117"/>
        <v>-5160.6446582508024</v>
      </c>
    </row>
    <row r="1009" spans="1:11" x14ac:dyDescent="0.25">
      <c r="A1009" s="26">
        <v>959</v>
      </c>
      <c r="B1009" s="82">
        <f t="shared" si="118"/>
        <v>0</v>
      </c>
      <c r="C1009" s="58">
        <f t="shared" si="122"/>
        <v>171.9194128119324</v>
      </c>
      <c r="D1009" s="83">
        <f t="shared" si="119"/>
        <v>733.33333333333326</v>
      </c>
      <c r="E1009">
        <f t="shared" si="115"/>
        <v>0</v>
      </c>
      <c r="G1009">
        <v>959</v>
      </c>
      <c r="H1009" s="13">
        <f t="shared" si="120"/>
        <v>-1.0275684203264746E-2</v>
      </c>
      <c r="I1009">
        <f t="shared" si="121"/>
        <v>162.06503166100151</v>
      </c>
      <c r="J1009">
        <f t="shared" si="116"/>
        <v>708.65752823892058</v>
      </c>
      <c r="K1009" s="27">
        <f t="shared" si="117"/>
        <v>-5160.1597425964383</v>
      </c>
    </row>
    <row r="1010" spans="1:11" x14ac:dyDescent="0.25">
      <c r="A1010" s="26">
        <v>960</v>
      </c>
      <c r="B1010" s="82">
        <f t="shared" si="118"/>
        <v>0</v>
      </c>
      <c r="C1010" s="58">
        <f t="shared" si="122"/>
        <v>171.9194128119324</v>
      </c>
      <c r="D1010" s="83">
        <f t="shared" si="119"/>
        <v>733.33333333333326</v>
      </c>
      <c r="E1010">
        <f t="shared" si="115"/>
        <v>0</v>
      </c>
      <c r="G1010">
        <v>960</v>
      </c>
      <c r="H1010" s="13">
        <f t="shared" si="120"/>
        <v>-1.0275684203264746E-2</v>
      </c>
      <c r="I1010">
        <f t="shared" si="121"/>
        <v>162.05475597679825</v>
      </c>
      <c r="J1010">
        <f t="shared" si="116"/>
        <v>708.62421999216053</v>
      </c>
      <c r="K1010" s="27">
        <f t="shared" si="117"/>
        <v>-5159.6744859508972</v>
      </c>
    </row>
    <row r="1011" spans="1:11" x14ac:dyDescent="0.25">
      <c r="A1011" s="26">
        <v>961</v>
      </c>
      <c r="B1011" s="82">
        <f t="shared" si="118"/>
        <v>0</v>
      </c>
      <c r="C1011" s="58">
        <f t="shared" si="122"/>
        <v>171.9194128119324</v>
      </c>
      <c r="D1011" s="83">
        <f t="shared" si="119"/>
        <v>733.33333333333326</v>
      </c>
      <c r="E1011">
        <f t="shared" ref="E1011:E1074" si="123">((D1011^2)+(D1011*D1012)+(D1012^2))*B1012/3</f>
        <v>0</v>
      </c>
      <c r="G1011">
        <v>961</v>
      </c>
      <c r="H1011" s="13">
        <f t="shared" si="120"/>
        <v>-1.0275684203264746E-2</v>
      </c>
      <c r="I1011">
        <f t="shared" si="121"/>
        <v>162.04448029259498</v>
      </c>
      <c r="J1011">
        <f t="shared" ref="J1011:J1074" si="124">IF($G$28&lt;$C$14,0,((($C$11^2)-((I1011-$C$13)^2))^0.5)+$C$16)</f>
        <v>708.59088674012173</v>
      </c>
      <c r="K1011" s="27">
        <f t="shared" ref="K1011:K1074" si="125">((J1011^2)+(J1011*J1012)+(J1012^2))*H1012/3</f>
        <v>-5159.1888876169114</v>
      </c>
    </row>
    <row r="1012" spans="1:11" x14ac:dyDescent="0.25">
      <c r="A1012" s="26">
        <v>962</v>
      </c>
      <c r="B1012" s="82">
        <f t="shared" ref="B1012:B1075" si="126">C1012-C1011</f>
        <v>0</v>
      </c>
      <c r="C1012" s="58">
        <f t="shared" si="122"/>
        <v>171.9194128119324</v>
      </c>
      <c r="D1012" s="83">
        <f t="shared" ref="D1012:D1075" si="127">IF($G$28&lt;$C$14,0,((($C$11^2)-((C1012-$C$13)^2))^0.5)+$C$16)</f>
        <v>733.33333333333326</v>
      </c>
      <c r="E1012">
        <f t="shared" si="123"/>
        <v>0</v>
      </c>
      <c r="G1012">
        <v>962</v>
      </c>
      <c r="H1012" s="13">
        <f t="shared" ref="H1012:H1075" si="128">I1012-I1011</f>
        <v>-1.0275684203264746E-2</v>
      </c>
      <c r="I1012">
        <f t="shared" ref="I1012:I1075" si="129">($G$27-$C$14)/2000+I1011</f>
        <v>162.03420460839172</v>
      </c>
      <c r="J1012">
        <f t="shared" si="124"/>
        <v>708.5575284313079</v>
      </c>
      <c r="K1012" s="27">
        <f t="shared" si="125"/>
        <v>-5158.7029468947694</v>
      </c>
    </row>
    <row r="1013" spans="1:11" x14ac:dyDescent="0.25">
      <c r="A1013" s="26">
        <v>963</v>
      </c>
      <c r="B1013" s="82">
        <f t="shared" si="126"/>
        <v>0</v>
      </c>
      <c r="C1013" s="58">
        <f t="shared" si="122"/>
        <v>171.9194128119324</v>
      </c>
      <c r="D1013" s="83">
        <f t="shared" si="127"/>
        <v>733.33333333333326</v>
      </c>
      <c r="E1013">
        <f t="shared" si="123"/>
        <v>0</v>
      </c>
      <c r="G1013">
        <v>963</v>
      </c>
      <c r="H1013" s="13">
        <f t="shared" si="128"/>
        <v>-1.0275684203264746E-2</v>
      </c>
      <c r="I1013">
        <f t="shared" si="129"/>
        <v>162.02392892418845</v>
      </c>
      <c r="J1013">
        <f t="shared" si="124"/>
        <v>708.52414501404257</v>
      </c>
      <c r="K1013" s="27">
        <f t="shared" si="125"/>
        <v>-5158.2166630823058</v>
      </c>
    </row>
    <row r="1014" spans="1:11" x14ac:dyDescent="0.25">
      <c r="A1014" s="26">
        <v>964</v>
      </c>
      <c r="B1014" s="82">
        <f t="shared" si="126"/>
        <v>0</v>
      </c>
      <c r="C1014" s="58">
        <f t="shared" si="122"/>
        <v>171.9194128119324</v>
      </c>
      <c r="D1014" s="83">
        <f t="shared" si="127"/>
        <v>733.33333333333326</v>
      </c>
      <c r="E1014">
        <f t="shared" si="123"/>
        <v>0</v>
      </c>
      <c r="G1014">
        <v>964</v>
      </c>
      <c r="H1014" s="13">
        <f t="shared" si="128"/>
        <v>-1.0275684203264746E-2</v>
      </c>
      <c r="I1014">
        <f t="shared" si="129"/>
        <v>162.01365323998519</v>
      </c>
      <c r="J1014">
        <f t="shared" si="124"/>
        <v>708.49073643646818</v>
      </c>
      <c r="K1014" s="27">
        <f t="shared" si="125"/>
        <v>-5157.7300354748959</v>
      </c>
    </row>
    <row r="1015" spans="1:11" x14ac:dyDescent="0.25">
      <c r="A1015" s="26">
        <v>965</v>
      </c>
      <c r="B1015" s="82">
        <f t="shared" si="126"/>
        <v>0</v>
      </c>
      <c r="C1015" s="58">
        <f t="shared" si="122"/>
        <v>171.9194128119324</v>
      </c>
      <c r="D1015" s="83">
        <f t="shared" si="127"/>
        <v>733.33333333333326</v>
      </c>
      <c r="E1015">
        <f t="shared" si="123"/>
        <v>0</v>
      </c>
      <c r="G1015">
        <v>965</v>
      </c>
      <c r="H1015" s="13">
        <f t="shared" si="128"/>
        <v>-1.0275684203264746E-2</v>
      </c>
      <c r="I1015">
        <f t="shared" si="129"/>
        <v>162.00337755578192</v>
      </c>
      <c r="J1015">
        <f t="shared" si="124"/>
        <v>708.45730264654492</v>
      </c>
      <c r="K1015" s="27">
        <f t="shared" si="125"/>
        <v>-5157.2430633654303</v>
      </c>
    </row>
    <row r="1016" spans="1:11" x14ac:dyDescent="0.25">
      <c r="A1016" s="26">
        <v>966</v>
      </c>
      <c r="B1016" s="82">
        <f t="shared" si="126"/>
        <v>0</v>
      </c>
      <c r="C1016" s="58">
        <f t="shared" si="122"/>
        <v>171.9194128119324</v>
      </c>
      <c r="D1016" s="83">
        <f t="shared" si="127"/>
        <v>733.33333333333326</v>
      </c>
      <c r="E1016">
        <f t="shared" si="123"/>
        <v>0</v>
      </c>
      <c r="G1016">
        <v>966</v>
      </c>
      <c r="H1016" s="13">
        <f t="shared" si="128"/>
        <v>-1.0275684203264746E-2</v>
      </c>
      <c r="I1016">
        <f t="shared" si="129"/>
        <v>161.99310187157866</v>
      </c>
      <c r="J1016">
        <f t="shared" si="124"/>
        <v>708.42384359204971</v>
      </c>
      <c r="K1016" s="27">
        <f t="shared" si="125"/>
        <v>-5156.7557460443204</v>
      </c>
    </row>
    <row r="1017" spans="1:11" x14ac:dyDescent="0.25">
      <c r="A1017" s="26">
        <v>967</v>
      </c>
      <c r="B1017" s="82">
        <f t="shared" si="126"/>
        <v>0</v>
      </c>
      <c r="C1017" s="58">
        <f t="shared" si="122"/>
        <v>171.9194128119324</v>
      </c>
      <c r="D1017" s="83">
        <f t="shared" si="127"/>
        <v>733.33333333333326</v>
      </c>
      <c r="E1017">
        <f t="shared" si="123"/>
        <v>0</v>
      </c>
      <c r="G1017">
        <v>967</v>
      </c>
      <c r="H1017" s="13">
        <f t="shared" si="128"/>
        <v>-1.0275684203264746E-2</v>
      </c>
      <c r="I1017">
        <f t="shared" si="129"/>
        <v>161.98282618737539</v>
      </c>
      <c r="J1017">
        <f t="shared" si="124"/>
        <v>708.39035922057587</v>
      </c>
      <c r="K1017" s="27">
        <f t="shared" si="125"/>
        <v>-5156.2680827994673</v>
      </c>
    </row>
    <row r="1018" spans="1:11" x14ac:dyDescent="0.25">
      <c r="A1018" s="26">
        <v>968</v>
      </c>
      <c r="B1018" s="82">
        <f t="shared" si="126"/>
        <v>0</v>
      </c>
      <c r="C1018" s="58">
        <f t="shared" si="122"/>
        <v>171.9194128119324</v>
      </c>
      <c r="D1018" s="83">
        <f t="shared" si="127"/>
        <v>733.33333333333326</v>
      </c>
      <c r="E1018">
        <f t="shared" si="123"/>
        <v>0</v>
      </c>
      <c r="G1018">
        <v>968</v>
      </c>
      <c r="H1018" s="13">
        <f t="shared" si="128"/>
        <v>-1.0275684203264746E-2</v>
      </c>
      <c r="I1018">
        <f t="shared" si="129"/>
        <v>161.97255050317213</v>
      </c>
      <c r="J1018">
        <f t="shared" si="124"/>
        <v>708.35684947953166</v>
      </c>
      <c r="K1018" s="27">
        <f t="shared" si="125"/>
        <v>-5155.7800729162636</v>
      </c>
    </row>
    <row r="1019" spans="1:11" x14ac:dyDescent="0.25">
      <c r="A1019" s="26">
        <v>969</v>
      </c>
      <c r="B1019" s="82">
        <f t="shared" si="126"/>
        <v>0</v>
      </c>
      <c r="C1019" s="58">
        <f t="shared" si="122"/>
        <v>171.9194128119324</v>
      </c>
      <c r="D1019" s="83">
        <f t="shared" si="127"/>
        <v>733.33333333333326</v>
      </c>
      <c r="E1019">
        <f t="shared" si="123"/>
        <v>0</v>
      </c>
      <c r="G1019">
        <v>969</v>
      </c>
      <c r="H1019" s="13">
        <f t="shared" si="128"/>
        <v>-1.0275684203264746E-2</v>
      </c>
      <c r="I1019">
        <f t="shared" si="129"/>
        <v>161.96227481896887</v>
      </c>
      <c r="J1019">
        <f t="shared" si="124"/>
        <v>708.32331431613943</v>
      </c>
      <c r="K1019" s="27">
        <f t="shared" si="125"/>
        <v>-5155.2917156775729</v>
      </c>
    </row>
    <row r="1020" spans="1:11" x14ac:dyDescent="0.25">
      <c r="A1020" s="26">
        <v>970</v>
      </c>
      <c r="B1020" s="82">
        <f t="shared" si="126"/>
        <v>0</v>
      </c>
      <c r="C1020" s="58">
        <f t="shared" si="122"/>
        <v>171.9194128119324</v>
      </c>
      <c r="D1020" s="83">
        <f t="shared" si="127"/>
        <v>733.33333333333326</v>
      </c>
      <c r="E1020">
        <f t="shared" si="123"/>
        <v>0</v>
      </c>
      <c r="G1020">
        <v>970</v>
      </c>
      <c r="H1020" s="13">
        <f t="shared" si="128"/>
        <v>-1.0275684203264746E-2</v>
      </c>
      <c r="I1020">
        <f t="shared" si="129"/>
        <v>161.9519991347656</v>
      </c>
      <c r="J1020">
        <f t="shared" si="124"/>
        <v>708.28975367743533</v>
      </c>
      <c r="K1020" s="27">
        <f t="shared" si="125"/>
        <v>-5154.8030103637238</v>
      </c>
    </row>
    <row r="1021" spans="1:11" x14ac:dyDescent="0.25">
      <c r="A1021" s="26">
        <v>971</v>
      </c>
      <c r="B1021" s="82">
        <f t="shared" si="126"/>
        <v>0</v>
      </c>
      <c r="C1021" s="58">
        <f t="shared" si="122"/>
        <v>171.9194128119324</v>
      </c>
      <c r="D1021" s="83">
        <f t="shared" si="127"/>
        <v>733.33333333333326</v>
      </c>
      <c r="E1021">
        <f t="shared" si="123"/>
        <v>0</v>
      </c>
      <c r="G1021">
        <v>971</v>
      </c>
      <c r="H1021" s="13">
        <f t="shared" si="128"/>
        <v>-1.0275684203264746E-2</v>
      </c>
      <c r="I1021">
        <f t="shared" si="129"/>
        <v>161.94172345056234</v>
      </c>
      <c r="J1021">
        <f t="shared" si="124"/>
        <v>708.25616751026712</v>
      </c>
      <c r="K1021" s="27">
        <f t="shared" si="125"/>
        <v>-5154.3139562524884</v>
      </c>
    </row>
    <row r="1022" spans="1:11" x14ac:dyDescent="0.25">
      <c r="A1022" s="26">
        <v>972</v>
      </c>
      <c r="B1022" s="82">
        <f t="shared" si="126"/>
        <v>0</v>
      </c>
      <c r="C1022" s="58">
        <f t="shared" si="122"/>
        <v>171.9194128119324</v>
      </c>
      <c r="D1022" s="83">
        <f t="shared" si="127"/>
        <v>733.33333333333326</v>
      </c>
      <c r="E1022">
        <f t="shared" si="123"/>
        <v>0</v>
      </c>
      <c r="G1022">
        <v>972</v>
      </c>
      <c r="H1022" s="13">
        <f t="shared" si="128"/>
        <v>-1.0275684203264746E-2</v>
      </c>
      <c r="I1022">
        <f t="shared" si="129"/>
        <v>161.93144776635907</v>
      </c>
      <c r="J1022">
        <f t="shared" si="124"/>
        <v>708.22255576129476</v>
      </c>
      <c r="K1022" s="27">
        <f t="shared" si="125"/>
        <v>-5153.8245526190813</v>
      </c>
    </row>
    <row r="1023" spans="1:11" x14ac:dyDescent="0.25">
      <c r="A1023" s="26">
        <v>973</v>
      </c>
      <c r="B1023" s="82">
        <f t="shared" si="126"/>
        <v>0</v>
      </c>
      <c r="C1023" s="58">
        <f t="shared" si="122"/>
        <v>171.9194128119324</v>
      </c>
      <c r="D1023" s="83">
        <f t="shared" si="127"/>
        <v>733.33333333333326</v>
      </c>
      <c r="E1023">
        <f t="shared" si="123"/>
        <v>0</v>
      </c>
      <c r="G1023">
        <v>973</v>
      </c>
      <c r="H1023" s="13">
        <f t="shared" si="128"/>
        <v>-1.0275684203264746E-2</v>
      </c>
      <c r="I1023">
        <f t="shared" si="129"/>
        <v>161.92117208215581</v>
      </c>
      <c r="J1023">
        <f t="shared" si="124"/>
        <v>708.18891837698823</v>
      </c>
      <c r="K1023" s="27">
        <f t="shared" si="125"/>
        <v>-5153.3347987361331</v>
      </c>
    </row>
    <row r="1024" spans="1:11" x14ac:dyDescent="0.25">
      <c r="A1024" s="26">
        <v>974</v>
      </c>
      <c r="B1024" s="82">
        <f t="shared" si="126"/>
        <v>0</v>
      </c>
      <c r="C1024" s="58">
        <f t="shared" si="122"/>
        <v>171.9194128119324</v>
      </c>
      <c r="D1024" s="83">
        <f t="shared" si="127"/>
        <v>733.33333333333326</v>
      </c>
      <c r="E1024">
        <f t="shared" si="123"/>
        <v>0</v>
      </c>
      <c r="G1024">
        <v>974</v>
      </c>
      <c r="H1024" s="13">
        <f t="shared" si="128"/>
        <v>-1.0275684203264746E-2</v>
      </c>
      <c r="I1024">
        <f t="shared" si="129"/>
        <v>161.91089639795254</v>
      </c>
      <c r="J1024">
        <f t="shared" si="124"/>
        <v>708.15525530362709</v>
      </c>
      <c r="K1024" s="27">
        <f t="shared" si="125"/>
        <v>-5152.8446938736897</v>
      </c>
    </row>
    <row r="1025" spans="1:11" x14ac:dyDescent="0.25">
      <c r="A1025" s="26">
        <v>975</v>
      </c>
      <c r="B1025" s="82">
        <f t="shared" si="126"/>
        <v>0</v>
      </c>
      <c r="C1025" s="58">
        <f t="shared" si="122"/>
        <v>171.9194128119324</v>
      </c>
      <c r="D1025" s="83">
        <f t="shared" si="127"/>
        <v>733.33333333333326</v>
      </c>
      <c r="E1025">
        <f t="shared" si="123"/>
        <v>0</v>
      </c>
      <c r="G1025">
        <v>975</v>
      </c>
      <c r="H1025" s="13">
        <f t="shared" si="128"/>
        <v>-1.0275684203264746E-2</v>
      </c>
      <c r="I1025">
        <f t="shared" si="129"/>
        <v>161.90062071374928</v>
      </c>
      <c r="J1025">
        <f t="shared" si="124"/>
        <v>708.12156648729979</v>
      </c>
      <c r="K1025" s="27">
        <f t="shared" si="125"/>
        <v>-5152.3542372991933</v>
      </c>
    </row>
    <row r="1026" spans="1:11" x14ac:dyDescent="0.25">
      <c r="A1026" s="26">
        <v>976</v>
      </c>
      <c r="B1026" s="82">
        <f t="shared" si="126"/>
        <v>0</v>
      </c>
      <c r="C1026" s="58">
        <f t="shared" si="122"/>
        <v>171.9194128119324</v>
      </c>
      <c r="D1026" s="83">
        <f t="shared" si="127"/>
        <v>733.33333333333326</v>
      </c>
      <c r="E1026">
        <f t="shared" si="123"/>
        <v>0</v>
      </c>
      <c r="G1026">
        <v>976</v>
      </c>
      <c r="H1026" s="13">
        <f t="shared" si="128"/>
        <v>-1.0275684203264746E-2</v>
      </c>
      <c r="I1026">
        <f t="shared" si="129"/>
        <v>161.89034502954601</v>
      </c>
      <c r="J1026">
        <f t="shared" si="124"/>
        <v>708.08785187390197</v>
      </c>
      <c r="K1026" s="27">
        <f t="shared" si="125"/>
        <v>-5151.8634282774683</v>
      </c>
    </row>
    <row r="1027" spans="1:11" x14ac:dyDescent="0.25">
      <c r="A1027" s="26">
        <v>977</v>
      </c>
      <c r="B1027" s="82">
        <f t="shared" si="126"/>
        <v>0</v>
      </c>
      <c r="C1027" s="58">
        <f t="shared" si="122"/>
        <v>171.9194128119324</v>
      </c>
      <c r="D1027" s="83">
        <f t="shared" si="127"/>
        <v>733.33333333333326</v>
      </c>
      <c r="E1027">
        <f t="shared" si="123"/>
        <v>0</v>
      </c>
      <c r="G1027">
        <v>977</v>
      </c>
      <c r="H1027" s="13">
        <f t="shared" si="128"/>
        <v>-1.0275684203264746E-2</v>
      </c>
      <c r="I1027">
        <f t="shared" si="129"/>
        <v>161.88006934534275</v>
      </c>
      <c r="J1027">
        <f t="shared" si="124"/>
        <v>708.05411140913645</v>
      </c>
      <c r="K1027" s="27">
        <f t="shared" si="125"/>
        <v>-5151.3722660707126</v>
      </c>
    </row>
    <row r="1028" spans="1:11" x14ac:dyDescent="0.25">
      <c r="A1028" s="26">
        <v>978</v>
      </c>
      <c r="B1028" s="82">
        <f t="shared" si="126"/>
        <v>0</v>
      </c>
      <c r="C1028" s="58">
        <f t="shared" si="122"/>
        <v>171.9194128119324</v>
      </c>
      <c r="D1028" s="83">
        <f t="shared" si="127"/>
        <v>733.33333333333326</v>
      </c>
      <c r="E1028">
        <f t="shared" si="123"/>
        <v>0</v>
      </c>
      <c r="G1028">
        <v>978</v>
      </c>
      <c r="H1028" s="13">
        <f t="shared" si="128"/>
        <v>-1.0275684203264746E-2</v>
      </c>
      <c r="I1028">
        <f t="shared" si="129"/>
        <v>161.86979366113948</v>
      </c>
      <c r="J1028">
        <f t="shared" si="124"/>
        <v>708.02034503851144</v>
      </c>
      <c r="K1028" s="27">
        <f t="shared" si="125"/>
        <v>-5150.8807499384829</v>
      </c>
    </row>
    <row r="1029" spans="1:11" x14ac:dyDescent="0.25">
      <c r="A1029" s="26">
        <v>979</v>
      </c>
      <c r="B1029" s="82">
        <f t="shared" si="126"/>
        <v>0</v>
      </c>
      <c r="C1029" s="58">
        <f t="shared" si="122"/>
        <v>171.9194128119324</v>
      </c>
      <c r="D1029" s="83">
        <f t="shared" si="127"/>
        <v>733.33333333333326</v>
      </c>
      <c r="E1029">
        <f t="shared" si="123"/>
        <v>0</v>
      </c>
      <c r="G1029">
        <v>979</v>
      </c>
      <c r="H1029" s="13">
        <f t="shared" si="128"/>
        <v>-1.0275684203264746E-2</v>
      </c>
      <c r="I1029">
        <f t="shared" si="129"/>
        <v>161.85951797693622</v>
      </c>
      <c r="J1029">
        <f t="shared" si="124"/>
        <v>707.9865527073398</v>
      </c>
      <c r="K1029" s="27">
        <f t="shared" si="125"/>
        <v>-5150.3888791376767</v>
      </c>
    </row>
    <row r="1030" spans="1:11" x14ac:dyDescent="0.25">
      <c r="A1030" s="26">
        <v>980</v>
      </c>
      <c r="B1030" s="82">
        <f t="shared" si="126"/>
        <v>0</v>
      </c>
      <c r="C1030" s="58">
        <f t="shared" si="122"/>
        <v>171.9194128119324</v>
      </c>
      <c r="D1030" s="83">
        <f t="shared" si="127"/>
        <v>733.33333333333326</v>
      </c>
      <c r="E1030">
        <f t="shared" si="123"/>
        <v>0</v>
      </c>
      <c r="G1030">
        <v>980</v>
      </c>
      <c r="H1030" s="13">
        <f t="shared" si="128"/>
        <v>-1.0275684203264746E-2</v>
      </c>
      <c r="I1030">
        <f t="shared" si="129"/>
        <v>161.84924229273295</v>
      </c>
      <c r="J1030">
        <f t="shared" si="124"/>
        <v>707.95273436073853</v>
      </c>
      <c r="K1030" s="27">
        <f t="shared" si="125"/>
        <v>-5149.896652922529</v>
      </c>
    </row>
    <row r="1031" spans="1:11" x14ac:dyDescent="0.25">
      <c r="A1031" s="26">
        <v>981</v>
      </c>
      <c r="B1031" s="82">
        <f t="shared" si="126"/>
        <v>0</v>
      </c>
      <c r="C1031" s="58">
        <f t="shared" si="122"/>
        <v>171.9194128119324</v>
      </c>
      <c r="D1031" s="83">
        <f t="shared" si="127"/>
        <v>733.33333333333326</v>
      </c>
      <c r="E1031">
        <f t="shared" si="123"/>
        <v>0</v>
      </c>
      <c r="G1031">
        <v>981</v>
      </c>
      <c r="H1031" s="13">
        <f t="shared" si="128"/>
        <v>-1.0275684203264746E-2</v>
      </c>
      <c r="I1031">
        <f t="shared" si="129"/>
        <v>161.83896660852969</v>
      </c>
      <c r="J1031">
        <f t="shared" si="124"/>
        <v>707.91888994362694</v>
      </c>
      <c r="K1031" s="27">
        <f t="shared" si="125"/>
        <v>-5149.4040705445823</v>
      </c>
    </row>
    <row r="1032" spans="1:11" x14ac:dyDescent="0.25">
      <c r="A1032" s="26">
        <v>982</v>
      </c>
      <c r="B1032" s="82">
        <f t="shared" si="126"/>
        <v>0</v>
      </c>
      <c r="C1032" s="58">
        <f t="shared" si="122"/>
        <v>171.9194128119324</v>
      </c>
      <c r="D1032" s="83">
        <f t="shared" si="127"/>
        <v>733.33333333333326</v>
      </c>
      <c r="E1032">
        <f t="shared" si="123"/>
        <v>0</v>
      </c>
      <c r="G1032">
        <v>982</v>
      </c>
      <c r="H1032" s="13">
        <f t="shared" si="128"/>
        <v>-1.0275684203264746E-2</v>
      </c>
      <c r="I1032">
        <f t="shared" si="129"/>
        <v>161.82869092432642</v>
      </c>
      <c r="J1032">
        <f t="shared" si="124"/>
        <v>707.88501940072615</v>
      </c>
      <c r="K1032" s="27">
        <f t="shared" si="125"/>
        <v>-5148.9111312526948</v>
      </c>
    </row>
    <row r="1033" spans="1:11" x14ac:dyDescent="0.25">
      <c r="A1033" s="26">
        <v>983</v>
      </c>
      <c r="B1033" s="82">
        <f t="shared" si="126"/>
        <v>0</v>
      </c>
      <c r="C1033" s="58">
        <f t="shared" si="122"/>
        <v>171.9194128119324</v>
      </c>
      <c r="D1033" s="83">
        <f t="shared" si="127"/>
        <v>733.33333333333326</v>
      </c>
      <c r="E1033">
        <f t="shared" si="123"/>
        <v>0</v>
      </c>
      <c r="G1033">
        <v>983</v>
      </c>
      <c r="H1033" s="13">
        <f t="shared" si="128"/>
        <v>-1.0275684203264746E-2</v>
      </c>
      <c r="I1033">
        <f t="shared" si="129"/>
        <v>161.81841524012316</v>
      </c>
      <c r="J1033">
        <f t="shared" si="124"/>
        <v>707.85112267655859</v>
      </c>
      <c r="K1033" s="27">
        <f t="shared" si="125"/>
        <v>-5148.417834293009</v>
      </c>
    </row>
    <row r="1034" spans="1:11" x14ac:dyDescent="0.25">
      <c r="A1034" s="26">
        <v>984</v>
      </c>
      <c r="B1034" s="82">
        <f t="shared" si="126"/>
        <v>0</v>
      </c>
      <c r="C1034" s="58">
        <f t="shared" si="122"/>
        <v>171.9194128119324</v>
      </c>
      <c r="D1034" s="83">
        <f t="shared" si="127"/>
        <v>733.33333333333326</v>
      </c>
      <c r="E1034">
        <f t="shared" si="123"/>
        <v>0</v>
      </c>
      <c r="G1034">
        <v>984</v>
      </c>
      <c r="H1034" s="13">
        <f t="shared" si="128"/>
        <v>-1.0275684203264746E-2</v>
      </c>
      <c r="I1034">
        <f t="shared" si="129"/>
        <v>161.80813955591989</v>
      </c>
      <c r="J1034">
        <f t="shared" si="124"/>
        <v>707.81719971544567</v>
      </c>
      <c r="K1034" s="27">
        <f t="shared" si="125"/>
        <v>-5147.9241789089438</v>
      </c>
    </row>
    <row r="1035" spans="1:11" x14ac:dyDescent="0.25">
      <c r="A1035" s="26">
        <v>985</v>
      </c>
      <c r="B1035" s="82">
        <f t="shared" si="126"/>
        <v>0</v>
      </c>
      <c r="C1035" s="58">
        <f t="shared" si="122"/>
        <v>171.9194128119324</v>
      </c>
      <c r="D1035" s="83">
        <f t="shared" si="127"/>
        <v>733.33333333333326</v>
      </c>
      <c r="E1035">
        <f t="shared" si="123"/>
        <v>0</v>
      </c>
      <c r="G1035">
        <v>985</v>
      </c>
      <c r="H1035" s="13">
        <f t="shared" si="128"/>
        <v>-1.0275684203264746E-2</v>
      </c>
      <c r="I1035">
        <f t="shared" si="129"/>
        <v>161.79786387171663</v>
      </c>
      <c r="J1035">
        <f t="shared" si="124"/>
        <v>707.78325046150792</v>
      </c>
      <c r="K1035" s="27">
        <f t="shared" si="125"/>
        <v>-5147.4301643411854</v>
      </c>
    </row>
    <row r="1036" spans="1:11" x14ac:dyDescent="0.25">
      <c r="A1036" s="26">
        <v>986</v>
      </c>
      <c r="B1036" s="82">
        <f t="shared" si="126"/>
        <v>0</v>
      </c>
      <c r="C1036" s="58">
        <f t="shared" si="122"/>
        <v>171.9194128119324</v>
      </c>
      <c r="D1036" s="83">
        <f t="shared" si="127"/>
        <v>733.33333333333326</v>
      </c>
      <c r="E1036">
        <f t="shared" si="123"/>
        <v>0</v>
      </c>
      <c r="G1036">
        <v>986</v>
      </c>
      <c r="H1036" s="13">
        <f t="shared" si="128"/>
        <v>-1.0275684203264746E-2</v>
      </c>
      <c r="I1036">
        <f t="shared" si="129"/>
        <v>161.78758818751336</v>
      </c>
      <c r="J1036">
        <f t="shared" si="124"/>
        <v>707.74927485866374</v>
      </c>
      <c r="K1036" s="27">
        <f t="shared" si="125"/>
        <v>-5146.9357898276658</v>
      </c>
    </row>
    <row r="1037" spans="1:11" x14ac:dyDescent="0.25">
      <c r="A1037" s="26">
        <v>987</v>
      </c>
      <c r="B1037" s="82">
        <f t="shared" si="126"/>
        <v>0</v>
      </c>
      <c r="C1037" s="58">
        <f t="shared" si="122"/>
        <v>171.9194128119324</v>
      </c>
      <c r="D1037" s="83">
        <f t="shared" si="127"/>
        <v>733.33333333333326</v>
      </c>
      <c r="E1037">
        <f t="shared" si="123"/>
        <v>0</v>
      </c>
      <c r="G1037">
        <v>987</v>
      </c>
      <c r="H1037" s="13">
        <f t="shared" si="128"/>
        <v>-1.0275684203264746E-2</v>
      </c>
      <c r="I1037">
        <f t="shared" si="129"/>
        <v>161.7773125033101</v>
      </c>
      <c r="J1037">
        <f t="shared" si="124"/>
        <v>707.7152728506278</v>
      </c>
      <c r="K1037" s="27">
        <f t="shared" si="125"/>
        <v>-5146.4410546035533</v>
      </c>
    </row>
    <row r="1038" spans="1:11" x14ac:dyDescent="0.25">
      <c r="A1038" s="26">
        <v>988</v>
      </c>
      <c r="B1038" s="82">
        <f t="shared" si="126"/>
        <v>0</v>
      </c>
      <c r="C1038" s="58">
        <f t="shared" si="122"/>
        <v>171.9194128119324</v>
      </c>
      <c r="D1038" s="83">
        <f t="shared" si="127"/>
        <v>733.33333333333326</v>
      </c>
      <c r="E1038">
        <f t="shared" si="123"/>
        <v>0</v>
      </c>
      <c r="G1038">
        <v>988</v>
      </c>
      <c r="H1038" s="13">
        <f t="shared" si="128"/>
        <v>-1.0275684203264746E-2</v>
      </c>
      <c r="I1038">
        <f t="shared" si="129"/>
        <v>161.76703681910683</v>
      </c>
      <c r="J1038">
        <f t="shared" si="124"/>
        <v>707.6812443809107</v>
      </c>
      <c r="K1038" s="27">
        <f t="shared" si="125"/>
        <v>-5145.9459579012373</v>
      </c>
    </row>
    <row r="1039" spans="1:11" x14ac:dyDescent="0.25">
      <c r="A1039" s="26">
        <v>989</v>
      </c>
      <c r="B1039" s="82">
        <f t="shared" si="126"/>
        <v>0</v>
      </c>
      <c r="C1039" s="58">
        <f t="shared" si="122"/>
        <v>171.9194128119324</v>
      </c>
      <c r="D1039" s="83">
        <f t="shared" si="127"/>
        <v>733.33333333333326</v>
      </c>
      <c r="E1039">
        <f t="shared" si="123"/>
        <v>0</v>
      </c>
      <c r="G1039">
        <v>989</v>
      </c>
      <c r="H1039" s="13">
        <f t="shared" si="128"/>
        <v>-1.0275684203264746E-2</v>
      </c>
      <c r="I1039">
        <f t="shared" si="129"/>
        <v>161.75676113490357</v>
      </c>
      <c r="J1039">
        <f t="shared" si="124"/>
        <v>707.64718939281761</v>
      </c>
      <c r="K1039" s="27">
        <f t="shared" si="125"/>
        <v>-5145.4504989503139</v>
      </c>
    </row>
    <row r="1040" spans="1:11" x14ac:dyDescent="0.25">
      <c r="A1040" s="26">
        <v>990</v>
      </c>
      <c r="B1040" s="82">
        <f t="shared" si="126"/>
        <v>0</v>
      </c>
      <c r="C1040" s="58">
        <f t="shared" ref="C1040:C1103" si="130">($C$37-$C$36)/2000+C1039</f>
        <v>171.9194128119324</v>
      </c>
      <c r="D1040" s="83">
        <f t="shared" si="127"/>
        <v>733.33333333333326</v>
      </c>
      <c r="E1040">
        <f t="shared" si="123"/>
        <v>0</v>
      </c>
      <c r="G1040">
        <v>990</v>
      </c>
      <c r="H1040" s="13">
        <f t="shared" si="128"/>
        <v>-1.0275684203264746E-2</v>
      </c>
      <c r="I1040">
        <f t="shared" si="129"/>
        <v>161.74648545070031</v>
      </c>
      <c r="J1040">
        <f t="shared" si="124"/>
        <v>707.61310782944713</v>
      </c>
      <c r="K1040" s="27">
        <f t="shared" si="125"/>
        <v>-5144.9546769775707</v>
      </c>
    </row>
    <row r="1041" spans="1:11" x14ac:dyDescent="0.25">
      <c r="A1041" s="26">
        <v>991</v>
      </c>
      <c r="B1041" s="82">
        <f t="shared" si="126"/>
        <v>0</v>
      </c>
      <c r="C1041" s="58">
        <f t="shared" si="130"/>
        <v>171.9194128119324</v>
      </c>
      <c r="D1041" s="83">
        <f t="shared" si="127"/>
        <v>733.33333333333326</v>
      </c>
      <c r="E1041">
        <f t="shared" si="123"/>
        <v>0</v>
      </c>
      <c r="G1041">
        <v>991</v>
      </c>
      <c r="H1041" s="13">
        <f t="shared" si="128"/>
        <v>-1.0275684203264746E-2</v>
      </c>
      <c r="I1041">
        <f t="shared" si="129"/>
        <v>161.73620976649704</v>
      </c>
      <c r="J1041">
        <f t="shared" si="124"/>
        <v>707.57899963369039</v>
      </c>
      <c r="K1041" s="27">
        <f t="shared" si="125"/>
        <v>-5144.458491206974</v>
      </c>
    </row>
    <row r="1042" spans="1:11" x14ac:dyDescent="0.25">
      <c r="A1042" s="26">
        <v>992</v>
      </c>
      <c r="B1042" s="82">
        <f t="shared" si="126"/>
        <v>0</v>
      </c>
      <c r="C1042" s="58">
        <f t="shared" si="130"/>
        <v>171.9194128119324</v>
      </c>
      <c r="D1042" s="83">
        <f t="shared" si="127"/>
        <v>733.33333333333326</v>
      </c>
      <c r="E1042">
        <f t="shared" si="123"/>
        <v>0</v>
      </c>
      <c r="G1042">
        <v>992</v>
      </c>
      <c r="H1042" s="13">
        <f t="shared" si="128"/>
        <v>-1.0275684203264746E-2</v>
      </c>
      <c r="I1042">
        <f t="shared" si="129"/>
        <v>161.72593408229378</v>
      </c>
      <c r="J1042">
        <f t="shared" si="124"/>
        <v>707.54486474823011</v>
      </c>
      <c r="K1042" s="27">
        <f t="shared" si="125"/>
        <v>-5143.9619408596564</v>
      </c>
    </row>
    <row r="1043" spans="1:11" x14ac:dyDescent="0.25">
      <c r="A1043" s="26">
        <v>993</v>
      </c>
      <c r="B1043" s="82">
        <f t="shared" si="126"/>
        <v>0</v>
      </c>
      <c r="C1043" s="58">
        <f t="shared" si="130"/>
        <v>171.9194128119324</v>
      </c>
      <c r="D1043" s="83">
        <f t="shared" si="127"/>
        <v>733.33333333333326</v>
      </c>
      <c r="E1043">
        <f t="shared" si="123"/>
        <v>0</v>
      </c>
      <c r="G1043">
        <v>993</v>
      </c>
      <c r="H1043" s="13">
        <f t="shared" si="128"/>
        <v>-1.0275684203264746E-2</v>
      </c>
      <c r="I1043">
        <f t="shared" si="129"/>
        <v>161.71565839809051</v>
      </c>
      <c r="J1043">
        <f t="shared" si="124"/>
        <v>707.51070311553929</v>
      </c>
      <c r="K1043" s="27">
        <f t="shared" si="125"/>
        <v>-5143.4650251538978</v>
      </c>
    </row>
    <row r="1044" spans="1:11" x14ac:dyDescent="0.25">
      <c r="A1044" s="26">
        <v>994</v>
      </c>
      <c r="B1044" s="82">
        <f t="shared" si="126"/>
        <v>0</v>
      </c>
      <c r="C1044" s="58">
        <f t="shared" si="130"/>
        <v>171.9194128119324</v>
      </c>
      <c r="D1044" s="83">
        <f t="shared" si="127"/>
        <v>733.33333333333326</v>
      </c>
      <c r="E1044">
        <f t="shared" si="123"/>
        <v>0</v>
      </c>
      <c r="G1044">
        <v>994</v>
      </c>
      <c r="H1044" s="13">
        <f t="shared" si="128"/>
        <v>-1.0275684203264746E-2</v>
      </c>
      <c r="I1044">
        <f t="shared" si="129"/>
        <v>161.70538271388725</v>
      </c>
      <c r="J1044">
        <f t="shared" si="124"/>
        <v>707.47651467788</v>
      </c>
      <c r="K1044" s="27">
        <f t="shared" si="125"/>
        <v>-5142.9677433051102</v>
      </c>
    </row>
    <row r="1045" spans="1:11" x14ac:dyDescent="0.25">
      <c r="A1045" s="26">
        <v>995</v>
      </c>
      <c r="B1045" s="82">
        <f t="shared" si="126"/>
        <v>0</v>
      </c>
      <c r="C1045" s="58">
        <f t="shared" si="130"/>
        <v>171.9194128119324</v>
      </c>
      <c r="D1045" s="83">
        <f t="shared" si="127"/>
        <v>733.33333333333326</v>
      </c>
      <c r="E1045">
        <f t="shared" si="123"/>
        <v>0</v>
      </c>
      <c r="G1045">
        <v>995</v>
      </c>
      <c r="H1045" s="13">
        <f t="shared" si="128"/>
        <v>-1.0275684203264746E-2</v>
      </c>
      <c r="I1045">
        <f t="shared" si="129"/>
        <v>161.69510702968398</v>
      </c>
      <c r="J1045">
        <f t="shared" si="124"/>
        <v>707.44229937730279</v>
      </c>
      <c r="K1045" s="27">
        <f t="shared" si="125"/>
        <v>-5142.4700945258292</v>
      </c>
    </row>
    <row r="1046" spans="1:11" x14ac:dyDescent="0.25">
      <c r="A1046" s="26">
        <v>996</v>
      </c>
      <c r="B1046" s="82">
        <f t="shared" si="126"/>
        <v>0</v>
      </c>
      <c r="C1046" s="58">
        <f t="shared" si="130"/>
        <v>171.9194128119324</v>
      </c>
      <c r="D1046" s="83">
        <f t="shared" si="127"/>
        <v>733.33333333333326</v>
      </c>
      <c r="E1046">
        <f t="shared" si="123"/>
        <v>0</v>
      </c>
      <c r="G1046">
        <v>996</v>
      </c>
      <c r="H1046" s="13">
        <f t="shared" si="128"/>
        <v>-1.0275684203264746E-2</v>
      </c>
      <c r="I1046">
        <f t="shared" si="129"/>
        <v>161.68483134548072</v>
      </c>
      <c r="J1046">
        <f t="shared" si="124"/>
        <v>707.40805715564522</v>
      </c>
      <c r="K1046" s="27">
        <f t="shared" si="125"/>
        <v>-5141.972078025693</v>
      </c>
    </row>
    <row r="1047" spans="1:11" x14ac:dyDescent="0.25">
      <c r="A1047" s="26">
        <v>997</v>
      </c>
      <c r="B1047" s="82">
        <f t="shared" si="126"/>
        <v>0</v>
      </c>
      <c r="C1047" s="58">
        <f t="shared" si="130"/>
        <v>171.9194128119324</v>
      </c>
      <c r="D1047" s="83">
        <f t="shared" si="127"/>
        <v>733.33333333333326</v>
      </c>
      <c r="E1047">
        <f t="shared" si="123"/>
        <v>0</v>
      </c>
      <c r="G1047">
        <v>997</v>
      </c>
      <c r="H1047" s="13">
        <f t="shared" si="128"/>
        <v>-1.0275684203264746E-2</v>
      </c>
      <c r="I1047">
        <f t="shared" si="129"/>
        <v>161.67455566127745</v>
      </c>
      <c r="J1047">
        <f t="shared" si="124"/>
        <v>707.37378795453083</v>
      </c>
      <c r="K1047" s="27">
        <f t="shared" si="125"/>
        <v>-5141.4736930114314</v>
      </c>
    </row>
    <row r="1048" spans="1:11" x14ac:dyDescent="0.25">
      <c r="A1048" s="26">
        <v>998</v>
      </c>
      <c r="B1048" s="82">
        <f t="shared" si="126"/>
        <v>0</v>
      </c>
      <c r="C1048" s="58">
        <f t="shared" si="130"/>
        <v>171.9194128119324</v>
      </c>
      <c r="D1048" s="83">
        <f t="shared" si="127"/>
        <v>733.33333333333326</v>
      </c>
      <c r="E1048">
        <f t="shared" si="123"/>
        <v>0</v>
      </c>
      <c r="G1048">
        <v>998</v>
      </c>
      <c r="H1048" s="13">
        <f t="shared" si="128"/>
        <v>-1.0275684203264746E-2</v>
      </c>
      <c r="I1048">
        <f t="shared" si="129"/>
        <v>161.66427997707419</v>
      </c>
      <c r="J1048">
        <f t="shared" si="124"/>
        <v>707.33949171536813</v>
      </c>
      <c r="K1048" s="27">
        <f t="shared" si="125"/>
        <v>-5140.9749386868461</v>
      </c>
    </row>
    <row r="1049" spans="1:11" x14ac:dyDescent="0.25">
      <c r="A1049" s="26">
        <v>999</v>
      </c>
      <c r="B1049" s="82">
        <f t="shared" si="126"/>
        <v>0</v>
      </c>
      <c r="C1049" s="58">
        <f t="shared" si="130"/>
        <v>171.9194128119324</v>
      </c>
      <c r="D1049" s="83">
        <f t="shared" si="127"/>
        <v>733.33333333333326</v>
      </c>
      <c r="E1049">
        <f t="shared" si="123"/>
        <v>0</v>
      </c>
      <c r="G1049">
        <v>999</v>
      </c>
      <c r="H1049" s="13">
        <f t="shared" si="128"/>
        <v>-1.0275684203264746E-2</v>
      </c>
      <c r="I1049">
        <f t="shared" si="129"/>
        <v>161.65400429287092</v>
      </c>
      <c r="J1049">
        <f t="shared" si="124"/>
        <v>707.30516837934931</v>
      </c>
      <c r="K1049" s="27">
        <f t="shared" si="125"/>
        <v>-5140.4758142528035</v>
      </c>
    </row>
    <row r="1050" spans="1:11" x14ac:dyDescent="0.25">
      <c r="A1050" s="26">
        <v>1000</v>
      </c>
      <c r="B1050" s="82">
        <f t="shared" si="126"/>
        <v>0</v>
      </c>
      <c r="C1050" s="58">
        <f t="shared" si="130"/>
        <v>171.9194128119324</v>
      </c>
      <c r="D1050" s="83">
        <f t="shared" si="127"/>
        <v>733.33333333333326</v>
      </c>
      <c r="E1050">
        <f t="shared" si="123"/>
        <v>0</v>
      </c>
      <c r="G1050">
        <v>1000</v>
      </c>
      <c r="H1050" s="13">
        <f t="shared" si="128"/>
        <v>-1.0275684203264746E-2</v>
      </c>
      <c r="I1050">
        <f t="shared" si="129"/>
        <v>161.64372860866766</v>
      </c>
      <c r="J1050">
        <f t="shared" si="124"/>
        <v>707.27081788744931</v>
      </c>
      <c r="K1050" s="27">
        <f t="shared" si="125"/>
        <v>-5139.9763189072091</v>
      </c>
    </row>
    <row r="1051" spans="1:11" x14ac:dyDescent="0.25">
      <c r="A1051" s="26">
        <v>1001</v>
      </c>
      <c r="B1051" s="82">
        <f t="shared" si="126"/>
        <v>0</v>
      </c>
      <c r="C1051" s="58">
        <f t="shared" si="130"/>
        <v>171.9194128119324</v>
      </c>
      <c r="D1051" s="83">
        <f t="shared" si="127"/>
        <v>733.33333333333326</v>
      </c>
      <c r="E1051">
        <f t="shared" si="123"/>
        <v>0</v>
      </c>
      <c r="G1051">
        <v>1001</v>
      </c>
      <c r="H1051" s="13">
        <f t="shared" si="128"/>
        <v>-1.0275684203264746E-2</v>
      </c>
      <c r="I1051">
        <f t="shared" si="129"/>
        <v>161.63345292446439</v>
      </c>
      <c r="J1051">
        <f t="shared" si="124"/>
        <v>707.23644018042467</v>
      </c>
      <c r="K1051" s="27">
        <f t="shared" si="125"/>
        <v>-5139.476451845002</v>
      </c>
    </row>
    <row r="1052" spans="1:11" x14ac:dyDescent="0.25">
      <c r="A1052" s="26">
        <v>1002</v>
      </c>
      <c r="B1052" s="82">
        <f t="shared" si="126"/>
        <v>0</v>
      </c>
      <c r="C1052" s="58">
        <f t="shared" si="130"/>
        <v>171.9194128119324</v>
      </c>
      <c r="D1052" s="83">
        <f t="shared" si="127"/>
        <v>733.33333333333326</v>
      </c>
      <c r="E1052">
        <f t="shared" si="123"/>
        <v>0</v>
      </c>
      <c r="G1052">
        <v>1002</v>
      </c>
      <c r="H1052" s="13">
        <f t="shared" si="128"/>
        <v>-1.0275684203264746E-2</v>
      </c>
      <c r="I1052">
        <f t="shared" si="129"/>
        <v>161.62317724026113</v>
      </c>
      <c r="J1052">
        <f t="shared" si="124"/>
        <v>707.20203519881215</v>
      </c>
      <c r="K1052" s="27">
        <f t="shared" si="125"/>
        <v>-5138.9762122581315</v>
      </c>
    </row>
    <row r="1053" spans="1:11" x14ac:dyDescent="0.25">
      <c r="A1053" s="26">
        <v>1003</v>
      </c>
      <c r="B1053" s="82">
        <f t="shared" si="126"/>
        <v>0</v>
      </c>
      <c r="C1053" s="58">
        <f t="shared" si="130"/>
        <v>171.9194128119324</v>
      </c>
      <c r="D1053" s="83">
        <f t="shared" si="127"/>
        <v>733.33333333333326</v>
      </c>
      <c r="E1053">
        <f t="shared" si="123"/>
        <v>0</v>
      </c>
      <c r="G1053">
        <v>1003</v>
      </c>
      <c r="H1053" s="13">
        <f t="shared" si="128"/>
        <v>-1.0275684203264746E-2</v>
      </c>
      <c r="I1053">
        <f t="shared" si="129"/>
        <v>161.61290155605786</v>
      </c>
      <c r="J1053">
        <f t="shared" si="124"/>
        <v>707.16760288292801</v>
      </c>
      <c r="K1053" s="27">
        <f t="shared" si="125"/>
        <v>-5138.4755993355475</v>
      </c>
    </row>
    <row r="1054" spans="1:11" x14ac:dyDescent="0.25">
      <c r="A1054" s="26">
        <v>1004</v>
      </c>
      <c r="B1054" s="82">
        <f t="shared" si="126"/>
        <v>0</v>
      </c>
      <c r="C1054" s="58">
        <f t="shared" si="130"/>
        <v>171.9194128119324</v>
      </c>
      <c r="D1054" s="83">
        <f t="shared" si="127"/>
        <v>733.33333333333326</v>
      </c>
      <c r="E1054">
        <f t="shared" si="123"/>
        <v>0</v>
      </c>
      <c r="G1054">
        <v>1004</v>
      </c>
      <c r="H1054" s="13">
        <f t="shared" si="128"/>
        <v>-1.0275684203264746E-2</v>
      </c>
      <c r="I1054">
        <f t="shared" si="129"/>
        <v>161.6026258718546</v>
      </c>
      <c r="J1054">
        <f t="shared" si="124"/>
        <v>707.13314317286643</v>
      </c>
      <c r="K1054" s="27">
        <f t="shared" si="125"/>
        <v>-5137.9746122631814</v>
      </c>
    </row>
    <row r="1055" spans="1:11" x14ac:dyDescent="0.25">
      <c r="A1055" s="26">
        <v>1005</v>
      </c>
      <c r="B1055" s="82">
        <f t="shared" si="126"/>
        <v>0</v>
      </c>
      <c r="C1055" s="58">
        <f t="shared" si="130"/>
        <v>171.9194128119324</v>
      </c>
      <c r="D1055" s="83">
        <f t="shared" si="127"/>
        <v>733.33333333333326</v>
      </c>
      <c r="E1055">
        <f t="shared" si="123"/>
        <v>0</v>
      </c>
      <c r="G1055">
        <v>1005</v>
      </c>
      <c r="H1055" s="13">
        <f t="shared" si="128"/>
        <v>-1.0275684203264746E-2</v>
      </c>
      <c r="I1055">
        <f t="shared" si="129"/>
        <v>161.59235018765133</v>
      </c>
      <c r="J1055">
        <f t="shared" si="124"/>
        <v>707.09865600849855</v>
      </c>
      <c r="K1055" s="27">
        <f t="shared" si="125"/>
        <v>-5137.4732502239303</v>
      </c>
    </row>
    <row r="1056" spans="1:11" x14ac:dyDescent="0.25">
      <c r="A1056" s="26">
        <v>1006</v>
      </c>
      <c r="B1056" s="82">
        <f t="shared" si="126"/>
        <v>0</v>
      </c>
      <c r="C1056" s="58">
        <f t="shared" si="130"/>
        <v>171.9194128119324</v>
      </c>
      <c r="D1056" s="83">
        <f t="shared" si="127"/>
        <v>733.33333333333326</v>
      </c>
      <c r="E1056">
        <f t="shared" si="123"/>
        <v>0</v>
      </c>
      <c r="G1056">
        <v>1006</v>
      </c>
      <c r="H1056" s="13">
        <f t="shared" si="128"/>
        <v>-1.0275684203264746E-2</v>
      </c>
      <c r="I1056">
        <f t="shared" si="129"/>
        <v>161.58207450344807</v>
      </c>
      <c r="J1056">
        <f t="shared" si="124"/>
        <v>707.06414132947145</v>
      </c>
      <c r="K1056" s="27">
        <f t="shared" si="125"/>
        <v>-5136.9715123976421</v>
      </c>
    </row>
    <row r="1057" spans="1:11" x14ac:dyDescent="0.25">
      <c r="A1057" s="26">
        <v>1007</v>
      </c>
      <c r="B1057" s="82">
        <f t="shared" si="126"/>
        <v>0</v>
      </c>
      <c r="C1057" s="58">
        <f t="shared" si="130"/>
        <v>171.9194128119324</v>
      </c>
      <c r="D1057" s="83">
        <f t="shared" si="127"/>
        <v>733.33333333333326</v>
      </c>
      <c r="E1057">
        <f t="shared" si="123"/>
        <v>0</v>
      </c>
      <c r="G1057">
        <v>1007</v>
      </c>
      <c r="H1057" s="13">
        <f t="shared" si="128"/>
        <v>-1.0275684203264746E-2</v>
      </c>
      <c r="I1057">
        <f t="shared" si="129"/>
        <v>161.5717988192448</v>
      </c>
      <c r="J1057">
        <f t="shared" si="124"/>
        <v>707.02959907520653</v>
      </c>
      <c r="K1057" s="27">
        <f t="shared" si="125"/>
        <v>-5136.469397961102</v>
      </c>
    </row>
    <row r="1058" spans="1:11" x14ac:dyDescent="0.25">
      <c r="A1058" s="26">
        <v>1008</v>
      </c>
      <c r="B1058" s="82">
        <f t="shared" si="126"/>
        <v>0</v>
      </c>
      <c r="C1058" s="58">
        <f t="shared" si="130"/>
        <v>171.9194128119324</v>
      </c>
      <c r="D1058" s="83">
        <f t="shared" si="127"/>
        <v>733.33333333333326</v>
      </c>
      <c r="E1058">
        <f t="shared" si="123"/>
        <v>0</v>
      </c>
      <c r="G1058">
        <v>1008</v>
      </c>
      <c r="H1058" s="13">
        <f t="shared" si="128"/>
        <v>-1.0275684203264746E-2</v>
      </c>
      <c r="I1058">
        <f t="shared" si="129"/>
        <v>161.56152313504154</v>
      </c>
      <c r="J1058">
        <f t="shared" si="124"/>
        <v>706.99502918489895</v>
      </c>
      <c r="K1058" s="27">
        <f t="shared" si="125"/>
        <v>-5135.9669060880124</v>
      </c>
    </row>
    <row r="1059" spans="1:11" x14ac:dyDescent="0.25">
      <c r="A1059" s="26">
        <v>1009</v>
      </c>
      <c r="B1059" s="82">
        <f t="shared" si="126"/>
        <v>0</v>
      </c>
      <c r="C1059" s="58">
        <f t="shared" si="130"/>
        <v>171.9194128119324</v>
      </c>
      <c r="D1059" s="83">
        <f t="shared" si="127"/>
        <v>733.33333333333326</v>
      </c>
      <c r="E1059">
        <f t="shared" si="123"/>
        <v>0</v>
      </c>
      <c r="G1059">
        <v>1009</v>
      </c>
      <c r="H1059" s="13">
        <f t="shared" si="128"/>
        <v>-1.0275684203264746E-2</v>
      </c>
      <c r="I1059">
        <f t="shared" si="129"/>
        <v>161.55124745083828</v>
      </c>
      <c r="J1059">
        <f t="shared" si="124"/>
        <v>706.96043159751594</v>
      </c>
      <c r="K1059" s="27">
        <f t="shared" si="125"/>
        <v>-5135.4640359489767</v>
      </c>
    </row>
    <row r="1060" spans="1:11" x14ac:dyDescent="0.25">
      <c r="A1060" s="26">
        <v>1010</v>
      </c>
      <c r="B1060" s="82">
        <f t="shared" si="126"/>
        <v>0</v>
      </c>
      <c r="C1060" s="58">
        <f t="shared" si="130"/>
        <v>171.9194128119324</v>
      </c>
      <c r="D1060" s="83">
        <f t="shared" si="127"/>
        <v>733.33333333333326</v>
      </c>
      <c r="E1060">
        <f t="shared" si="123"/>
        <v>0</v>
      </c>
      <c r="G1060">
        <v>1010</v>
      </c>
      <c r="H1060" s="13">
        <f t="shared" si="128"/>
        <v>-1.0275684203264746E-2</v>
      </c>
      <c r="I1060">
        <f t="shared" si="129"/>
        <v>161.54097176663501</v>
      </c>
      <c r="J1060">
        <f t="shared" si="124"/>
        <v>706.92580625179573</v>
      </c>
      <c r="K1060" s="27">
        <f t="shared" si="125"/>
        <v>-5134.9607867114864</v>
      </c>
    </row>
    <row r="1061" spans="1:11" x14ac:dyDescent="0.25">
      <c r="A1061" s="26">
        <v>1011</v>
      </c>
      <c r="B1061" s="82">
        <f t="shared" si="126"/>
        <v>0</v>
      </c>
      <c r="C1061" s="58">
        <f t="shared" si="130"/>
        <v>171.9194128119324</v>
      </c>
      <c r="D1061" s="83">
        <f t="shared" si="127"/>
        <v>733.33333333333326</v>
      </c>
      <c r="E1061">
        <f t="shared" si="123"/>
        <v>0</v>
      </c>
      <c r="G1061">
        <v>1011</v>
      </c>
      <c r="H1061" s="13">
        <f t="shared" si="128"/>
        <v>-1.0275684203264746E-2</v>
      </c>
      <c r="I1061">
        <f t="shared" si="129"/>
        <v>161.53069608243175</v>
      </c>
      <c r="J1061">
        <f t="shared" si="124"/>
        <v>706.89115308624639</v>
      </c>
      <c r="K1061" s="27">
        <f t="shared" si="125"/>
        <v>-5134.4571575399004</v>
      </c>
    </row>
    <row r="1062" spans="1:11" x14ac:dyDescent="0.25">
      <c r="A1062" s="26">
        <v>1012</v>
      </c>
      <c r="B1062" s="82">
        <f t="shared" si="126"/>
        <v>0</v>
      </c>
      <c r="C1062" s="58">
        <f t="shared" si="130"/>
        <v>171.9194128119324</v>
      </c>
      <c r="D1062" s="83">
        <f t="shared" si="127"/>
        <v>733.33333333333326</v>
      </c>
      <c r="E1062">
        <f t="shared" si="123"/>
        <v>0</v>
      </c>
      <c r="G1062">
        <v>1012</v>
      </c>
      <c r="H1062" s="13">
        <f t="shared" si="128"/>
        <v>-1.0275684203264746E-2</v>
      </c>
      <c r="I1062">
        <f t="shared" si="129"/>
        <v>161.52042039822848</v>
      </c>
      <c r="J1062">
        <f t="shared" si="124"/>
        <v>706.85647203914459</v>
      </c>
      <c r="K1062" s="27">
        <f t="shared" si="125"/>
        <v>-5133.9531475954345</v>
      </c>
    </row>
    <row r="1063" spans="1:11" x14ac:dyDescent="0.25">
      <c r="A1063" s="26">
        <v>1013</v>
      </c>
      <c r="B1063" s="82">
        <f t="shared" si="126"/>
        <v>0</v>
      </c>
      <c r="C1063" s="58">
        <f t="shared" si="130"/>
        <v>171.9194128119324</v>
      </c>
      <c r="D1063" s="83">
        <f t="shared" si="127"/>
        <v>733.33333333333326</v>
      </c>
      <c r="E1063">
        <f t="shared" si="123"/>
        <v>0</v>
      </c>
      <c r="G1063">
        <v>1013</v>
      </c>
      <c r="H1063" s="13">
        <f t="shared" si="128"/>
        <v>-1.0275684203264746E-2</v>
      </c>
      <c r="I1063">
        <f t="shared" si="129"/>
        <v>161.51014471402522</v>
      </c>
      <c r="J1063">
        <f t="shared" si="124"/>
        <v>706.82176304853465</v>
      </c>
      <c r="K1063" s="27">
        <f t="shared" si="125"/>
        <v>-5133.4487560361395</v>
      </c>
    </row>
    <row r="1064" spans="1:11" x14ac:dyDescent="0.25">
      <c r="A1064" s="26">
        <v>1014</v>
      </c>
      <c r="B1064" s="82">
        <f t="shared" si="126"/>
        <v>0</v>
      </c>
      <c r="C1064" s="58">
        <f t="shared" si="130"/>
        <v>171.9194128119324</v>
      </c>
      <c r="D1064" s="83">
        <f t="shared" si="127"/>
        <v>733.33333333333326</v>
      </c>
      <c r="E1064">
        <f t="shared" si="123"/>
        <v>0</v>
      </c>
      <c r="G1064">
        <v>1014</v>
      </c>
      <c r="H1064" s="13">
        <f t="shared" si="128"/>
        <v>-1.0275684203264746E-2</v>
      </c>
      <c r="I1064">
        <f t="shared" si="129"/>
        <v>161.49986902982195</v>
      </c>
      <c r="J1064">
        <f t="shared" si="124"/>
        <v>706.78702605222657</v>
      </c>
      <c r="K1064" s="27">
        <f t="shared" si="125"/>
        <v>-5132.9439820168827</v>
      </c>
    </row>
    <row r="1065" spans="1:11" x14ac:dyDescent="0.25">
      <c r="A1065" s="26">
        <v>1015</v>
      </c>
      <c r="B1065" s="82">
        <f t="shared" si="126"/>
        <v>0</v>
      </c>
      <c r="C1065" s="58">
        <f t="shared" si="130"/>
        <v>171.9194128119324</v>
      </c>
      <c r="D1065" s="83">
        <f t="shared" si="127"/>
        <v>733.33333333333326</v>
      </c>
      <c r="E1065">
        <f t="shared" si="123"/>
        <v>0</v>
      </c>
      <c r="G1065">
        <v>1015</v>
      </c>
      <c r="H1065" s="13">
        <f t="shared" si="128"/>
        <v>-1.0275684203264746E-2</v>
      </c>
      <c r="I1065">
        <f t="shared" si="129"/>
        <v>161.48959334561869</v>
      </c>
      <c r="J1065">
        <f t="shared" si="124"/>
        <v>706.75226098779569</v>
      </c>
      <c r="K1065" s="27">
        <f t="shared" si="125"/>
        <v>-5132.4388246893386</v>
      </c>
    </row>
    <row r="1066" spans="1:11" x14ac:dyDescent="0.25">
      <c r="A1066" s="26">
        <v>1016</v>
      </c>
      <c r="B1066" s="82">
        <f t="shared" si="126"/>
        <v>0</v>
      </c>
      <c r="C1066" s="58">
        <f t="shared" si="130"/>
        <v>171.9194128119324</v>
      </c>
      <c r="D1066" s="83">
        <f t="shared" si="127"/>
        <v>733.33333333333326</v>
      </c>
      <c r="E1066">
        <f t="shared" si="123"/>
        <v>0</v>
      </c>
      <c r="G1066">
        <v>1016</v>
      </c>
      <c r="H1066" s="13">
        <f t="shared" si="128"/>
        <v>-1.0275684203264746E-2</v>
      </c>
      <c r="I1066">
        <f t="shared" si="129"/>
        <v>161.47931766141542</v>
      </c>
      <c r="J1066">
        <f t="shared" si="124"/>
        <v>706.71746779258081</v>
      </c>
      <c r="K1066" s="27">
        <f t="shared" si="125"/>
        <v>-5131.9332832019663</v>
      </c>
    </row>
    <row r="1067" spans="1:11" x14ac:dyDescent="0.25">
      <c r="A1067" s="26">
        <v>1017</v>
      </c>
      <c r="B1067" s="82">
        <f t="shared" si="126"/>
        <v>0</v>
      </c>
      <c r="C1067" s="58">
        <f t="shared" si="130"/>
        <v>171.9194128119324</v>
      </c>
      <c r="D1067" s="83">
        <f t="shared" si="127"/>
        <v>733.33333333333326</v>
      </c>
      <c r="E1067">
        <f t="shared" si="123"/>
        <v>0</v>
      </c>
      <c r="G1067">
        <v>1017</v>
      </c>
      <c r="H1067" s="13">
        <f t="shared" si="128"/>
        <v>-1.0275684203264746E-2</v>
      </c>
      <c r="I1067">
        <f t="shared" si="129"/>
        <v>161.46904197721216</v>
      </c>
      <c r="J1067">
        <f t="shared" si="124"/>
        <v>706.68264640368329</v>
      </c>
      <c r="K1067" s="27">
        <f t="shared" si="125"/>
        <v>-5131.4273566999946</v>
      </c>
    </row>
    <row r="1068" spans="1:11" x14ac:dyDescent="0.25">
      <c r="A1068" s="26">
        <v>1018</v>
      </c>
      <c r="B1068" s="82">
        <f t="shared" si="126"/>
        <v>0</v>
      </c>
      <c r="C1068" s="58">
        <f t="shared" si="130"/>
        <v>171.9194128119324</v>
      </c>
      <c r="D1068" s="83">
        <f t="shared" si="127"/>
        <v>733.33333333333326</v>
      </c>
      <c r="E1068">
        <f t="shared" si="123"/>
        <v>0</v>
      </c>
      <c r="G1068">
        <v>1018</v>
      </c>
      <c r="H1068" s="13">
        <f t="shared" si="128"/>
        <v>-1.0275684203264746E-2</v>
      </c>
      <c r="I1068">
        <f t="shared" si="129"/>
        <v>161.45876629300889</v>
      </c>
      <c r="J1068">
        <f t="shared" si="124"/>
        <v>706.64779675796535</v>
      </c>
      <c r="K1068" s="27">
        <f t="shared" si="125"/>
        <v>-5130.9210443253996</v>
      </c>
    </row>
    <row r="1069" spans="1:11" x14ac:dyDescent="0.25">
      <c r="A1069" s="26">
        <v>1019</v>
      </c>
      <c r="B1069" s="82">
        <f t="shared" si="126"/>
        <v>0</v>
      </c>
      <c r="C1069" s="58">
        <f t="shared" si="130"/>
        <v>171.9194128119324</v>
      </c>
      <c r="D1069" s="83">
        <f t="shared" si="127"/>
        <v>733.33333333333326</v>
      </c>
      <c r="E1069">
        <f t="shared" si="123"/>
        <v>0</v>
      </c>
      <c r="G1069">
        <v>1019</v>
      </c>
      <c r="H1069" s="13">
        <f t="shared" si="128"/>
        <v>-1.0275684203264746E-2</v>
      </c>
      <c r="I1069">
        <f t="shared" si="129"/>
        <v>161.44849060880563</v>
      </c>
      <c r="J1069">
        <f t="shared" si="124"/>
        <v>706.61291879204941</v>
      </c>
      <c r="K1069" s="27">
        <f t="shared" si="125"/>
        <v>-5130.4143452168964</v>
      </c>
    </row>
    <row r="1070" spans="1:11" x14ac:dyDescent="0.25">
      <c r="A1070" s="26">
        <v>1020</v>
      </c>
      <c r="B1070" s="82">
        <f t="shared" si="126"/>
        <v>0</v>
      </c>
      <c r="C1070" s="58">
        <f t="shared" si="130"/>
        <v>171.9194128119324</v>
      </c>
      <c r="D1070" s="83">
        <f t="shared" si="127"/>
        <v>733.33333333333326</v>
      </c>
      <c r="E1070">
        <f t="shared" si="123"/>
        <v>0</v>
      </c>
      <c r="G1070">
        <v>1020</v>
      </c>
      <c r="H1070" s="13">
        <f t="shared" si="128"/>
        <v>-1.0275684203264746E-2</v>
      </c>
      <c r="I1070">
        <f t="shared" si="129"/>
        <v>161.43821492460236</v>
      </c>
      <c r="J1070">
        <f t="shared" si="124"/>
        <v>706.57801244231621</v>
      </c>
      <c r="K1070" s="27">
        <f t="shared" si="125"/>
        <v>-5129.9072585099157</v>
      </c>
    </row>
    <row r="1071" spans="1:11" x14ac:dyDescent="0.25">
      <c r="A1071" s="26">
        <v>1021</v>
      </c>
      <c r="B1071" s="82">
        <f t="shared" si="126"/>
        <v>0</v>
      </c>
      <c r="C1071" s="58">
        <f t="shared" si="130"/>
        <v>171.9194128119324</v>
      </c>
      <c r="D1071" s="83">
        <f t="shared" si="127"/>
        <v>733.33333333333326</v>
      </c>
      <c r="E1071">
        <f t="shared" si="123"/>
        <v>0</v>
      </c>
      <c r="G1071">
        <v>1021</v>
      </c>
      <c r="H1071" s="13">
        <f t="shared" si="128"/>
        <v>-1.0275684203264746E-2</v>
      </c>
      <c r="I1071">
        <f t="shared" si="129"/>
        <v>161.4279392403991</v>
      </c>
      <c r="J1071">
        <f t="shared" si="124"/>
        <v>706.54307764490409</v>
      </c>
      <c r="K1071" s="27">
        <f t="shared" si="125"/>
        <v>-5129.3997833365856</v>
      </c>
    </row>
    <row r="1072" spans="1:11" x14ac:dyDescent="0.25">
      <c r="A1072" s="26">
        <v>1022</v>
      </c>
      <c r="B1072" s="82">
        <f t="shared" si="126"/>
        <v>0</v>
      </c>
      <c r="C1072" s="58">
        <f t="shared" si="130"/>
        <v>171.9194128119324</v>
      </c>
      <c r="D1072" s="83">
        <f t="shared" si="127"/>
        <v>733.33333333333326</v>
      </c>
      <c r="E1072">
        <f t="shared" si="123"/>
        <v>0</v>
      </c>
      <c r="G1072">
        <v>1022</v>
      </c>
      <c r="H1072" s="13">
        <f t="shared" si="128"/>
        <v>-1.0275684203264746E-2</v>
      </c>
      <c r="I1072">
        <f t="shared" si="129"/>
        <v>161.41766355619583</v>
      </c>
      <c r="J1072">
        <f t="shared" si="124"/>
        <v>706.50811433570709</v>
      </c>
      <c r="K1072" s="27">
        <f t="shared" si="125"/>
        <v>-5128.8919188257187</v>
      </c>
    </row>
    <row r="1073" spans="1:11" x14ac:dyDescent="0.25">
      <c r="A1073" s="26">
        <v>1023</v>
      </c>
      <c r="B1073" s="82">
        <f t="shared" si="126"/>
        <v>0</v>
      </c>
      <c r="C1073" s="58">
        <f t="shared" si="130"/>
        <v>171.9194128119324</v>
      </c>
      <c r="D1073" s="83">
        <f t="shared" si="127"/>
        <v>733.33333333333326</v>
      </c>
      <c r="E1073">
        <f t="shared" si="123"/>
        <v>0</v>
      </c>
      <c r="G1073">
        <v>1023</v>
      </c>
      <c r="H1073" s="13">
        <f t="shared" si="128"/>
        <v>-1.0275684203264746E-2</v>
      </c>
      <c r="I1073">
        <f t="shared" si="129"/>
        <v>161.40738787199257</v>
      </c>
      <c r="J1073">
        <f t="shared" si="124"/>
        <v>706.47312245037415</v>
      </c>
      <c r="K1073" s="27">
        <f t="shared" si="125"/>
        <v>-5128.3836641027892</v>
      </c>
    </row>
    <row r="1074" spans="1:11" x14ac:dyDescent="0.25">
      <c r="A1074" s="26">
        <v>1024</v>
      </c>
      <c r="B1074" s="82">
        <f t="shared" si="126"/>
        <v>0</v>
      </c>
      <c r="C1074" s="58">
        <f t="shared" si="130"/>
        <v>171.9194128119324</v>
      </c>
      <c r="D1074" s="83">
        <f t="shared" si="127"/>
        <v>733.33333333333326</v>
      </c>
      <c r="E1074">
        <f t="shared" si="123"/>
        <v>0</v>
      </c>
      <c r="G1074">
        <v>1024</v>
      </c>
      <c r="H1074" s="13">
        <f t="shared" si="128"/>
        <v>-1.0275684203264746E-2</v>
      </c>
      <c r="I1074">
        <f t="shared" si="129"/>
        <v>161.3971121877893</v>
      </c>
      <c r="J1074">
        <f t="shared" si="124"/>
        <v>706.43810192430738</v>
      </c>
      <c r="K1074" s="27">
        <f t="shared" si="125"/>
        <v>-5127.8750182899157</v>
      </c>
    </row>
    <row r="1075" spans="1:11" x14ac:dyDescent="0.25">
      <c r="A1075" s="26">
        <v>1025</v>
      </c>
      <c r="B1075" s="82">
        <f t="shared" si="126"/>
        <v>0</v>
      </c>
      <c r="C1075" s="58">
        <f t="shared" si="130"/>
        <v>171.9194128119324</v>
      </c>
      <c r="D1075" s="83">
        <f t="shared" si="127"/>
        <v>733.33333333333326</v>
      </c>
      <c r="E1075">
        <f t="shared" ref="E1075:E1138" si="131">((D1075^2)+(D1075*D1076)+(D1076^2))*B1076/3</f>
        <v>0</v>
      </c>
      <c r="G1075">
        <v>1025</v>
      </c>
      <c r="H1075" s="13">
        <f t="shared" si="128"/>
        <v>-1.0275684203264746E-2</v>
      </c>
      <c r="I1075">
        <f t="shared" si="129"/>
        <v>161.38683650358604</v>
      </c>
      <c r="J1075">
        <f t="shared" ref="J1075:J1138" si="132">IF($G$28&lt;$C$14,0,((($C$11^2)-((I1075-$C$13)^2))^0.5)+$C$16)</f>
        <v>706.40305269266105</v>
      </c>
      <c r="K1075" s="27">
        <f t="shared" ref="K1075:K1138" si="133">((J1075^2)+(J1075*J1076)+(J1076^2))*H1076/3</f>
        <v>-5127.3659805058469</v>
      </c>
    </row>
    <row r="1076" spans="1:11" x14ac:dyDescent="0.25">
      <c r="A1076" s="26">
        <v>1026</v>
      </c>
      <c r="B1076" s="82">
        <f t="shared" ref="B1076:B1139" si="134">C1076-C1075</f>
        <v>0</v>
      </c>
      <c r="C1076" s="58">
        <f t="shared" si="130"/>
        <v>171.9194128119324</v>
      </c>
      <c r="D1076" s="83">
        <f t="shared" ref="D1076:D1139" si="135">IF($G$28&lt;$C$14,0,((($C$11^2)-((C1076-$C$13)^2))^0.5)+$C$16)</f>
        <v>733.33333333333326</v>
      </c>
      <c r="E1076">
        <f t="shared" si="131"/>
        <v>0</v>
      </c>
      <c r="G1076">
        <v>1026</v>
      </c>
      <c r="H1076" s="13">
        <f t="shared" ref="H1076:H1139" si="136">I1076-I1075</f>
        <v>-1.0275684203264746E-2</v>
      </c>
      <c r="I1076">
        <f t="shared" ref="I1076:I1139" si="137">($G$27-$C$14)/2000+I1075</f>
        <v>161.37656081938277</v>
      </c>
      <c r="J1076">
        <f t="shared" si="132"/>
        <v>706.36797469034013</v>
      </c>
      <c r="K1076" s="27">
        <f t="shared" si="133"/>
        <v>-5126.8565498659409</v>
      </c>
    </row>
    <row r="1077" spans="1:11" x14ac:dyDescent="0.25">
      <c r="A1077" s="26">
        <v>1027</v>
      </c>
      <c r="B1077" s="82">
        <f t="shared" si="134"/>
        <v>0</v>
      </c>
      <c r="C1077" s="58">
        <f t="shared" si="130"/>
        <v>171.9194128119324</v>
      </c>
      <c r="D1077" s="83">
        <f t="shared" si="135"/>
        <v>733.33333333333326</v>
      </c>
      <c r="E1077">
        <f t="shared" si="131"/>
        <v>0</v>
      </c>
      <c r="G1077">
        <v>1027</v>
      </c>
      <c r="H1077" s="13">
        <f t="shared" si="136"/>
        <v>-1.0275684203264746E-2</v>
      </c>
      <c r="I1077">
        <f t="shared" si="137"/>
        <v>161.36628513517951</v>
      </c>
      <c r="J1077">
        <f t="shared" si="132"/>
        <v>706.33286785199903</v>
      </c>
      <c r="K1077" s="27">
        <f t="shared" si="133"/>
        <v>-5126.3467254821444</v>
      </c>
    </row>
    <row r="1078" spans="1:11" x14ac:dyDescent="0.25">
      <c r="A1078" s="26">
        <v>1028</v>
      </c>
      <c r="B1078" s="82">
        <f t="shared" si="134"/>
        <v>0</v>
      </c>
      <c r="C1078" s="58">
        <f t="shared" si="130"/>
        <v>171.9194128119324</v>
      </c>
      <c r="D1078" s="83">
        <f t="shared" si="135"/>
        <v>733.33333333333326</v>
      </c>
      <c r="E1078">
        <f t="shared" si="131"/>
        <v>0</v>
      </c>
      <c r="G1078">
        <v>1028</v>
      </c>
      <c r="H1078" s="13">
        <f t="shared" si="136"/>
        <v>-1.0275684203264746E-2</v>
      </c>
      <c r="I1078">
        <f t="shared" si="137"/>
        <v>161.35600945097625</v>
      </c>
      <c r="J1078">
        <f t="shared" si="132"/>
        <v>706.29773211203985</v>
      </c>
      <c r="K1078" s="27">
        <f t="shared" si="133"/>
        <v>-5125.8365064629788</v>
      </c>
    </row>
    <row r="1079" spans="1:11" x14ac:dyDescent="0.25">
      <c r="A1079" s="26">
        <v>1029</v>
      </c>
      <c r="B1079" s="82">
        <f t="shared" si="134"/>
        <v>0</v>
      </c>
      <c r="C1079" s="58">
        <f t="shared" si="130"/>
        <v>171.9194128119324</v>
      </c>
      <c r="D1079" s="83">
        <f t="shared" si="135"/>
        <v>733.33333333333326</v>
      </c>
      <c r="E1079">
        <f t="shared" si="131"/>
        <v>0</v>
      </c>
      <c r="G1079">
        <v>1029</v>
      </c>
      <c r="H1079" s="13">
        <f t="shared" si="136"/>
        <v>-1.0275684203264746E-2</v>
      </c>
      <c r="I1079">
        <f t="shared" si="137"/>
        <v>161.34573376677298</v>
      </c>
      <c r="J1079">
        <f t="shared" si="132"/>
        <v>706.26256740461167</v>
      </c>
      <c r="K1079" s="27">
        <f t="shared" si="133"/>
        <v>-5125.3258919135187</v>
      </c>
    </row>
    <row r="1080" spans="1:11" x14ac:dyDescent="0.25">
      <c r="A1080" s="26">
        <v>1030</v>
      </c>
      <c r="B1080" s="82">
        <f t="shared" si="134"/>
        <v>0</v>
      </c>
      <c r="C1080" s="58">
        <f t="shared" si="130"/>
        <v>171.9194128119324</v>
      </c>
      <c r="D1080" s="83">
        <f t="shared" si="135"/>
        <v>733.33333333333326</v>
      </c>
      <c r="E1080">
        <f t="shared" si="131"/>
        <v>0</v>
      </c>
      <c r="G1080">
        <v>1030</v>
      </c>
      <c r="H1080" s="13">
        <f t="shared" si="136"/>
        <v>-1.0275684203264746E-2</v>
      </c>
      <c r="I1080">
        <f t="shared" si="137"/>
        <v>161.33545808256972</v>
      </c>
      <c r="J1080">
        <f t="shared" si="132"/>
        <v>706.22737366360866</v>
      </c>
      <c r="K1080" s="27">
        <f t="shared" si="133"/>
        <v>-5124.8148809353752</v>
      </c>
    </row>
    <row r="1081" spans="1:11" x14ac:dyDescent="0.25">
      <c r="A1081" s="26">
        <v>1031</v>
      </c>
      <c r="B1081" s="82">
        <f t="shared" si="134"/>
        <v>0</v>
      </c>
      <c r="C1081" s="58">
        <f t="shared" si="130"/>
        <v>171.9194128119324</v>
      </c>
      <c r="D1081" s="83">
        <f t="shared" si="135"/>
        <v>733.33333333333326</v>
      </c>
      <c r="E1081">
        <f t="shared" si="131"/>
        <v>0</v>
      </c>
      <c r="G1081">
        <v>1031</v>
      </c>
      <c r="H1081" s="13">
        <f t="shared" si="136"/>
        <v>-1.0275684203264746E-2</v>
      </c>
      <c r="I1081">
        <f t="shared" si="137"/>
        <v>161.32518239836645</v>
      </c>
      <c r="J1081">
        <f t="shared" si="132"/>
        <v>706.19215082266885</v>
      </c>
      <c r="K1081" s="27">
        <f t="shared" si="133"/>
        <v>-5124.3034726266742</v>
      </c>
    </row>
    <row r="1082" spans="1:11" x14ac:dyDescent="0.25">
      <c r="A1082" s="26">
        <v>1032</v>
      </c>
      <c r="B1082" s="82">
        <f t="shared" si="134"/>
        <v>0</v>
      </c>
      <c r="C1082" s="58">
        <f t="shared" si="130"/>
        <v>171.9194128119324</v>
      </c>
      <c r="D1082" s="83">
        <f t="shared" si="135"/>
        <v>733.33333333333326</v>
      </c>
      <c r="E1082">
        <f t="shared" si="131"/>
        <v>0</v>
      </c>
      <c r="G1082">
        <v>1032</v>
      </c>
      <c r="H1082" s="13">
        <f t="shared" si="136"/>
        <v>-1.0275684203264746E-2</v>
      </c>
      <c r="I1082">
        <f t="shared" si="137"/>
        <v>161.31490671416319</v>
      </c>
      <c r="J1082">
        <f t="shared" si="132"/>
        <v>706.15689881517289</v>
      </c>
      <c r="K1082" s="27">
        <f t="shared" si="133"/>
        <v>-5123.7916660820401</v>
      </c>
    </row>
    <row r="1083" spans="1:11" x14ac:dyDescent="0.25">
      <c r="A1083" s="26">
        <v>1033</v>
      </c>
      <c r="B1083" s="82">
        <f t="shared" si="134"/>
        <v>0</v>
      </c>
      <c r="C1083" s="58">
        <f t="shared" si="130"/>
        <v>171.9194128119324</v>
      </c>
      <c r="D1083" s="83">
        <f t="shared" si="135"/>
        <v>733.33333333333326</v>
      </c>
      <c r="E1083">
        <f t="shared" si="131"/>
        <v>0</v>
      </c>
      <c r="G1083">
        <v>1033</v>
      </c>
      <c r="H1083" s="13">
        <f t="shared" si="136"/>
        <v>-1.0275684203264746E-2</v>
      </c>
      <c r="I1083">
        <f t="shared" si="137"/>
        <v>161.30463102995992</v>
      </c>
      <c r="J1083">
        <f t="shared" si="132"/>
        <v>706.12161757424224</v>
      </c>
      <c r="K1083" s="27">
        <f t="shared" si="133"/>
        <v>-5123.2794603925749</v>
      </c>
    </row>
    <row r="1084" spans="1:11" x14ac:dyDescent="0.25">
      <c r="A1084" s="26">
        <v>1034</v>
      </c>
      <c r="B1084" s="82">
        <f t="shared" si="134"/>
        <v>0</v>
      </c>
      <c r="C1084" s="58">
        <f t="shared" si="130"/>
        <v>171.9194128119324</v>
      </c>
      <c r="D1084" s="83">
        <f t="shared" si="135"/>
        <v>733.33333333333326</v>
      </c>
      <c r="E1084">
        <f t="shared" si="131"/>
        <v>0</v>
      </c>
      <c r="G1084">
        <v>1034</v>
      </c>
      <c r="H1084" s="13">
        <f t="shared" si="136"/>
        <v>-1.0275684203264746E-2</v>
      </c>
      <c r="I1084">
        <f t="shared" si="137"/>
        <v>161.29435534575666</v>
      </c>
      <c r="J1084">
        <f t="shared" si="132"/>
        <v>706.08630703273832</v>
      </c>
      <c r="K1084" s="27">
        <f t="shared" si="133"/>
        <v>-5122.7668546458408</v>
      </c>
    </row>
    <row r="1085" spans="1:11" x14ac:dyDescent="0.25">
      <c r="A1085" s="26">
        <v>1035</v>
      </c>
      <c r="B1085" s="82">
        <f t="shared" si="134"/>
        <v>0</v>
      </c>
      <c r="C1085" s="58">
        <f t="shared" si="130"/>
        <v>171.9194128119324</v>
      </c>
      <c r="D1085" s="83">
        <f t="shared" si="135"/>
        <v>733.33333333333326</v>
      </c>
      <c r="E1085">
        <f t="shared" si="131"/>
        <v>0</v>
      </c>
      <c r="G1085">
        <v>1035</v>
      </c>
      <c r="H1085" s="13">
        <f t="shared" si="136"/>
        <v>-1.0275684203264746E-2</v>
      </c>
      <c r="I1085">
        <f t="shared" si="137"/>
        <v>161.28407966155339</v>
      </c>
      <c r="J1085">
        <f t="shared" si="132"/>
        <v>706.05096712326053</v>
      </c>
      <c r="K1085" s="27">
        <f t="shared" si="133"/>
        <v>-5122.2538479258383</v>
      </c>
    </row>
    <row r="1086" spans="1:11" x14ac:dyDescent="0.25">
      <c r="A1086" s="26">
        <v>1036</v>
      </c>
      <c r="B1086" s="82">
        <f t="shared" si="134"/>
        <v>0</v>
      </c>
      <c r="C1086" s="58">
        <f t="shared" si="130"/>
        <v>171.9194128119324</v>
      </c>
      <c r="D1086" s="83">
        <f t="shared" si="135"/>
        <v>733.33333333333326</v>
      </c>
      <c r="E1086">
        <f t="shared" si="131"/>
        <v>0</v>
      </c>
      <c r="G1086">
        <v>1036</v>
      </c>
      <c r="H1086" s="13">
        <f t="shared" si="136"/>
        <v>-1.0275684203264746E-2</v>
      </c>
      <c r="I1086">
        <f t="shared" si="137"/>
        <v>161.27380397735013</v>
      </c>
      <c r="J1086">
        <f t="shared" si="132"/>
        <v>706.01559777814532</v>
      </c>
      <c r="K1086" s="27">
        <f t="shared" si="133"/>
        <v>-5121.74043931299</v>
      </c>
    </row>
    <row r="1087" spans="1:11" x14ac:dyDescent="0.25">
      <c r="A1087" s="26">
        <v>1037</v>
      </c>
      <c r="B1087" s="82">
        <f t="shared" si="134"/>
        <v>0</v>
      </c>
      <c r="C1087" s="58">
        <f t="shared" si="130"/>
        <v>171.9194128119324</v>
      </c>
      <c r="D1087" s="83">
        <f t="shared" si="135"/>
        <v>733.33333333333326</v>
      </c>
      <c r="E1087">
        <f t="shared" si="131"/>
        <v>0</v>
      </c>
      <c r="G1087">
        <v>1037</v>
      </c>
      <c r="H1087" s="13">
        <f t="shared" si="136"/>
        <v>-1.0275684203264746E-2</v>
      </c>
      <c r="I1087">
        <f t="shared" si="137"/>
        <v>161.26352829314686</v>
      </c>
      <c r="J1087">
        <f t="shared" si="132"/>
        <v>705.98019892946434</v>
      </c>
      <c r="K1087" s="27">
        <f t="shared" si="133"/>
        <v>-5121.226627884118</v>
      </c>
    </row>
    <row r="1088" spans="1:11" x14ac:dyDescent="0.25">
      <c r="A1088" s="26">
        <v>1038</v>
      </c>
      <c r="B1088" s="82">
        <f t="shared" si="134"/>
        <v>0</v>
      </c>
      <c r="C1088" s="58">
        <f t="shared" si="130"/>
        <v>171.9194128119324</v>
      </c>
      <c r="D1088" s="83">
        <f t="shared" si="135"/>
        <v>733.33333333333326</v>
      </c>
      <c r="E1088">
        <f t="shared" si="131"/>
        <v>0</v>
      </c>
      <c r="G1088">
        <v>1038</v>
      </c>
      <c r="H1088" s="13">
        <f t="shared" si="136"/>
        <v>-1.0275684203264746E-2</v>
      </c>
      <c r="I1088">
        <f t="shared" si="137"/>
        <v>161.2532526089436</v>
      </c>
      <c r="J1088">
        <f t="shared" si="132"/>
        <v>705.9447705090231</v>
      </c>
      <c r="K1088" s="27">
        <f t="shared" si="133"/>
        <v>-5120.7124127124252</v>
      </c>
    </row>
    <row r="1089" spans="1:11" x14ac:dyDescent="0.25">
      <c r="A1089" s="26">
        <v>1039</v>
      </c>
      <c r="B1089" s="82">
        <f t="shared" si="134"/>
        <v>0</v>
      </c>
      <c r="C1089" s="58">
        <f t="shared" si="130"/>
        <v>171.9194128119324</v>
      </c>
      <c r="D1089" s="83">
        <f t="shared" si="135"/>
        <v>733.33333333333326</v>
      </c>
      <c r="E1089">
        <f t="shared" si="131"/>
        <v>0</v>
      </c>
      <c r="G1089">
        <v>1039</v>
      </c>
      <c r="H1089" s="13">
        <f t="shared" si="136"/>
        <v>-1.0275684203264746E-2</v>
      </c>
      <c r="I1089">
        <f t="shared" si="137"/>
        <v>161.24297692474033</v>
      </c>
      <c r="J1089">
        <f t="shared" si="132"/>
        <v>705.90931244835974</v>
      </c>
      <c r="K1089" s="27">
        <f t="shared" si="133"/>
        <v>-5120.1977928674742</v>
      </c>
    </row>
    <row r="1090" spans="1:11" x14ac:dyDescent="0.25">
      <c r="A1090" s="26">
        <v>1040</v>
      </c>
      <c r="B1090" s="82">
        <f t="shared" si="134"/>
        <v>0</v>
      </c>
      <c r="C1090" s="58">
        <f t="shared" si="130"/>
        <v>171.9194128119324</v>
      </c>
      <c r="D1090" s="83">
        <f t="shared" si="135"/>
        <v>733.33333333333326</v>
      </c>
      <c r="E1090">
        <f t="shared" si="131"/>
        <v>0</v>
      </c>
      <c r="G1090">
        <v>1040</v>
      </c>
      <c r="H1090" s="13">
        <f t="shared" si="136"/>
        <v>-1.0275684203264746E-2</v>
      </c>
      <c r="I1090">
        <f t="shared" si="137"/>
        <v>161.23270124053707</v>
      </c>
      <c r="J1090">
        <f t="shared" si="132"/>
        <v>705.87382467874306</v>
      </c>
      <c r="K1090" s="27">
        <f t="shared" si="133"/>
        <v>-5119.6827674151709</v>
      </c>
    </row>
    <row r="1091" spans="1:11" x14ac:dyDescent="0.25">
      <c r="A1091" s="26">
        <v>1041</v>
      </c>
      <c r="B1091" s="82">
        <f t="shared" si="134"/>
        <v>0</v>
      </c>
      <c r="C1091" s="58">
        <f t="shared" si="130"/>
        <v>171.9194128119324</v>
      </c>
      <c r="D1091" s="83">
        <f t="shared" si="135"/>
        <v>733.33333333333326</v>
      </c>
      <c r="E1091">
        <f t="shared" si="131"/>
        <v>0</v>
      </c>
      <c r="G1091">
        <v>1041</v>
      </c>
      <c r="H1091" s="13">
        <f t="shared" si="136"/>
        <v>-1.0275684203264746E-2</v>
      </c>
      <c r="I1091">
        <f t="shared" si="137"/>
        <v>161.2224255563338</v>
      </c>
      <c r="J1091">
        <f t="shared" si="132"/>
        <v>705.83830713117175</v>
      </c>
      <c r="K1091" s="27">
        <f t="shared" si="133"/>
        <v>-5119.1673354177401</v>
      </c>
    </row>
    <row r="1092" spans="1:11" x14ac:dyDescent="0.25">
      <c r="A1092" s="26">
        <v>1042</v>
      </c>
      <c r="B1092" s="82">
        <f t="shared" si="134"/>
        <v>0</v>
      </c>
      <c r="C1092" s="58">
        <f t="shared" si="130"/>
        <v>171.9194128119324</v>
      </c>
      <c r="D1092" s="83">
        <f t="shared" si="135"/>
        <v>733.33333333333326</v>
      </c>
      <c r="E1092">
        <f t="shared" si="131"/>
        <v>0</v>
      </c>
      <c r="G1092">
        <v>1042</v>
      </c>
      <c r="H1092" s="13">
        <f t="shared" si="136"/>
        <v>-1.0275684203264746E-2</v>
      </c>
      <c r="I1092">
        <f t="shared" si="137"/>
        <v>161.21214987213054</v>
      </c>
      <c r="J1092">
        <f t="shared" si="132"/>
        <v>705.8027597363722</v>
      </c>
      <c r="K1092" s="27">
        <f t="shared" si="133"/>
        <v>-5118.6514959337064</v>
      </c>
    </row>
    <row r="1093" spans="1:11" x14ac:dyDescent="0.25">
      <c r="A1093" s="26">
        <v>1043</v>
      </c>
      <c r="B1093" s="82">
        <f t="shared" si="134"/>
        <v>0</v>
      </c>
      <c r="C1093" s="58">
        <f t="shared" si="130"/>
        <v>171.9194128119324</v>
      </c>
      <c r="D1093" s="83">
        <f t="shared" si="135"/>
        <v>733.33333333333326</v>
      </c>
      <c r="E1093">
        <f t="shared" si="131"/>
        <v>0</v>
      </c>
      <c r="G1093">
        <v>1043</v>
      </c>
      <c r="H1093" s="13">
        <f t="shared" si="136"/>
        <v>-1.0275684203264746E-2</v>
      </c>
      <c r="I1093">
        <f t="shared" si="137"/>
        <v>161.20187418792727</v>
      </c>
      <c r="J1093">
        <f t="shared" si="132"/>
        <v>705.76718242479717</v>
      </c>
      <c r="K1093" s="27">
        <f t="shared" si="133"/>
        <v>-5118.1352480178739</v>
      </c>
    </row>
    <row r="1094" spans="1:11" x14ac:dyDescent="0.25">
      <c r="A1094" s="26">
        <v>1044</v>
      </c>
      <c r="B1094" s="82">
        <f t="shared" si="134"/>
        <v>0</v>
      </c>
      <c r="C1094" s="58">
        <f t="shared" si="130"/>
        <v>171.9194128119324</v>
      </c>
      <c r="D1094" s="83">
        <f t="shared" si="135"/>
        <v>733.33333333333326</v>
      </c>
      <c r="E1094">
        <f t="shared" si="131"/>
        <v>0</v>
      </c>
      <c r="G1094">
        <v>1044</v>
      </c>
      <c r="H1094" s="13">
        <f t="shared" si="136"/>
        <v>-1.0275684203264746E-2</v>
      </c>
      <c r="I1094">
        <f t="shared" si="137"/>
        <v>161.19159850372401</v>
      </c>
      <c r="J1094">
        <f t="shared" si="132"/>
        <v>705.73157512662465</v>
      </c>
      <c r="K1094" s="27">
        <f t="shared" si="133"/>
        <v>-5117.6185907213085</v>
      </c>
    </row>
    <row r="1095" spans="1:11" x14ac:dyDescent="0.25">
      <c r="A1095" s="26">
        <v>1045</v>
      </c>
      <c r="B1095" s="82">
        <f t="shared" si="134"/>
        <v>0</v>
      </c>
      <c r="C1095" s="58">
        <f t="shared" si="130"/>
        <v>171.9194128119324</v>
      </c>
      <c r="D1095" s="83">
        <f t="shared" si="135"/>
        <v>733.33333333333326</v>
      </c>
      <c r="E1095">
        <f t="shared" si="131"/>
        <v>0</v>
      </c>
      <c r="G1095">
        <v>1045</v>
      </c>
      <c r="H1095" s="13">
        <f t="shared" si="136"/>
        <v>-1.0275684203264746E-2</v>
      </c>
      <c r="I1095">
        <f t="shared" si="137"/>
        <v>161.18132281952074</v>
      </c>
      <c r="J1095">
        <f t="shared" si="132"/>
        <v>705.69593777175612</v>
      </c>
      <c r="K1095" s="27">
        <f t="shared" si="133"/>
        <v>-5117.1015230913108</v>
      </c>
    </row>
    <row r="1096" spans="1:11" x14ac:dyDescent="0.25">
      <c r="A1096" s="26">
        <v>1046</v>
      </c>
      <c r="B1096" s="82">
        <f t="shared" si="134"/>
        <v>0</v>
      </c>
      <c r="C1096" s="58">
        <f t="shared" si="130"/>
        <v>171.9194128119324</v>
      </c>
      <c r="D1096" s="83">
        <f t="shared" si="135"/>
        <v>733.33333333333326</v>
      </c>
      <c r="E1096">
        <f t="shared" si="131"/>
        <v>0</v>
      </c>
      <c r="G1096">
        <v>1046</v>
      </c>
      <c r="H1096" s="13">
        <f t="shared" si="136"/>
        <v>-1.0275684203264746E-2</v>
      </c>
      <c r="I1096">
        <f t="shared" si="137"/>
        <v>161.17104713531748</v>
      </c>
      <c r="J1096">
        <f t="shared" si="132"/>
        <v>705.66027028981455</v>
      </c>
      <c r="K1096" s="27">
        <f t="shared" si="133"/>
        <v>-5116.5840441714017</v>
      </c>
    </row>
    <row r="1097" spans="1:11" x14ac:dyDescent="0.25">
      <c r="A1097" s="26">
        <v>1047</v>
      </c>
      <c r="B1097" s="82">
        <f t="shared" si="134"/>
        <v>0</v>
      </c>
      <c r="C1097" s="58">
        <f t="shared" si="130"/>
        <v>171.9194128119324</v>
      </c>
      <c r="D1097" s="83">
        <f t="shared" si="135"/>
        <v>733.33333333333326</v>
      </c>
      <c r="E1097">
        <f t="shared" si="131"/>
        <v>0</v>
      </c>
      <c r="G1097">
        <v>1047</v>
      </c>
      <c r="H1097" s="13">
        <f t="shared" si="136"/>
        <v>-1.0275684203264746E-2</v>
      </c>
      <c r="I1097">
        <f t="shared" si="137"/>
        <v>161.16077145111421</v>
      </c>
      <c r="J1097">
        <f t="shared" si="132"/>
        <v>705.62457261014356</v>
      </c>
      <c r="K1097" s="27">
        <f t="shared" si="133"/>
        <v>-5116.066153001294</v>
      </c>
    </row>
    <row r="1098" spans="1:11" x14ac:dyDescent="0.25">
      <c r="A1098" s="26">
        <v>1048</v>
      </c>
      <c r="B1098" s="82">
        <f t="shared" si="134"/>
        <v>0</v>
      </c>
      <c r="C1098" s="58">
        <f t="shared" si="130"/>
        <v>171.9194128119324</v>
      </c>
      <c r="D1098" s="83">
        <f t="shared" si="135"/>
        <v>733.33333333333326</v>
      </c>
      <c r="E1098">
        <f t="shared" si="131"/>
        <v>0</v>
      </c>
      <c r="G1098">
        <v>1048</v>
      </c>
      <c r="H1098" s="13">
        <f t="shared" si="136"/>
        <v>-1.0275684203264746E-2</v>
      </c>
      <c r="I1098">
        <f t="shared" si="137"/>
        <v>161.15049576691095</v>
      </c>
      <c r="J1098">
        <f t="shared" si="132"/>
        <v>705.58884466180552</v>
      </c>
      <c r="K1098" s="27">
        <f t="shared" si="133"/>
        <v>-5115.5478486168795</v>
      </c>
    </row>
    <row r="1099" spans="1:11" x14ac:dyDescent="0.25">
      <c r="A1099" s="26">
        <v>1049</v>
      </c>
      <c r="B1099" s="82">
        <f t="shared" si="134"/>
        <v>0</v>
      </c>
      <c r="C1099" s="58">
        <f t="shared" si="130"/>
        <v>171.9194128119324</v>
      </c>
      <c r="D1099" s="83">
        <f t="shared" si="135"/>
        <v>733.33333333333326</v>
      </c>
      <c r="E1099">
        <f t="shared" si="131"/>
        <v>0</v>
      </c>
      <c r="G1099">
        <v>1049</v>
      </c>
      <c r="H1099" s="13">
        <f t="shared" si="136"/>
        <v>-1.0275684203264746E-2</v>
      </c>
      <c r="I1099">
        <f t="shared" si="137"/>
        <v>161.14022008270769</v>
      </c>
      <c r="J1099">
        <f t="shared" si="132"/>
        <v>705.55308637357984</v>
      </c>
      <c r="K1099" s="27">
        <f t="shared" si="133"/>
        <v>-5115.0291300502013</v>
      </c>
    </row>
    <row r="1100" spans="1:11" x14ac:dyDescent="0.25">
      <c r="A1100" s="26">
        <v>1050</v>
      </c>
      <c r="B1100" s="82">
        <f t="shared" si="134"/>
        <v>0</v>
      </c>
      <c r="C1100" s="58">
        <f t="shared" si="130"/>
        <v>171.9194128119324</v>
      </c>
      <c r="D1100" s="83">
        <f t="shared" si="135"/>
        <v>733.33333333333326</v>
      </c>
      <c r="E1100">
        <f t="shared" si="131"/>
        <v>0</v>
      </c>
      <c r="G1100">
        <v>1050</v>
      </c>
      <c r="H1100" s="13">
        <f t="shared" si="136"/>
        <v>-1.0275684203264746E-2</v>
      </c>
      <c r="I1100">
        <f t="shared" si="137"/>
        <v>161.12994439850442</v>
      </c>
      <c r="J1100">
        <f t="shared" si="132"/>
        <v>705.51729767396182</v>
      </c>
      <c r="K1100" s="27">
        <f t="shared" si="133"/>
        <v>-5114.5099963294369</v>
      </c>
    </row>
    <row r="1101" spans="1:11" x14ac:dyDescent="0.25">
      <c r="A1101" s="26">
        <v>1051</v>
      </c>
      <c r="B1101" s="82">
        <f t="shared" si="134"/>
        <v>0</v>
      </c>
      <c r="C1101" s="58">
        <f t="shared" si="130"/>
        <v>171.9194128119324</v>
      </c>
      <c r="D1101" s="83">
        <f t="shared" si="135"/>
        <v>733.33333333333326</v>
      </c>
      <c r="E1101">
        <f t="shared" si="131"/>
        <v>0</v>
      </c>
      <c r="G1101">
        <v>1051</v>
      </c>
      <c r="H1101" s="13">
        <f t="shared" si="136"/>
        <v>-1.0275684203264746E-2</v>
      </c>
      <c r="I1101">
        <f t="shared" si="137"/>
        <v>161.11966871430116</v>
      </c>
      <c r="J1101">
        <f t="shared" si="132"/>
        <v>705.48147849116071</v>
      </c>
      <c r="K1101" s="27">
        <f t="shared" si="133"/>
        <v>-5113.9904464788715</v>
      </c>
    </row>
    <row r="1102" spans="1:11" x14ac:dyDescent="0.25">
      <c r="A1102" s="26">
        <v>1052</v>
      </c>
      <c r="B1102" s="82">
        <f t="shared" si="134"/>
        <v>0</v>
      </c>
      <c r="C1102" s="58">
        <f t="shared" si="130"/>
        <v>171.9194128119324</v>
      </c>
      <c r="D1102" s="83">
        <f t="shared" si="135"/>
        <v>733.33333333333326</v>
      </c>
      <c r="E1102">
        <f t="shared" si="131"/>
        <v>0</v>
      </c>
      <c r="G1102">
        <v>1052</v>
      </c>
      <c r="H1102" s="13">
        <f t="shared" si="136"/>
        <v>-1.0275684203264746E-2</v>
      </c>
      <c r="I1102">
        <f t="shared" si="137"/>
        <v>161.10939303009789</v>
      </c>
      <c r="J1102">
        <f t="shared" si="132"/>
        <v>705.44562875309782</v>
      </c>
      <c r="K1102" s="27">
        <f t="shared" si="133"/>
        <v>-5113.4704795188782</v>
      </c>
    </row>
    <row r="1103" spans="1:11" x14ac:dyDescent="0.25">
      <c r="A1103" s="26">
        <v>1053</v>
      </c>
      <c r="B1103" s="82">
        <f t="shared" si="134"/>
        <v>0</v>
      </c>
      <c r="C1103" s="58">
        <f t="shared" si="130"/>
        <v>171.9194128119324</v>
      </c>
      <c r="D1103" s="83">
        <f t="shared" si="135"/>
        <v>733.33333333333326</v>
      </c>
      <c r="E1103">
        <f t="shared" si="131"/>
        <v>0</v>
      </c>
      <c r="G1103">
        <v>1053</v>
      </c>
      <c r="H1103" s="13">
        <f t="shared" si="136"/>
        <v>-1.0275684203264746E-2</v>
      </c>
      <c r="I1103">
        <f t="shared" si="137"/>
        <v>161.09911734589463</v>
      </c>
      <c r="J1103">
        <f t="shared" si="132"/>
        <v>705.40974838740578</v>
      </c>
      <c r="K1103" s="27">
        <f t="shared" si="133"/>
        <v>-5112.9500944658976</v>
      </c>
    </row>
    <row r="1104" spans="1:11" x14ac:dyDescent="0.25">
      <c r="A1104" s="26">
        <v>1054</v>
      </c>
      <c r="B1104" s="82">
        <f t="shared" si="134"/>
        <v>0</v>
      </c>
      <c r="C1104" s="58">
        <f t="shared" ref="C1104:C1167" si="138">($C$37-$C$36)/2000+C1103</f>
        <v>171.9194128119324</v>
      </c>
      <c r="D1104" s="83">
        <f t="shared" si="135"/>
        <v>733.33333333333326</v>
      </c>
      <c r="E1104">
        <f t="shared" si="131"/>
        <v>0</v>
      </c>
      <c r="G1104">
        <v>1054</v>
      </c>
      <c r="H1104" s="13">
        <f t="shared" si="136"/>
        <v>-1.0275684203264746E-2</v>
      </c>
      <c r="I1104">
        <f t="shared" si="137"/>
        <v>161.08884166169136</v>
      </c>
      <c r="J1104">
        <f t="shared" si="132"/>
        <v>705.37383732142621</v>
      </c>
      <c r="K1104" s="27">
        <f t="shared" si="133"/>
        <v>-5112.4292903324149</v>
      </c>
    </row>
    <row r="1105" spans="1:11" x14ac:dyDescent="0.25">
      <c r="A1105" s="26">
        <v>1055</v>
      </c>
      <c r="B1105" s="82">
        <f t="shared" si="134"/>
        <v>0</v>
      </c>
      <c r="C1105" s="58">
        <f t="shared" si="138"/>
        <v>171.9194128119324</v>
      </c>
      <c r="D1105" s="83">
        <f t="shared" si="135"/>
        <v>733.33333333333326</v>
      </c>
      <c r="E1105">
        <f t="shared" si="131"/>
        <v>0</v>
      </c>
      <c r="G1105">
        <v>1055</v>
      </c>
      <c r="H1105" s="13">
        <f t="shared" si="136"/>
        <v>-1.0275684203264746E-2</v>
      </c>
      <c r="I1105">
        <f t="shared" si="137"/>
        <v>161.0785659774881</v>
      </c>
      <c r="J1105">
        <f t="shared" si="132"/>
        <v>705.33789548220795</v>
      </c>
      <c r="K1105" s="27">
        <f t="shared" si="133"/>
        <v>-5111.9080661269363</v>
      </c>
    </row>
    <row r="1106" spans="1:11" x14ac:dyDescent="0.25">
      <c r="A1106" s="26">
        <v>1056</v>
      </c>
      <c r="B1106" s="82">
        <f t="shared" si="134"/>
        <v>0</v>
      </c>
      <c r="C1106" s="58">
        <f t="shared" si="138"/>
        <v>171.9194128119324</v>
      </c>
      <c r="D1106" s="83">
        <f t="shared" si="135"/>
        <v>733.33333333333326</v>
      </c>
      <c r="E1106">
        <f t="shared" si="131"/>
        <v>0</v>
      </c>
      <c r="G1106">
        <v>1056</v>
      </c>
      <c r="H1106" s="13">
        <f t="shared" si="136"/>
        <v>-1.0275684203264746E-2</v>
      </c>
      <c r="I1106">
        <f t="shared" si="137"/>
        <v>161.06829029328483</v>
      </c>
      <c r="J1106">
        <f t="shared" si="132"/>
        <v>705.30192279650623</v>
      </c>
      <c r="K1106" s="27">
        <f t="shared" si="133"/>
        <v>-5111.386420853968</v>
      </c>
    </row>
    <row r="1107" spans="1:11" x14ac:dyDescent="0.25">
      <c r="A1107" s="26">
        <v>1057</v>
      </c>
      <c r="B1107" s="82">
        <f t="shared" si="134"/>
        <v>0</v>
      </c>
      <c r="C1107" s="58">
        <f t="shared" si="138"/>
        <v>171.9194128119324</v>
      </c>
      <c r="D1107" s="83">
        <f t="shared" si="135"/>
        <v>733.33333333333326</v>
      </c>
      <c r="E1107">
        <f t="shared" si="131"/>
        <v>0</v>
      </c>
      <c r="G1107">
        <v>1057</v>
      </c>
      <c r="H1107" s="13">
        <f t="shared" si="136"/>
        <v>-1.0275684203264746E-2</v>
      </c>
      <c r="I1107">
        <f t="shared" si="137"/>
        <v>161.05801460908157</v>
      </c>
      <c r="J1107">
        <f t="shared" si="132"/>
        <v>705.2659191907801</v>
      </c>
      <c r="K1107" s="27">
        <f t="shared" si="133"/>
        <v>-5110.86435351399</v>
      </c>
    </row>
    <row r="1108" spans="1:11" x14ac:dyDescent="0.25">
      <c r="A1108" s="26">
        <v>1058</v>
      </c>
      <c r="B1108" s="82">
        <f t="shared" si="134"/>
        <v>0</v>
      </c>
      <c r="C1108" s="58">
        <f t="shared" si="138"/>
        <v>171.9194128119324</v>
      </c>
      <c r="D1108" s="83">
        <f t="shared" si="135"/>
        <v>733.33333333333326</v>
      </c>
      <c r="E1108">
        <f t="shared" si="131"/>
        <v>0</v>
      </c>
      <c r="G1108">
        <v>1058</v>
      </c>
      <c r="H1108" s="13">
        <f t="shared" si="136"/>
        <v>-1.0275684203264746E-2</v>
      </c>
      <c r="I1108">
        <f t="shared" si="137"/>
        <v>161.0477389248783</v>
      </c>
      <c r="J1108">
        <f t="shared" si="132"/>
        <v>705.22988459119131</v>
      </c>
      <c r="K1108" s="27">
        <f t="shared" si="133"/>
        <v>-5110.3418631034401</v>
      </c>
    </row>
    <row r="1109" spans="1:11" x14ac:dyDescent="0.25">
      <c r="A1109" s="26">
        <v>1059</v>
      </c>
      <c r="B1109" s="82">
        <f t="shared" si="134"/>
        <v>0</v>
      </c>
      <c r="C1109" s="58">
        <f t="shared" si="138"/>
        <v>171.9194128119324</v>
      </c>
      <c r="D1109" s="83">
        <f t="shared" si="135"/>
        <v>733.33333333333326</v>
      </c>
      <c r="E1109">
        <f t="shared" si="131"/>
        <v>0</v>
      </c>
      <c r="G1109">
        <v>1059</v>
      </c>
      <c r="H1109" s="13">
        <f t="shared" si="136"/>
        <v>-1.0275684203264746E-2</v>
      </c>
      <c r="I1109">
        <f t="shared" si="137"/>
        <v>161.03746324067504</v>
      </c>
      <c r="J1109">
        <f t="shared" si="132"/>
        <v>705.19381892360252</v>
      </c>
      <c r="K1109" s="27">
        <f t="shared" si="133"/>
        <v>-5109.8189486146839</v>
      </c>
    </row>
    <row r="1110" spans="1:11" x14ac:dyDescent="0.25">
      <c r="A1110" s="26">
        <v>1060</v>
      </c>
      <c r="B1110" s="82">
        <f t="shared" si="134"/>
        <v>0</v>
      </c>
      <c r="C1110" s="58">
        <f t="shared" si="138"/>
        <v>171.9194128119324</v>
      </c>
      <c r="D1110" s="83">
        <f t="shared" si="135"/>
        <v>733.33333333333326</v>
      </c>
      <c r="E1110">
        <f t="shared" si="131"/>
        <v>0</v>
      </c>
      <c r="G1110">
        <v>1060</v>
      </c>
      <c r="H1110" s="13">
        <f t="shared" si="136"/>
        <v>-1.0275684203264746E-2</v>
      </c>
      <c r="I1110">
        <f t="shared" si="137"/>
        <v>161.02718755647177</v>
      </c>
      <c r="J1110">
        <f t="shared" si="132"/>
        <v>705.15772211357523</v>
      </c>
      <c r="K1110" s="27">
        <f t="shared" si="133"/>
        <v>-5109.2956090359939</v>
      </c>
    </row>
    <row r="1111" spans="1:11" x14ac:dyDescent="0.25">
      <c r="A1111" s="26">
        <v>1061</v>
      </c>
      <c r="B1111" s="82">
        <f t="shared" si="134"/>
        <v>0</v>
      </c>
      <c r="C1111" s="58">
        <f t="shared" si="138"/>
        <v>171.9194128119324</v>
      </c>
      <c r="D1111" s="83">
        <f t="shared" si="135"/>
        <v>733.33333333333326</v>
      </c>
      <c r="E1111">
        <f t="shared" si="131"/>
        <v>0</v>
      </c>
      <c r="G1111">
        <v>1061</v>
      </c>
      <c r="H1111" s="13">
        <f t="shared" si="136"/>
        <v>-1.0275684203264746E-2</v>
      </c>
      <c r="I1111">
        <f t="shared" si="137"/>
        <v>161.01691187226851</v>
      </c>
      <c r="J1111">
        <f t="shared" si="132"/>
        <v>705.12159408636865</v>
      </c>
      <c r="K1111" s="27">
        <f t="shared" si="133"/>
        <v>-5108.7718433515302</v>
      </c>
    </row>
    <row r="1112" spans="1:11" x14ac:dyDescent="0.25">
      <c r="A1112" s="26">
        <v>1062</v>
      </c>
      <c r="B1112" s="82">
        <f t="shared" si="134"/>
        <v>0</v>
      </c>
      <c r="C1112" s="58">
        <f t="shared" si="138"/>
        <v>171.9194128119324</v>
      </c>
      <c r="D1112" s="83">
        <f t="shared" si="135"/>
        <v>733.33333333333326</v>
      </c>
      <c r="E1112">
        <f t="shared" si="131"/>
        <v>0</v>
      </c>
      <c r="G1112">
        <v>1062</v>
      </c>
      <c r="H1112" s="13">
        <f t="shared" si="136"/>
        <v>-1.0275684203264746E-2</v>
      </c>
      <c r="I1112">
        <f t="shared" si="137"/>
        <v>161.00663618806524</v>
      </c>
      <c r="J1112">
        <f t="shared" si="132"/>
        <v>705.08543476693762</v>
      </c>
      <c r="K1112" s="27">
        <f t="shared" si="133"/>
        <v>-5108.2476505413115</v>
      </c>
    </row>
    <row r="1113" spans="1:11" x14ac:dyDescent="0.25">
      <c r="A1113" s="26">
        <v>1063</v>
      </c>
      <c r="B1113" s="82">
        <f t="shared" si="134"/>
        <v>0</v>
      </c>
      <c r="C1113" s="58">
        <f t="shared" si="138"/>
        <v>171.9194128119324</v>
      </c>
      <c r="D1113" s="83">
        <f t="shared" si="135"/>
        <v>733.33333333333326</v>
      </c>
      <c r="E1113">
        <f t="shared" si="131"/>
        <v>0</v>
      </c>
      <c r="G1113">
        <v>1063</v>
      </c>
      <c r="H1113" s="13">
        <f t="shared" si="136"/>
        <v>-1.0275684203264746E-2</v>
      </c>
      <c r="I1113">
        <f t="shared" si="137"/>
        <v>160.99636050386198</v>
      </c>
      <c r="J1113">
        <f t="shared" si="132"/>
        <v>705.04924407993076</v>
      </c>
      <c r="K1113" s="27">
        <f t="shared" si="133"/>
        <v>-5107.7230295811896</v>
      </c>
    </row>
    <row r="1114" spans="1:11" x14ac:dyDescent="0.25">
      <c r="A1114" s="26">
        <v>1064</v>
      </c>
      <c r="B1114" s="82">
        <f t="shared" si="134"/>
        <v>0</v>
      </c>
      <c r="C1114" s="58">
        <f t="shared" si="138"/>
        <v>171.9194128119324</v>
      </c>
      <c r="D1114" s="83">
        <f t="shared" si="135"/>
        <v>733.33333333333326</v>
      </c>
      <c r="E1114">
        <f t="shared" si="131"/>
        <v>0</v>
      </c>
      <c r="G1114">
        <v>1064</v>
      </c>
      <c r="H1114" s="13">
        <f t="shared" si="136"/>
        <v>-1.0275684203264746E-2</v>
      </c>
      <c r="I1114">
        <f t="shared" si="137"/>
        <v>160.98608481965871</v>
      </c>
      <c r="J1114">
        <f t="shared" si="132"/>
        <v>705.01302194968923</v>
      </c>
      <c r="K1114" s="27">
        <f t="shared" si="133"/>
        <v>-5107.197979442838</v>
      </c>
    </row>
    <row r="1115" spans="1:11" x14ac:dyDescent="0.25">
      <c r="A1115" s="26">
        <v>1065</v>
      </c>
      <c r="B1115" s="82">
        <f t="shared" si="134"/>
        <v>0</v>
      </c>
      <c r="C1115" s="58">
        <f t="shared" si="138"/>
        <v>171.9194128119324</v>
      </c>
      <c r="D1115" s="83">
        <f t="shared" si="135"/>
        <v>733.33333333333326</v>
      </c>
      <c r="E1115">
        <f t="shared" si="131"/>
        <v>0</v>
      </c>
      <c r="G1115">
        <v>1065</v>
      </c>
      <c r="H1115" s="13">
        <f t="shared" si="136"/>
        <v>-1.0275684203264746E-2</v>
      </c>
      <c r="I1115">
        <f t="shared" si="137"/>
        <v>160.97580913545545</v>
      </c>
      <c r="J1115">
        <f t="shared" si="132"/>
        <v>704.9767683002442</v>
      </c>
      <c r="K1115" s="27">
        <f t="shared" si="133"/>
        <v>-5106.67249909371</v>
      </c>
    </row>
    <row r="1116" spans="1:11" x14ac:dyDescent="0.25">
      <c r="A1116" s="26">
        <v>1066</v>
      </c>
      <c r="B1116" s="82">
        <f t="shared" si="134"/>
        <v>0</v>
      </c>
      <c r="C1116" s="58">
        <f t="shared" si="138"/>
        <v>171.9194128119324</v>
      </c>
      <c r="D1116" s="83">
        <f t="shared" si="135"/>
        <v>733.33333333333326</v>
      </c>
      <c r="E1116">
        <f t="shared" si="131"/>
        <v>0</v>
      </c>
      <c r="G1116">
        <v>1066</v>
      </c>
      <c r="H1116" s="13">
        <f t="shared" si="136"/>
        <v>-1.0275684203264746E-2</v>
      </c>
      <c r="I1116">
        <f t="shared" si="137"/>
        <v>160.96553345125218</v>
      </c>
      <c r="J1116">
        <f t="shared" si="132"/>
        <v>704.94048305531589</v>
      </c>
      <c r="K1116" s="27">
        <f t="shared" si="133"/>
        <v>-5106.1465874970299</v>
      </c>
    </row>
    <row r="1117" spans="1:11" x14ac:dyDescent="0.25">
      <c r="A1117" s="26">
        <v>1067</v>
      </c>
      <c r="B1117" s="82">
        <f t="shared" si="134"/>
        <v>0</v>
      </c>
      <c r="C1117" s="58">
        <f t="shared" si="138"/>
        <v>171.9194128119324</v>
      </c>
      <c r="D1117" s="83">
        <f t="shared" si="135"/>
        <v>733.33333333333326</v>
      </c>
      <c r="E1117">
        <f t="shared" si="131"/>
        <v>0</v>
      </c>
      <c r="G1117">
        <v>1067</v>
      </c>
      <c r="H1117" s="13">
        <f t="shared" si="136"/>
        <v>-1.0275684203264746E-2</v>
      </c>
      <c r="I1117">
        <f t="shared" si="137"/>
        <v>160.95525776704892</v>
      </c>
      <c r="J1117">
        <f t="shared" si="132"/>
        <v>704.9041661383111</v>
      </c>
      <c r="K1117" s="27">
        <f t="shared" si="133"/>
        <v>-5105.620243611761</v>
      </c>
    </row>
    <row r="1118" spans="1:11" x14ac:dyDescent="0.25">
      <c r="A1118" s="26">
        <v>1068</v>
      </c>
      <c r="B1118" s="82">
        <f t="shared" si="134"/>
        <v>0</v>
      </c>
      <c r="C1118" s="58">
        <f t="shared" si="138"/>
        <v>171.9194128119324</v>
      </c>
      <c r="D1118" s="83">
        <f t="shared" si="135"/>
        <v>733.33333333333326</v>
      </c>
      <c r="E1118">
        <f t="shared" si="131"/>
        <v>0</v>
      </c>
      <c r="G1118">
        <v>1068</v>
      </c>
      <c r="H1118" s="13">
        <f t="shared" si="136"/>
        <v>-1.0275684203264746E-2</v>
      </c>
      <c r="I1118">
        <f t="shared" si="137"/>
        <v>160.94498208284566</v>
      </c>
      <c r="J1118">
        <f t="shared" si="132"/>
        <v>704.86781747232169</v>
      </c>
      <c r="K1118" s="27">
        <f t="shared" si="133"/>
        <v>-5105.0934663925791</v>
      </c>
    </row>
    <row r="1119" spans="1:11" x14ac:dyDescent="0.25">
      <c r="A1119" s="26">
        <v>1069</v>
      </c>
      <c r="B1119" s="82">
        <f t="shared" si="134"/>
        <v>0</v>
      </c>
      <c r="C1119" s="58">
        <f t="shared" si="138"/>
        <v>171.9194128119324</v>
      </c>
      <c r="D1119" s="83">
        <f t="shared" si="135"/>
        <v>733.33333333333326</v>
      </c>
      <c r="E1119">
        <f t="shared" si="131"/>
        <v>0</v>
      </c>
      <c r="G1119">
        <v>1069</v>
      </c>
      <c r="H1119" s="13">
        <f t="shared" si="136"/>
        <v>-1.0275684203264746E-2</v>
      </c>
      <c r="I1119">
        <f t="shared" si="137"/>
        <v>160.93470639864239</v>
      </c>
      <c r="J1119">
        <f t="shared" si="132"/>
        <v>704.83143698012304</v>
      </c>
      <c r="K1119" s="27">
        <f t="shared" si="133"/>
        <v>-5104.5662547898546</v>
      </c>
    </row>
    <row r="1120" spans="1:11" x14ac:dyDescent="0.25">
      <c r="A1120" s="26">
        <v>1070</v>
      </c>
      <c r="B1120" s="82">
        <f t="shared" si="134"/>
        <v>0</v>
      </c>
      <c r="C1120" s="58">
        <f t="shared" si="138"/>
        <v>171.9194128119324</v>
      </c>
      <c r="D1120" s="83">
        <f t="shared" si="135"/>
        <v>733.33333333333326</v>
      </c>
      <c r="E1120">
        <f t="shared" si="131"/>
        <v>0</v>
      </c>
      <c r="G1120">
        <v>1070</v>
      </c>
      <c r="H1120" s="13">
        <f t="shared" si="136"/>
        <v>-1.0275684203264746E-2</v>
      </c>
      <c r="I1120">
        <f t="shared" si="137"/>
        <v>160.92443071443913</v>
      </c>
      <c r="J1120">
        <f t="shared" si="132"/>
        <v>704.79502458417153</v>
      </c>
      <c r="K1120" s="27">
        <f t="shared" si="133"/>
        <v>-5104.0386077496232</v>
      </c>
    </row>
    <row r="1121" spans="1:11" x14ac:dyDescent="0.25">
      <c r="A1121" s="26">
        <v>1071</v>
      </c>
      <c r="B1121" s="82">
        <f t="shared" si="134"/>
        <v>0</v>
      </c>
      <c r="C1121" s="58">
        <f t="shared" si="138"/>
        <v>171.9194128119324</v>
      </c>
      <c r="D1121" s="83">
        <f t="shared" si="135"/>
        <v>733.33333333333326</v>
      </c>
      <c r="E1121">
        <f t="shared" si="131"/>
        <v>0</v>
      </c>
      <c r="G1121">
        <v>1071</v>
      </c>
      <c r="H1121" s="13">
        <f t="shared" si="136"/>
        <v>-1.0275684203264746E-2</v>
      </c>
      <c r="I1121">
        <f t="shared" si="137"/>
        <v>160.91415503023586</v>
      </c>
      <c r="J1121">
        <f t="shared" si="132"/>
        <v>704.75858020660348</v>
      </c>
      <c r="K1121" s="27">
        <f t="shared" si="133"/>
        <v>-5103.5105242135605</v>
      </c>
    </row>
    <row r="1122" spans="1:11" x14ac:dyDescent="0.25">
      <c r="A1122" s="26">
        <v>1072</v>
      </c>
      <c r="B1122" s="82">
        <f t="shared" si="134"/>
        <v>0</v>
      </c>
      <c r="C1122" s="58">
        <f t="shared" si="138"/>
        <v>171.9194128119324</v>
      </c>
      <c r="D1122" s="83">
        <f t="shared" si="135"/>
        <v>733.33333333333326</v>
      </c>
      <c r="E1122">
        <f t="shared" si="131"/>
        <v>0</v>
      </c>
      <c r="G1122">
        <v>1072</v>
      </c>
      <c r="H1122" s="13">
        <f t="shared" si="136"/>
        <v>-1.0275684203264746E-2</v>
      </c>
      <c r="I1122">
        <f t="shared" si="137"/>
        <v>160.9038793460326</v>
      </c>
      <c r="J1122">
        <f t="shared" si="132"/>
        <v>704.72210376923249</v>
      </c>
      <c r="K1122" s="27">
        <f t="shared" si="133"/>
        <v>-5102.9820031189583</v>
      </c>
    </row>
    <row r="1123" spans="1:11" x14ac:dyDescent="0.25">
      <c r="A1123" s="26">
        <v>1073</v>
      </c>
      <c r="B1123" s="82">
        <f t="shared" si="134"/>
        <v>0</v>
      </c>
      <c r="C1123" s="58">
        <f t="shared" si="138"/>
        <v>171.9194128119324</v>
      </c>
      <c r="D1123" s="83">
        <f t="shared" si="135"/>
        <v>733.33333333333326</v>
      </c>
      <c r="E1123">
        <f t="shared" si="131"/>
        <v>0</v>
      </c>
      <c r="G1123">
        <v>1073</v>
      </c>
      <c r="H1123" s="13">
        <f t="shared" si="136"/>
        <v>-1.0275684203264746E-2</v>
      </c>
      <c r="I1123">
        <f t="shared" si="137"/>
        <v>160.89360366182933</v>
      </c>
      <c r="J1123">
        <f t="shared" si="132"/>
        <v>704.68559519354847</v>
      </c>
      <c r="K1123" s="27">
        <f t="shared" si="133"/>
        <v>-5102.4530433986984</v>
      </c>
    </row>
    <row r="1124" spans="1:11" x14ac:dyDescent="0.25">
      <c r="A1124" s="26">
        <v>1074</v>
      </c>
      <c r="B1124" s="82">
        <f t="shared" si="134"/>
        <v>0</v>
      </c>
      <c r="C1124" s="58">
        <f t="shared" si="138"/>
        <v>171.9194128119324</v>
      </c>
      <c r="D1124" s="83">
        <f t="shared" si="135"/>
        <v>733.33333333333326</v>
      </c>
      <c r="E1124">
        <f t="shared" si="131"/>
        <v>0</v>
      </c>
      <c r="G1124">
        <v>1074</v>
      </c>
      <c r="H1124" s="13">
        <f t="shared" si="136"/>
        <v>-1.0275684203264746E-2</v>
      </c>
      <c r="I1124">
        <f t="shared" si="137"/>
        <v>160.88332797762607</v>
      </c>
      <c r="J1124">
        <f t="shared" si="132"/>
        <v>704.64905440071482</v>
      </c>
      <c r="K1124" s="27">
        <f t="shared" si="133"/>
        <v>-5101.9236439812257</v>
      </c>
    </row>
    <row r="1125" spans="1:11" x14ac:dyDescent="0.25">
      <c r="A1125" s="26">
        <v>1075</v>
      </c>
      <c r="B1125" s="82">
        <f t="shared" si="134"/>
        <v>0</v>
      </c>
      <c r="C1125" s="58">
        <f t="shared" si="138"/>
        <v>171.9194128119324</v>
      </c>
      <c r="D1125" s="83">
        <f t="shared" si="135"/>
        <v>733.33333333333326</v>
      </c>
      <c r="E1125">
        <f t="shared" si="131"/>
        <v>0</v>
      </c>
      <c r="G1125">
        <v>1075</v>
      </c>
      <c r="H1125" s="13">
        <f t="shared" si="136"/>
        <v>-1.0275684203264746E-2</v>
      </c>
      <c r="I1125">
        <f t="shared" si="137"/>
        <v>160.8730522934228</v>
      </c>
      <c r="J1125">
        <f t="shared" si="132"/>
        <v>704.61248131156708</v>
      </c>
      <c r="K1125" s="27">
        <f t="shared" si="133"/>
        <v>-5101.3938037905255</v>
      </c>
    </row>
    <row r="1126" spans="1:11" x14ac:dyDescent="0.25">
      <c r="A1126" s="26">
        <v>1076</v>
      </c>
      <c r="B1126" s="82">
        <f t="shared" si="134"/>
        <v>0</v>
      </c>
      <c r="C1126" s="58">
        <f t="shared" si="138"/>
        <v>171.9194128119324</v>
      </c>
      <c r="D1126" s="83">
        <f t="shared" si="135"/>
        <v>733.33333333333326</v>
      </c>
      <c r="E1126">
        <f t="shared" si="131"/>
        <v>0</v>
      </c>
      <c r="G1126">
        <v>1076</v>
      </c>
      <c r="H1126" s="13">
        <f t="shared" si="136"/>
        <v>-1.0275684203264746E-2</v>
      </c>
      <c r="I1126">
        <f t="shared" si="137"/>
        <v>160.86277660921954</v>
      </c>
      <c r="J1126">
        <f t="shared" si="132"/>
        <v>704.5758758466111</v>
      </c>
      <c r="K1126" s="27">
        <f t="shared" si="133"/>
        <v>-5100.8635217460933</v>
      </c>
    </row>
    <row r="1127" spans="1:11" x14ac:dyDescent="0.25">
      <c r="A1127" s="26">
        <v>1077</v>
      </c>
      <c r="B1127" s="82">
        <f t="shared" si="134"/>
        <v>0</v>
      </c>
      <c r="C1127" s="58">
        <f t="shared" si="138"/>
        <v>171.9194128119324</v>
      </c>
      <c r="D1127" s="83">
        <f t="shared" si="135"/>
        <v>733.33333333333326</v>
      </c>
      <c r="E1127">
        <f t="shared" si="131"/>
        <v>0</v>
      </c>
      <c r="G1127">
        <v>1077</v>
      </c>
      <c r="H1127" s="13">
        <f t="shared" si="136"/>
        <v>-1.0275684203264746E-2</v>
      </c>
      <c r="I1127">
        <f t="shared" si="137"/>
        <v>160.85250092501627</v>
      </c>
      <c r="J1127">
        <f t="shared" si="132"/>
        <v>704.53923792602063</v>
      </c>
      <c r="K1127" s="27">
        <f t="shared" si="133"/>
        <v>-5100.3327967629129</v>
      </c>
    </row>
    <row r="1128" spans="1:11" x14ac:dyDescent="0.25">
      <c r="A1128" s="26">
        <v>1078</v>
      </c>
      <c r="B1128" s="82">
        <f t="shared" si="134"/>
        <v>0</v>
      </c>
      <c r="C1128" s="58">
        <f t="shared" si="138"/>
        <v>171.9194128119324</v>
      </c>
      <c r="D1128" s="83">
        <f t="shared" si="135"/>
        <v>733.33333333333326</v>
      </c>
      <c r="E1128">
        <f t="shared" si="131"/>
        <v>0</v>
      </c>
      <c r="G1128">
        <v>1078</v>
      </c>
      <c r="H1128" s="13">
        <f t="shared" si="136"/>
        <v>-1.0275684203264746E-2</v>
      </c>
      <c r="I1128">
        <f t="shared" si="137"/>
        <v>160.84222524081301</v>
      </c>
      <c r="J1128">
        <f t="shared" si="132"/>
        <v>704.50256746963589</v>
      </c>
      <c r="K1128" s="27">
        <f t="shared" si="133"/>
        <v>-5099.8016277514262</v>
      </c>
    </row>
    <row r="1129" spans="1:11" x14ac:dyDescent="0.25">
      <c r="A1129" s="26">
        <v>1079</v>
      </c>
      <c r="B1129" s="82">
        <f t="shared" si="134"/>
        <v>0</v>
      </c>
      <c r="C1129" s="58">
        <f t="shared" si="138"/>
        <v>171.9194128119324</v>
      </c>
      <c r="D1129" s="83">
        <f t="shared" si="135"/>
        <v>733.33333333333326</v>
      </c>
      <c r="E1129">
        <f t="shared" si="131"/>
        <v>0</v>
      </c>
      <c r="G1129">
        <v>1079</v>
      </c>
      <c r="H1129" s="13">
        <f t="shared" si="136"/>
        <v>-1.0275684203264746E-2</v>
      </c>
      <c r="I1129">
        <f t="shared" si="137"/>
        <v>160.83194955660974</v>
      </c>
      <c r="J1129">
        <f t="shared" si="132"/>
        <v>704.46586439696125</v>
      </c>
      <c r="K1129" s="27">
        <f t="shared" si="133"/>
        <v>-5099.270013617509</v>
      </c>
    </row>
    <row r="1130" spans="1:11" x14ac:dyDescent="0.25">
      <c r="A1130" s="26">
        <v>1080</v>
      </c>
      <c r="B1130" s="82">
        <f t="shared" si="134"/>
        <v>0</v>
      </c>
      <c r="C1130" s="58">
        <f t="shared" si="138"/>
        <v>171.9194128119324</v>
      </c>
      <c r="D1130" s="83">
        <f t="shared" si="135"/>
        <v>733.33333333333326</v>
      </c>
      <c r="E1130">
        <f t="shared" si="131"/>
        <v>0</v>
      </c>
      <c r="G1130">
        <v>1080</v>
      </c>
      <c r="H1130" s="13">
        <f t="shared" si="136"/>
        <v>-1.0275684203264746E-2</v>
      </c>
      <c r="I1130">
        <f t="shared" si="137"/>
        <v>160.82167387240648</v>
      </c>
      <c r="J1130">
        <f t="shared" si="132"/>
        <v>704.42912862716332</v>
      </c>
      <c r="K1130" s="27">
        <f t="shared" si="133"/>
        <v>-5098.7379532624382</v>
      </c>
    </row>
    <row r="1131" spans="1:11" x14ac:dyDescent="0.25">
      <c r="A1131" s="26">
        <v>1081</v>
      </c>
      <c r="B1131" s="82">
        <f t="shared" si="134"/>
        <v>0</v>
      </c>
      <c r="C1131" s="58">
        <f t="shared" si="138"/>
        <v>171.9194128119324</v>
      </c>
      <c r="D1131" s="83">
        <f t="shared" si="135"/>
        <v>733.33333333333326</v>
      </c>
      <c r="E1131">
        <f t="shared" si="131"/>
        <v>0</v>
      </c>
      <c r="G1131">
        <v>1081</v>
      </c>
      <c r="H1131" s="13">
        <f t="shared" si="136"/>
        <v>-1.0275684203264746E-2</v>
      </c>
      <c r="I1131">
        <f t="shared" si="137"/>
        <v>160.81139818820321</v>
      </c>
      <c r="J1131">
        <f t="shared" si="132"/>
        <v>704.39236007906902</v>
      </c>
      <c r="K1131" s="27">
        <f t="shared" si="133"/>
        <v>-5098.2054455828775</v>
      </c>
    </row>
    <row r="1132" spans="1:11" x14ac:dyDescent="0.25">
      <c r="A1132" s="26">
        <v>1082</v>
      </c>
      <c r="B1132" s="82">
        <f t="shared" si="134"/>
        <v>0</v>
      </c>
      <c r="C1132" s="58">
        <f t="shared" si="138"/>
        <v>171.9194128119324</v>
      </c>
      <c r="D1132" s="83">
        <f t="shared" si="135"/>
        <v>733.33333333333326</v>
      </c>
      <c r="E1132">
        <f t="shared" si="131"/>
        <v>0</v>
      </c>
      <c r="G1132">
        <v>1082</v>
      </c>
      <c r="H1132" s="13">
        <f t="shared" si="136"/>
        <v>-1.0275684203264746E-2</v>
      </c>
      <c r="I1132">
        <f t="shared" si="137"/>
        <v>160.80112250399995</v>
      </c>
      <c r="J1132">
        <f t="shared" si="132"/>
        <v>704.35555867116386</v>
      </c>
      <c r="K1132" s="27">
        <f t="shared" si="133"/>
        <v>-5097.6724894708359</v>
      </c>
    </row>
    <row r="1133" spans="1:11" x14ac:dyDescent="0.25">
      <c r="A1133" s="26">
        <v>1083</v>
      </c>
      <c r="B1133" s="82">
        <f t="shared" si="134"/>
        <v>0</v>
      </c>
      <c r="C1133" s="58">
        <f t="shared" si="138"/>
        <v>171.9194128119324</v>
      </c>
      <c r="D1133" s="83">
        <f t="shared" si="135"/>
        <v>733.33333333333326</v>
      </c>
      <c r="E1133">
        <f t="shared" si="131"/>
        <v>0</v>
      </c>
      <c r="G1133">
        <v>1083</v>
      </c>
      <c r="H1133" s="13">
        <f t="shared" si="136"/>
        <v>-1.0275684203264746E-2</v>
      </c>
      <c r="I1133">
        <f t="shared" si="137"/>
        <v>160.79084681979668</v>
      </c>
      <c r="J1133">
        <f t="shared" si="132"/>
        <v>704.31872432158912</v>
      </c>
      <c r="K1133" s="27">
        <f t="shared" si="133"/>
        <v>-5097.1390838136476</v>
      </c>
    </row>
    <row r="1134" spans="1:11" x14ac:dyDescent="0.25">
      <c r="A1134" s="26">
        <v>1084</v>
      </c>
      <c r="B1134" s="82">
        <f t="shared" si="134"/>
        <v>0</v>
      </c>
      <c r="C1134" s="58">
        <f t="shared" si="138"/>
        <v>171.9194128119324</v>
      </c>
      <c r="D1134" s="83">
        <f t="shared" si="135"/>
        <v>733.33333333333326</v>
      </c>
      <c r="E1134">
        <f t="shared" si="131"/>
        <v>0</v>
      </c>
      <c r="G1134">
        <v>1084</v>
      </c>
      <c r="H1134" s="13">
        <f t="shared" si="136"/>
        <v>-1.0275684203264746E-2</v>
      </c>
      <c r="I1134">
        <f t="shared" si="137"/>
        <v>160.78057113559342</v>
      </c>
      <c r="J1134">
        <f t="shared" si="132"/>
        <v>704.28185694814078</v>
      </c>
      <c r="K1134" s="27">
        <f t="shared" si="133"/>
        <v>-5096.6052274939457</v>
      </c>
    </row>
    <row r="1135" spans="1:11" x14ac:dyDescent="0.25">
      <c r="A1135" s="26">
        <v>1085</v>
      </c>
      <c r="B1135" s="82">
        <f t="shared" si="134"/>
        <v>0</v>
      </c>
      <c r="C1135" s="58">
        <f t="shared" si="138"/>
        <v>171.9194128119324</v>
      </c>
      <c r="D1135" s="83">
        <f t="shared" si="135"/>
        <v>733.33333333333326</v>
      </c>
      <c r="E1135">
        <f t="shared" si="131"/>
        <v>0</v>
      </c>
      <c r="G1135">
        <v>1085</v>
      </c>
      <c r="H1135" s="13">
        <f t="shared" si="136"/>
        <v>-1.0275684203264746E-2</v>
      </c>
      <c r="I1135">
        <f t="shared" si="137"/>
        <v>160.77029545139015</v>
      </c>
      <c r="J1135">
        <f t="shared" si="132"/>
        <v>704.24495646826676</v>
      </c>
      <c r="K1135" s="27">
        <f t="shared" si="133"/>
        <v>-5096.07091938963</v>
      </c>
    </row>
    <row r="1136" spans="1:11" x14ac:dyDescent="0.25">
      <c r="A1136" s="26">
        <v>1086</v>
      </c>
      <c r="B1136" s="82">
        <f t="shared" si="134"/>
        <v>0</v>
      </c>
      <c r="C1136" s="58">
        <f t="shared" si="138"/>
        <v>171.9194128119324</v>
      </c>
      <c r="D1136" s="83">
        <f t="shared" si="135"/>
        <v>733.33333333333326</v>
      </c>
      <c r="E1136">
        <f t="shared" si="131"/>
        <v>0</v>
      </c>
      <c r="G1136">
        <v>1086</v>
      </c>
      <c r="H1136" s="13">
        <f t="shared" si="136"/>
        <v>-1.0275684203264746E-2</v>
      </c>
      <c r="I1136">
        <f t="shared" si="137"/>
        <v>160.76001976718689</v>
      </c>
      <c r="J1136">
        <f t="shared" si="132"/>
        <v>704.20802279906525</v>
      </c>
      <c r="K1136" s="27">
        <f t="shared" si="133"/>
        <v>-5095.5361583738386</v>
      </c>
    </row>
    <row r="1137" spans="1:11" x14ac:dyDescent="0.25">
      <c r="A1137" s="26">
        <v>1087</v>
      </c>
      <c r="B1137" s="82">
        <f t="shared" si="134"/>
        <v>0</v>
      </c>
      <c r="C1137" s="58">
        <f t="shared" si="138"/>
        <v>171.9194128119324</v>
      </c>
      <c r="D1137" s="83">
        <f t="shared" si="135"/>
        <v>733.33333333333326</v>
      </c>
      <c r="E1137">
        <f t="shared" si="131"/>
        <v>0</v>
      </c>
      <c r="G1137">
        <v>1087</v>
      </c>
      <c r="H1137" s="13">
        <f t="shared" si="136"/>
        <v>-1.0275684203264746E-2</v>
      </c>
      <c r="I1137">
        <f t="shared" si="137"/>
        <v>160.74974408298363</v>
      </c>
      <c r="J1137">
        <f t="shared" si="132"/>
        <v>704.17105585728223</v>
      </c>
      <c r="K1137" s="27">
        <f t="shared" si="133"/>
        <v>-5095.0009433149235</v>
      </c>
    </row>
    <row r="1138" spans="1:11" x14ac:dyDescent="0.25">
      <c r="A1138" s="26">
        <v>1088</v>
      </c>
      <c r="B1138" s="82">
        <f t="shared" si="134"/>
        <v>0</v>
      </c>
      <c r="C1138" s="58">
        <f t="shared" si="138"/>
        <v>171.9194128119324</v>
      </c>
      <c r="D1138" s="83">
        <f t="shared" si="135"/>
        <v>733.33333333333326</v>
      </c>
      <c r="E1138">
        <f t="shared" si="131"/>
        <v>0</v>
      </c>
      <c r="G1138">
        <v>1088</v>
      </c>
      <c r="H1138" s="13">
        <f t="shared" si="136"/>
        <v>-1.0275684203264746E-2</v>
      </c>
      <c r="I1138">
        <f t="shared" si="137"/>
        <v>160.73946839878036</v>
      </c>
      <c r="J1138">
        <f t="shared" si="132"/>
        <v>704.1340555593099</v>
      </c>
      <c r="K1138" s="27">
        <f t="shared" si="133"/>
        <v>-5094.4652730764192</v>
      </c>
    </row>
    <row r="1139" spans="1:11" x14ac:dyDescent="0.25">
      <c r="A1139" s="26">
        <v>1089</v>
      </c>
      <c r="B1139" s="82">
        <f t="shared" si="134"/>
        <v>0</v>
      </c>
      <c r="C1139" s="58">
        <f t="shared" si="138"/>
        <v>171.9194128119324</v>
      </c>
      <c r="D1139" s="83">
        <f t="shared" si="135"/>
        <v>733.33333333333326</v>
      </c>
      <c r="E1139">
        <f t="shared" ref="E1139:E1202" si="139">((D1139^2)+(D1139*D1140)+(D1140^2))*B1140/3</f>
        <v>0</v>
      </c>
      <c r="G1139">
        <v>1089</v>
      </c>
      <c r="H1139" s="13">
        <f t="shared" si="136"/>
        <v>-1.0275684203264746E-2</v>
      </c>
      <c r="I1139">
        <f t="shared" si="137"/>
        <v>160.7291927145771</v>
      </c>
      <c r="J1139">
        <f t="shared" ref="J1139:J1202" si="140">IF($G$28&lt;$C$14,0,((($C$11^2)-((I1139-$C$13)^2))^0.5)+$C$16)</f>
        <v>704.09702182118406</v>
      </c>
      <c r="K1139" s="27">
        <f t="shared" ref="K1139:K1202" si="141">((J1139^2)+(J1139*J1140)+(J1140^2))*H1140/3</f>
        <v>-5093.9291465170127</v>
      </c>
    </row>
    <row r="1140" spans="1:11" x14ac:dyDescent="0.25">
      <c r="A1140" s="26">
        <v>1090</v>
      </c>
      <c r="B1140" s="82">
        <f t="shared" ref="B1140:B1203" si="142">C1140-C1139</f>
        <v>0</v>
      </c>
      <c r="C1140" s="58">
        <f t="shared" si="138"/>
        <v>171.9194128119324</v>
      </c>
      <c r="D1140" s="83">
        <f t="shared" ref="D1140:D1203" si="143">IF($G$28&lt;$C$14,0,((($C$11^2)-((C1140-$C$13)^2))^0.5)+$C$16)</f>
        <v>733.33333333333326</v>
      </c>
      <c r="E1140">
        <f t="shared" si="139"/>
        <v>0</v>
      </c>
      <c r="G1140">
        <v>1090</v>
      </c>
      <c r="H1140" s="13">
        <f t="shared" ref="H1140:H1203" si="144">I1140-I1139</f>
        <v>-1.0275684203264746E-2</v>
      </c>
      <c r="I1140">
        <f t="shared" ref="I1140:I1203" si="145">($G$27-$C$14)/2000+I1139</f>
        <v>160.71891703037383</v>
      </c>
      <c r="J1140">
        <f t="shared" si="140"/>
        <v>704.05995455858226</v>
      </c>
      <c r="K1140" s="27">
        <f t="shared" si="141"/>
        <v>-5093.3925624905205</v>
      </c>
    </row>
    <row r="1141" spans="1:11" x14ac:dyDescent="0.25">
      <c r="A1141" s="26">
        <v>1091</v>
      </c>
      <c r="B1141" s="82">
        <f t="shared" si="142"/>
        <v>0</v>
      </c>
      <c r="C1141" s="58">
        <f t="shared" si="138"/>
        <v>171.9194128119324</v>
      </c>
      <c r="D1141" s="83">
        <f t="shared" si="143"/>
        <v>733.33333333333326</v>
      </c>
      <c r="E1141">
        <f t="shared" si="139"/>
        <v>0</v>
      </c>
      <c r="G1141">
        <v>1091</v>
      </c>
      <c r="H1141" s="13">
        <f t="shared" si="144"/>
        <v>-1.0275684203264746E-2</v>
      </c>
      <c r="I1141">
        <f t="shared" si="145"/>
        <v>160.70864134617057</v>
      </c>
      <c r="J1141">
        <f t="shared" si="140"/>
        <v>704.0228536868218</v>
      </c>
      <c r="K1141" s="27">
        <f t="shared" si="141"/>
        <v>-5092.8555198458544</v>
      </c>
    </row>
    <row r="1142" spans="1:11" x14ac:dyDescent="0.25">
      <c r="A1142" s="26">
        <v>1092</v>
      </c>
      <c r="B1142" s="82">
        <f t="shared" si="142"/>
        <v>0</v>
      </c>
      <c r="C1142" s="58">
        <f t="shared" si="138"/>
        <v>171.9194128119324</v>
      </c>
      <c r="D1142" s="83">
        <f t="shared" si="143"/>
        <v>733.33333333333326</v>
      </c>
      <c r="E1142">
        <f t="shared" si="139"/>
        <v>0</v>
      </c>
      <c r="G1142">
        <v>1092</v>
      </c>
      <c r="H1142" s="13">
        <f t="shared" si="144"/>
        <v>-1.0275684203264746E-2</v>
      </c>
      <c r="I1142">
        <f t="shared" si="145"/>
        <v>160.6983656619673</v>
      </c>
      <c r="J1142">
        <f t="shared" si="140"/>
        <v>703.9857191208572</v>
      </c>
      <c r="K1142" s="27">
        <f t="shared" si="141"/>
        <v>-5092.3180174269883</v>
      </c>
    </row>
    <row r="1143" spans="1:11" x14ac:dyDescent="0.25">
      <c r="A1143" s="26">
        <v>1093</v>
      </c>
      <c r="B1143" s="82">
        <f t="shared" si="142"/>
        <v>0</v>
      </c>
      <c r="C1143" s="58">
        <f t="shared" si="138"/>
        <v>171.9194128119324</v>
      </c>
      <c r="D1143" s="83">
        <f t="shared" si="143"/>
        <v>733.33333333333326</v>
      </c>
      <c r="E1143">
        <f t="shared" si="139"/>
        <v>0</v>
      </c>
      <c r="G1143">
        <v>1093</v>
      </c>
      <c r="H1143" s="13">
        <f t="shared" si="144"/>
        <v>-1.0275684203264746E-2</v>
      </c>
      <c r="I1143">
        <f t="shared" si="145"/>
        <v>160.68808997776404</v>
      </c>
      <c r="J1143">
        <f t="shared" si="140"/>
        <v>703.94855077527791</v>
      </c>
      <c r="K1143" s="27">
        <f t="shared" si="141"/>
        <v>-5091.7800540729377</v>
      </c>
    </row>
    <row r="1144" spans="1:11" x14ac:dyDescent="0.25">
      <c r="A1144" s="26">
        <v>1094</v>
      </c>
      <c r="B1144" s="82">
        <f t="shared" si="142"/>
        <v>0</v>
      </c>
      <c r="C1144" s="58">
        <f t="shared" si="138"/>
        <v>171.9194128119324</v>
      </c>
      <c r="D1144" s="83">
        <f t="shared" si="143"/>
        <v>733.33333333333326</v>
      </c>
      <c r="E1144">
        <f t="shared" si="139"/>
        <v>0</v>
      </c>
      <c r="G1144">
        <v>1094</v>
      </c>
      <c r="H1144" s="13">
        <f t="shared" si="144"/>
        <v>-1.0275684203264746E-2</v>
      </c>
      <c r="I1144">
        <f t="shared" si="145"/>
        <v>160.67781429356077</v>
      </c>
      <c r="J1144">
        <f t="shared" si="140"/>
        <v>703.91134856430688</v>
      </c>
      <c r="K1144" s="27">
        <f t="shared" si="141"/>
        <v>-5091.2416286177222</v>
      </c>
    </row>
    <row r="1145" spans="1:11" x14ac:dyDescent="0.25">
      <c r="A1145" s="26">
        <v>1095</v>
      </c>
      <c r="B1145" s="82">
        <f t="shared" si="142"/>
        <v>0</v>
      </c>
      <c r="C1145" s="58">
        <f t="shared" si="138"/>
        <v>171.9194128119324</v>
      </c>
      <c r="D1145" s="83">
        <f t="shared" si="143"/>
        <v>733.33333333333326</v>
      </c>
      <c r="E1145">
        <f t="shared" si="139"/>
        <v>0</v>
      </c>
      <c r="G1145">
        <v>1095</v>
      </c>
      <c r="H1145" s="13">
        <f t="shared" si="144"/>
        <v>-1.0275684203264746E-2</v>
      </c>
      <c r="I1145">
        <f t="shared" si="145"/>
        <v>160.66753860935751</v>
      </c>
      <c r="J1145">
        <f t="shared" si="140"/>
        <v>703.87411240179745</v>
      </c>
      <c r="K1145" s="27">
        <f t="shared" si="141"/>
        <v>-5090.7027398903419</v>
      </c>
    </row>
    <row r="1146" spans="1:11" x14ac:dyDescent="0.25">
      <c r="A1146" s="26">
        <v>1096</v>
      </c>
      <c r="B1146" s="82">
        <f t="shared" si="142"/>
        <v>0</v>
      </c>
      <c r="C1146" s="58">
        <f t="shared" si="138"/>
        <v>171.9194128119324</v>
      </c>
      <c r="D1146" s="83">
        <f t="shared" si="143"/>
        <v>733.33333333333326</v>
      </c>
      <c r="E1146">
        <f t="shared" si="139"/>
        <v>0</v>
      </c>
      <c r="G1146">
        <v>1096</v>
      </c>
      <c r="H1146" s="13">
        <f t="shared" si="144"/>
        <v>-1.0275684203264746E-2</v>
      </c>
      <c r="I1146">
        <f t="shared" si="145"/>
        <v>160.65726292515424</v>
      </c>
      <c r="J1146">
        <f t="shared" si="140"/>
        <v>703.83684220123166</v>
      </c>
      <c r="K1146" s="27">
        <f t="shared" si="141"/>
        <v>-5090.1633867147384</v>
      </c>
    </row>
    <row r="1147" spans="1:11" x14ac:dyDescent="0.25">
      <c r="A1147" s="26">
        <v>1097</v>
      </c>
      <c r="B1147" s="82">
        <f t="shared" si="142"/>
        <v>0</v>
      </c>
      <c r="C1147" s="58">
        <f t="shared" si="138"/>
        <v>171.9194128119324</v>
      </c>
      <c r="D1147" s="83">
        <f t="shared" si="143"/>
        <v>733.33333333333326</v>
      </c>
      <c r="E1147">
        <f t="shared" si="139"/>
        <v>0</v>
      </c>
      <c r="G1147">
        <v>1097</v>
      </c>
      <c r="H1147" s="13">
        <f t="shared" si="144"/>
        <v>-1.0275684203264746E-2</v>
      </c>
      <c r="I1147">
        <f t="shared" si="145"/>
        <v>160.64698724095098</v>
      </c>
      <c r="J1147">
        <f t="shared" si="140"/>
        <v>703.79953787571787</v>
      </c>
      <c r="K1147" s="27">
        <f t="shared" si="141"/>
        <v>-5089.6235679097708</v>
      </c>
    </row>
    <row r="1148" spans="1:11" x14ac:dyDescent="0.25">
      <c r="A1148" s="26">
        <v>1098</v>
      </c>
      <c r="B1148" s="82">
        <f t="shared" si="142"/>
        <v>0</v>
      </c>
      <c r="C1148" s="58">
        <f t="shared" si="138"/>
        <v>171.9194128119324</v>
      </c>
      <c r="D1148" s="83">
        <f t="shared" si="143"/>
        <v>733.33333333333326</v>
      </c>
      <c r="E1148">
        <f t="shared" si="139"/>
        <v>0</v>
      </c>
      <c r="G1148">
        <v>1098</v>
      </c>
      <c r="H1148" s="13">
        <f t="shared" si="144"/>
        <v>-1.0275684203264746E-2</v>
      </c>
      <c r="I1148">
        <f t="shared" si="145"/>
        <v>160.63671155674771</v>
      </c>
      <c r="J1148">
        <f t="shared" si="140"/>
        <v>703.76219933798836</v>
      </c>
      <c r="K1148" s="27">
        <f t="shared" si="141"/>
        <v>-5089.0832822891871</v>
      </c>
    </row>
    <row r="1149" spans="1:11" x14ac:dyDescent="0.25">
      <c r="A1149" s="26">
        <v>1099</v>
      </c>
      <c r="B1149" s="82">
        <f t="shared" si="142"/>
        <v>0</v>
      </c>
      <c r="C1149" s="58">
        <f t="shared" si="138"/>
        <v>171.9194128119324</v>
      </c>
      <c r="D1149" s="83">
        <f t="shared" si="143"/>
        <v>733.33333333333326</v>
      </c>
      <c r="E1149">
        <f t="shared" si="139"/>
        <v>0</v>
      </c>
      <c r="G1149">
        <v>1099</v>
      </c>
      <c r="H1149" s="13">
        <f t="shared" si="144"/>
        <v>-1.0275684203264746E-2</v>
      </c>
      <c r="I1149">
        <f t="shared" si="145"/>
        <v>160.62643587254445</v>
      </c>
      <c r="J1149">
        <f t="shared" si="140"/>
        <v>703.72482650039728</v>
      </c>
      <c r="K1149" s="27">
        <f t="shared" si="141"/>
        <v>-5088.5425286615819</v>
      </c>
    </row>
    <row r="1150" spans="1:11" x14ac:dyDescent="0.25">
      <c r="A1150" s="26">
        <v>1100</v>
      </c>
      <c r="B1150" s="82">
        <f t="shared" si="142"/>
        <v>0</v>
      </c>
      <c r="C1150" s="58">
        <f t="shared" si="138"/>
        <v>171.9194128119324</v>
      </c>
      <c r="D1150" s="83">
        <f t="shared" si="143"/>
        <v>733.33333333333326</v>
      </c>
      <c r="E1150">
        <f t="shared" si="139"/>
        <v>0</v>
      </c>
      <c r="G1150">
        <v>1100</v>
      </c>
      <c r="H1150" s="13">
        <f t="shared" si="144"/>
        <v>-1.0275684203264746E-2</v>
      </c>
      <c r="I1150">
        <f t="shared" si="145"/>
        <v>160.61616018834118</v>
      </c>
      <c r="J1150">
        <f t="shared" si="140"/>
        <v>703.68741927491806</v>
      </c>
      <c r="K1150" s="27">
        <f t="shared" si="141"/>
        <v>-5088.0013058303784</v>
      </c>
    </row>
    <row r="1151" spans="1:11" x14ac:dyDescent="0.25">
      <c r="A1151" s="26">
        <v>1101</v>
      </c>
      <c r="B1151" s="82">
        <f t="shared" si="142"/>
        <v>0</v>
      </c>
      <c r="C1151" s="58">
        <f t="shared" si="138"/>
        <v>171.9194128119324</v>
      </c>
      <c r="D1151" s="83">
        <f t="shared" si="143"/>
        <v>733.33333333333326</v>
      </c>
      <c r="E1151">
        <f t="shared" si="139"/>
        <v>0</v>
      </c>
      <c r="G1151">
        <v>1101</v>
      </c>
      <c r="H1151" s="13">
        <f t="shared" si="144"/>
        <v>-1.0275684203264746E-2</v>
      </c>
      <c r="I1151">
        <f t="shared" si="145"/>
        <v>160.60588450413792</v>
      </c>
      <c r="J1151">
        <f t="shared" si="140"/>
        <v>703.64997757314154</v>
      </c>
      <c r="K1151" s="27">
        <f t="shared" si="141"/>
        <v>-5087.4596125937869</v>
      </c>
    </row>
    <row r="1152" spans="1:11" x14ac:dyDescent="0.25">
      <c r="A1152" s="26">
        <v>1102</v>
      </c>
      <c r="B1152" s="82">
        <f t="shared" si="142"/>
        <v>0</v>
      </c>
      <c r="C1152" s="58">
        <f t="shared" si="138"/>
        <v>171.9194128119324</v>
      </c>
      <c r="D1152" s="83">
        <f t="shared" si="143"/>
        <v>733.33333333333326</v>
      </c>
      <c r="E1152">
        <f t="shared" si="139"/>
        <v>0</v>
      </c>
      <c r="G1152">
        <v>1102</v>
      </c>
      <c r="H1152" s="13">
        <f t="shared" si="144"/>
        <v>-1.0275684203264746E-2</v>
      </c>
      <c r="I1152">
        <f t="shared" si="145"/>
        <v>160.59560881993465</v>
      </c>
      <c r="J1152">
        <f t="shared" si="140"/>
        <v>703.61250130627286</v>
      </c>
      <c r="K1152" s="27">
        <f t="shared" si="141"/>
        <v>-5086.9174477447777</v>
      </c>
    </row>
    <row r="1153" spans="1:11" x14ac:dyDescent="0.25">
      <c r="A1153" s="26">
        <v>1103</v>
      </c>
      <c r="B1153" s="82">
        <f t="shared" si="142"/>
        <v>0</v>
      </c>
      <c r="C1153" s="58">
        <f t="shared" si="138"/>
        <v>171.9194128119324</v>
      </c>
      <c r="D1153" s="83">
        <f t="shared" si="143"/>
        <v>733.33333333333326</v>
      </c>
      <c r="E1153">
        <f t="shared" si="139"/>
        <v>0</v>
      </c>
      <c r="G1153">
        <v>1103</v>
      </c>
      <c r="H1153" s="13">
        <f t="shared" si="144"/>
        <v>-1.0275684203264746E-2</v>
      </c>
      <c r="I1153">
        <f t="shared" si="145"/>
        <v>160.58533313573139</v>
      </c>
      <c r="J1153">
        <f t="shared" si="140"/>
        <v>703.57499038513015</v>
      </c>
      <c r="K1153" s="27">
        <f t="shared" si="141"/>
        <v>-5086.3748100710491</v>
      </c>
    </row>
    <row r="1154" spans="1:11" x14ac:dyDescent="0.25">
      <c r="A1154" s="26">
        <v>1104</v>
      </c>
      <c r="B1154" s="82">
        <f t="shared" si="142"/>
        <v>0</v>
      </c>
      <c r="C1154" s="58">
        <f t="shared" si="138"/>
        <v>171.9194128119324</v>
      </c>
      <c r="D1154" s="83">
        <f t="shared" si="143"/>
        <v>733.33333333333326</v>
      </c>
      <c r="E1154">
        <f t="shared" si="139"/>
        <v>0</v>
      </c>
      <c r="G1154">
        <v>1104</v>
      </c>
      <c r="H1154" s="13">
        <f t="shared" si="144"/>
        <v>-1.0275684203264746E-2</v>
      </c>
      <c r="I1154">
        <f t="shared" si="145"/>
        <v>160.57505745152812</v>
      </c>
      <c r="J1154">
        <f t="shared" si="140"/>
        <v>703.53744472014102</v>
      </c>
      <c r="K1154" s="27">
        <f t="shared" si="141"/>
        <v>-5085.8316983549903</v>
      </c>
    </row>
    <row r="1155" spans="1:11" x14ac:dyDescent="0.25">
      <c r="A1155" s="26">
        <v>1105</v>
      </c>
      <c r="B1155" s="82">
        <f t="shared" si="142"/>
        <v>0</v>
      </c>
      <c r="C1155" s="58">
        <f t="shared" si="138"/>
        <v>171.9194128119324</v>
      </c>
      <c r="D1155" s="83">
        <f t="shared" si="143"/>
        <v>733.33333333333326</v>
      </c>
      <c r="E1155">
        <f t="shared" si="139"/>
        <v>0</v>
      </c>
      <c r="G1155">
        <v>1105</v>
      </c>
      <c r="H1155" s="13">
        <f t="shared" si="144"/>
        <v>-1.0275684203264746E-2</v>
      </c>
      <c r="I1155">
        <f t="shared" si="145"/>
        <v>160.56478176732486</v>
      </c>
      <c r="J1155">
        <f t="shared" si="140"/>
        <v>703.49986422134123</v>
      </c>
      <c r="K1155" s="27">
        <f t="shared" si="141"/>
        <v>-5085.2881113736557</v>
      </c>
    </row>
    <row r="1156" spans="1:11" x14ac:dyDescent="0.25">
      <c r="A1156" s="26">
        <v>1106</v>
      </c>
      <c r="B1156" s="82">
        <f t="shared" si="142"/>
        <v>0</v>
      </c>
      <c r="C1156" s="58">
        <f t="shared" si="138"/>
        <v>171.9194128119324</v>
      </c>
      <c r="D1156" s="83">
        <f t="shared" si="143"/>
        <v>733.33333333333326</v>
      </c>
      <c r="E1156">
        <f t="shared" si="139"/>
        <v>0</v>
      </c>
      <c r="G1156">
        <v>1106</v>
      </c>
      <c r="H1156" s="13">
        <f t="shared" si="144"/>
        <v>-1.0275684203264746E-2</v>
      </c>
      <c r="I1156">
        <f t="shared" si="145"/>
        <v>160.55450608312159</v>
      </c>
      <c r="J1156">
        <f t="shared" si="140"/>
        <v>703.46224879837132</v>
      </c>
      <c r="K1156" s="27">
        <f t="shared" si="141"/>
        <v>-5084.7440478987282</v>
      </c>
    </row>
    <row r="1157" spans="1:11" x14ac:dyDescent="0.25">
      <c r="A1157" s="26">
        <v>1107</v>
      </c>
      <c r="B1157" s="82">
        <f t="shared" si="142"/>
        <v>0</v>
      </c>
      <c r="C1157" s="58">
        <f t="shared" si="138"/>
        <v>171.9194128119324</v>
      </c>
      <c r="D1157" s="83">
        <f t="shared" si="143"/>
        <v>733.33333333333326</v>
      </c>
      <c r="E1157">
        <f t="shared" si="139"/>
        <v>0</v>
      </c>
      <c r="G1157">
        <v>1107</v>
      </c>
      <c r="H1157" s="13">
        <f t="shared" si="144"/>
        <v>-1.0275684203264746E-2</v>
      </c>
      <c r="I1157">
        <f t="shared" si="145"/>
        <v>160.54423039891833</v>
      </c>
      <c r="J1157">
        <f t="shared" si="140"/>
        <v>703.4245983604751</v>
      </c>
      <c r="K1157" s="27">
        <f t="shared" si="141"/>
        <v>-5084.1995066964846</v>
      </c>
    </row>
    <row r="1158" spans="1:11" x14ac:dyDescent="0.25">
      <c r="A1158" s="26">
        <v>1108</v>
      </c>
      <c r="B1158" s="82">
        <f t="shared" si="142"/>
        <v>0</v>
      </c>
      <c r="C1158" s="58">
        <f t="shared" si="138"/>
        <v>171.9194128119324</v>
      </c>
      <c r="D1158" s="83">
        <f t="shared" si="143"/>
        <v>733.33333333333326</v>
      </c>
      <c r="E1158">
        <f t="shared" si="139"/>
        <v>0</v>
      </c>
      <c r="G1158">
        <v>1108</v>
      </c>
      <c r="H1158" s="13">
        <f t="shared" si="144"/>
        <v>-1.0275684203264746E-2</v>
      </c>
      <c r="I1158">
        <f t="shared" si="145"/>
        <v>160.53395471471507</v>
      </c>
      <c r="J1158">
        <f t="shared" si="140"/>
        <v>703.38691281649619</v>
      </c>
      <c r="K1158" s="27">
        <f t="shared" si="141"/>
        <v>-5083.6544865277647</v>
      </c>
    </row>
    <row r="1159" spans="1:11" x14ac:dyDescent="0.25">
      <c r="A1159" s="26">
        <v>1109</v>
      </c>
      <c r="B1159" s="82">
        <f t="shared" si="142"/>
        <v>0</v>
      </c>
      <c r="C1159" s="58">
        <f t="shared" si="138"/>
        <v>171.9194128119324</v>
      </c>
      <c r="D1159" s="83">
        <f t="shared" si="143"/>
        <v>733.33333333333326</v>
      </c>
      <c r="E1159">
        <f t="shared" si="139"/>
        <v>0</v>
      </c>
      <c r="G1159">
        <v>1109</v>
      </c>
      <c r="H1159" s="13">
        <f t="shared" si="144"/>
        <v>-1.0275684203264746E-2</v>
      </c>
      <c r="I1159">
        <f t="shared" si="145"/>
        <v>160.5236790305118</v>
      </c>
      <c r="J1159">
        <f t="shared" si="140"/>
        <v>703.34919207487656</v>
      </c>
      <c r="K1159" s="27">
        <f t="shared" si="141"/>
        <v>-5083.1089861479368</v>
      </c>
    </row>
    <row r="1160" spans="1:11" x14ac:dyDescent="0.25">
      <c r="A1160" s="26">
        <v>1110</v>
      </c>
      <c r="B1160" s="82">
        <f t="shared" si="142"/>
        <v>0</v>
      </c>
      <c r="C1160" s="58">
        <f t="shared" si="138"/>
        <v>171.9194128119324</v>
      </c>
      <c r="D1160" s="83">
        <f t="shared" si="143"/>
        <v>733.33333333333326</v>
      </c>
      <c r="E1160">
        <f t="shared" si="139"/>
        <v>0</v>
      </c>
      <c r="G1160">
        <v>1110</v>
      </c>
      <c r="H1160" s="13">
        <f t="shared" si="144"/>
        <v>-1.0275684203264746E-2</v>
      </c>
      <c r="I1160">
        <f t="shared" si="145"/>
        <v>160.51340334630854</v>
      </c>
      <c r="J1160">
        <f t="shared" si="140"/>
        <v>703.3114360436532</v>
      </c>
      <c r="K1160" s="27">
        <f t="shared" si="141"/>
        <v>-5082.5630043068659</v>
      </c>
    </row>
    <row r="1161" spans="1:11" x14ac:dyDescent="0.25">
      <c r="A1161" s="26">
        <v>1111</v>
      </c>
      <c r="B1161" s="82">
        <f t="shared" si="142"/>
        <v>0</v>
      </c>
      <c r="C1161" s="58">
        <f t="shared" si="138"/>
        <v>171.9194128119324</v>
      </c>
      <c r="D1161" s="83">
        <f t="shared" si="143"/>
        <v>733.33333333333326</v>
      </c>
      <c r="E1161">
        <f t="shared" si="139"/>
        <v>0</v>
      </c>
      <c r="G1161">
        <v>1111</v>
      </c>
      <c r="H1161" s="13">
        <f t="shared" si="144"/>
        <v>-1.0275684203264746E-2</v>
      </c>
      <c r="I1161">
        <f t="shared" si="145"/>
        <v>160.50312766210527</v>
      </c>
      <c r="J1161">
        <f t="shared" si="140"/>
        <v>703.27364463045626</v>
      </c>
      <c r="K1161" s="27">
        <f t="shared" si="141"/>
        <v>-5082.0165397488772</v>
      </c>
    </row>
    <row r="1162" spans="1:11" x14ac:dyDescent="0.25">
      <c r="A1162" s="26">
        <v>1112</v>
      </c>
      <c r="B1162" s="82">
        <f t="shared" si="142"/>
        <v>0</v>
      </c>
      <c r="C1162" s="58">
        <f t="shared" si="138"/>
        <v>171.9194128119324</v>
      </c>
      <c r="D1162" s="83">
        <f t="shared" si="143"/>
        <v>733.33333333333326</v>
      </c>
      <c r="E1162">
        <f t="shared" si="139"/>
        <v>0</v>
      </c>
      <c r="G1162">
        <v>1112</v>
      </c>
      <c r="H1162" s="13">
        <f t="shared" si="144"/>
        <v>-1.0275684203264746E-2</v>
      </c>
      <c r="I1162">
        <f t="shared" si="145"/>
        <v>160.49285197790201</v>
      </c>
      <c r="J1162">
        <f t="shared" si="140"/>
        <v>703.23581774250601</v>
      </c>
      <c r="K1162" s="27">
        <f t="shared" si="141"/>
        <v>-5081.4695912127163</v>
      </c>
    </row>
    <row r="1163" spans="1:11" x14ac:dyDescent="0.25">
      <c r="A1163" s="26">
        <v>1113</v>
      </c>
      <c r="B1163" s="82">
        <f t="shared" si="142"/>
        <v>0</v>
      </c>
      <c r="C1163" s="58">
        <f t="shared" si="138"/>
        <v>171.9194128119324</v>
      </c>
      <c r="D1163" s="83">
        <f t="shared" si="143"/>
        <v>733.33333333333326</v>
      </c>
      <c r="E1163">
        <f t="shared" si="139"/>
        <v>0</v>
      </c>
      <c r="G1163">
        <v>1113</v>
      </c>
      <c r="H1163" s="13">
        <f t="shared" si="144"/>
        <v>-1.0275684203264746E-2</v>
      </c>
      <c r="I1163">
        <f t="shared" si="145"/>
        <v>160.48257629369874</v>
      </c>
      <c r="J1163">
        <f t="shared" si="140"/>
        <v>703.19795528661064</v>
      </c>
      <c r="K1163" s="27">
        <f t="shared" si="141"/>
        <v>-5080.9221574315279</v>
      </c>
    </row>
    <row r="1164" spans="1:11" x14ac:dyDescent="0.25">
      <c r="A1164" s="26">
        <v>1114</v>
      </c>
      <c r="B1164" s="82">
        <f t="shared" si="142"/>
        <v>0</v>
      </c>
      <c r="C1164" s="58">
        <f t="shared" si="138"/>
        <v>171.9194128119324</v>
      </c>
      <c r="D1164" s="83">
        <f t="shared" si="143"/>
        <v>733.33333333333326</v>
      </c>
      <c r="E1164">
        <f t="shared" si="139"/>
        <v>0</v>
      </c>
      <c r="G1164">
        <v>1114</v>
      </c>
      <c r="H1164" s="13">
        <f t="shared" si="144"/>
        <v>-1.0275684203264746E-2</v>
      </c>
      <c r="I1164">
        <f t="shared" si="145"/>
        <v>160.47230060949548</v>
      </c>
      <c r="J1164">
        <f t="shared" si="140"/>
        <v>703.16005716916334</v>
      </c>
      <c r="K1164" s="27">
        <f t="shared" si="141"/>
        <v>-5080.374237132809</v>
      </c>
    </row>
    <row r="1165" spans="1:11" x14ac:dyDescent="0.25">
      <c r="A1165" s="26">
        <v>1115</v>
      </c>
      <c r="B1165" s="82">
        <f t="shared" si="142"/>
        <v>0</v>
      </c>
      <c r="C1165" s="58">
        <f t="shared" si="138"/>
        <v>171.9194128119324</v>
      </c>
      <c r="D1165" s="83">
        <f t="shared" si="143"/>
        <v>733.33333333333326</v>
      </c>
      <c r="E1165">
        <f t="shared" si="139"/>
        <v>0</v>
      </c>
      <c r="G1165">
        <v>1115</v>
      </c>
      <c r="H1165" s="13">
        <f t="shared" si="144"/>
        <v>-1.0275684203264746E-2</v>
      </c>
      <c r="I1165">
        <f t="shared" si="145"/>
        <v>160.46202492529221</v>
      </c>
      <c r="J1165">
        <f t="shared" si="140"/>
        <v>703.12212329614022</v>
      </c>
      <c r="K1165" s="27">
        <f t="shared" si="141"/>
        <v>-5079.8258290383765</v>
      </c>
    </row>
    <row r="1166" spans="1:11" x14ac:dyDescent="0.25">
      <c r="A1166" s="26">
        <v>1116</v>
      </c>
      <c r="B1166" s="82">
        <f t="shared" si="142"/>
        <v>0</v>
      </c>
      <c r="C1166" s="58">
        <f t="shared" si="138"/>
        <v>171.9194128119324</v>
      </c>
      <c r="D1166" s="83">
        <f t="shared" si="143"/>
        <v>733.33333333333326</v>
      </c>
      <c r="E1166">
        <f t="shared" si="139"/>
        <v>0</v>
      </c>
      <c r="G1166">
        <v>1116</v>
      </c>
      <c r="H1166" s="13">
        <f t="shared" si="144"/>
        <v>-1.0275684203264746E-2</v>
      </c>
      <c r="I1166">
        <f t="shared" si="145"/>
        <v>160.45174924108895</v>
      </c>
      <c r="J1166">
        <f t="shared" si="140"/>
        <v>703.08415357309707</v>
      </c>
      <c r="K1166" s="27">
        <f t="shared" si="141"/>
        <v>-5079.2769318643341</v>
      </c>
    </row>
    <row r="1167" spans="1:11" x14ac:dyDescent="0.25">
      <c r="A1167" s="26">
        <v>1117</v>
      </c>
      <c r="B1167" s="82">
        <f t="shared" si="142"/>
        <v>0</v>
      </c>
      <c r="C1167" s="58">
        <f t="shared" si="138"/>
        <v>171.9194128119324</v>
      </c>
      <c r="D1167" s="83">
        <f t="shared" si="143"/>
        <v>733.33333333333326</v>
      </c>
      <c r="E1167">
        <f t="shared" si="139"/>
        <v>0</v>
      </c>
      <c r="G1167">
        <v>1117</v>
      </c>
      <c r="H1167" s="13">
        <f t="shared" si="144"/>
        <v>-1.0275684203264746E-2</v>
      </c>
      <c r="I1167">
        <f t="shared" si="145"/>
        <v>160.44147355688568</v>
      </c>
      <c r="J1167">
        <f t="shared" si="140"/>
        <v>703.04614790516723</v>
      </c>
      <c r="K1167" s="27">
        <f t="shared" si="141"/>
        <v>-5078.7275443210356</v>
      </c>
    </row>
    <row r="1168" spans="1:11" x14ac:dyDescent="0.25">
      <c r="A1168" s="26">
        <v>1118</v>
      </c>
      <c r="B1168" s="82">
        <f t="shared" si="142"/>
        <v>0</v>
      </c>
      <c r="C1168" s="58">
        <f t="shared" ref="C1168:C1231" si="146">($C$37-$C$36)/2000+C1167</f>
        <v>171.9194128119324</v>
      </c>
      <c r="D1168" s="83">
        <f t="shared" si="143"/>
        <v>733.33333333333326</v>
      </c>
      <c r="E1168">
        <f t="shared" si="139"/>
        <v>0</v>
      </c>
      <c r="G1168">
        <v>1118</v>
      </c>
      <c r="H1168" s="13">
        <f t="shared" si="144"/>
        <v>-1.0275684203264746E-2</v>
      </c>
      <c r="I1168">
        <f t="shared" si="145"/>
        <v>160.43119787268242</v>
      </c>
      <c r="J1168">
        <f t="shared" si="140"/>
        <v>703.00810619705874</v>
      </c>
      <c r="K1168" s="27">
        <f t="shared" si="141"/>
        <v>-5078.1776651130467</v>
      </c>
    </row>
    <row r="1169" spans="1:11" x14ac:dyDescent="0.25">
      <c r="A1169" s="26">
        <v>1119</v>
      </c>
      <c r="B1169" s="82">
        <f t="shared" si="142"/>
        <v>0</v>
      </c>
      <c r="C1169" s="58">
        <f t="shared" si="146"/>
        <v>171.9194128119324</v>
      </c>
      <c r="D1169" s="83">
        <f t="shared" si="143"/>
        <v>733.33333333333326</v>
      </c>
      <c r="E1169">
        <f t="shared" si="139"/>
        <v>0</v>
      </c>
      <c r="G1169">
        <v>1119</v>
      </c>
      <c r="H1169" s="13">
        <f t="shared" si="144"/>
        <v>-1.0275684203264746E-2</v>
      </c>
      <c r="I1169">
        <f t="shared" si="145"/>
        <v>160.42092218847915</v>
      </c>
      <c r="J1169">
        <f t="shared" si="140"/>
        <v>702.9700283530517</v>
      </c>
      <c r="K1169" s="27">
        <f t="shared" si="141"/>
        <v>-5077.6272929391116</v>
      </c>
    </row>
    <row r="1170" spans="1:11" x14ac:dyDescent="0.25">
      <c r="A1170" s="26">
        <v>1120</v>
      </c>
      <c r="B1170" s="82">
        <f t="shared" si="142"/>
        <v>0</v>
      </c>
      <c r="C1170" s="58">
        <f t="shared" si="146"/>
        <v>171.9194128119324</v>
      </c>
      <c r="D1170" s="83">
        <f t="shared" si="143"/>
        <v>733.33333333333326</v>
      </c>
      <c r="E1170">
        <f t="shared" si="139"/>
        <v>0</v>
      </c>
      <c r="G1170">
        <v>1120</v>
      </c>
      <c r="H1170" s="13">
        <f t="shared" si="144"/>
        <v>-1.0275684203264746E-2</v>
      </c>
      <c r="I1170">
        <f t="shared" si="145"/>
        <v>160.41064650427589</v>
      </c>
      <c r="J1170">
        <f t="shared" si="140"/>
        <v>702.93191427699526</v>
      </c>
      <c r="K1170" s="27">
        <f t="shared" si="141"/>
        <v>-5077.0764264921099</v>
      </c>
    </row>
    <row r="1171" spans="1:11" x14ac:dyDescent="0.25">
      <c r="A1171" s="26">
        <v>1121</v>
      </c>
      <c r="B1171" s="82">
        <f t="shared" si="142"/>
        <v>0</v>
      </c>
      <c r="C1171" s="58">
        <f t="shared" si="146"/>
        <v>171.9194128119324</v>
      </c>
      <c r="D1171" s="83">
        <f t="shared" si="143"/>
        <v>733.33333333333326</v>
      </c>
      <c r="E1171">
        <f t="shared" si="139"/>
        <v>0</v>
      </c>
      <c r="G1171">
        <v>1121</v>
      </c>
      <c r="H1171" s="13">
        <f t="shared" si="144"/>
        <v>-1.0275684203264746E-2</v>
      </c>
      <c r="I1171">
        <f t="shared" si="145"/>
        <v>160.40037082007262</v>
      </c>
      <c r="J1171">
        <f t="shared" si="140"/>
        <v>702.89376387230561</v>
      </c>
      <c r="K1171" s="27">
        <f t="shared" si="141"/>
        <v>-5076.5250644590287</v>
      </c>
    </row>
    <row r="1172" spans="1:11" x14ac:dyDescent="0.25">
      <c r="A1172" s="26">
        <v>1122</v>
      </c>
      <c r="B1172" s="82">
        <f t="shared" si="142"/>
        <v>0</v>
      </c>
      <c r="C1172" s="58">
        <f t="shared" si="146"/>
        <v>171.9194128119324</v>
      </c>
      <c r="D1172" s="83">
        <f t="shared" si="143"/>
        <v>733.33333333333326</v>
      </c>
      <c r="E1172">
        <f t="shared" si="139"/>
        <v>0</v>
      </c>
      <c r="G1172">
        <v>1122</v>
      </c>
      <c r="H1172" s="13">
        <f t="shared" si="144"/>
        <v>-1.0275684203264746E-2</v>
      </c>
      <c r="I1172">
        <f t="shared" si="145"/>
        <v>160.39009513586936</v>
      </c>
      <c r="J1172">
        <f t="shared" si="140"/>
        <v>702.85557704196242</v>
      </c>
      <c r="K1172" s="27">
        <f t="shared" si="141"/>
        <v>-5075.9732055209179</v>
      </c>
    </row>
    <row r="1173" spans="1:11" x14ac:dyDescent="0.25">
      <c r="A1173" s="26">
        <v>1123</v>
      </c>
      <c r="B1173" s="82">
        <f t="shared" si="142"/>
        <v>0</v>
      </c>
      <c r="C1173" s="58">
        <f t="shared" si="146"/>
        <v>171.9194128119324</v>
      </c>
      <c r="D1173" s="83">
        <f t="shared" si="143"/>
        <v>733.33333333333326</v>
      </c>
      <c r="E1173">
        <f t="shared" si="139"/>
        <v>0</v>
      </c>
      <c r="G1173">
        <v>1123</v>
      </c>
      <c r="H1173" s="13">
        <f t="shared" si="144"/>
        <v>-1.0275684203264746E-2</v>
      </c>
      <c r="I1173">
        <f t="shared" si="145"/>
        <v>160.37981945166609</v>
      </c>
      <c r="J1173">
        <f t="shared" si="140"/>
        <v>702.81735368850661</v>
      </c>
      <c r="K1173" s="27">
        <f t="shared" si="141"/>
        <v>-5075.4208483528564</v>
      </c>
    </row>
    <row r="1174" spans="1:11" x14ac:dyDescent="0.25">
      <c r="A1174" s="26">
        <v>1124</v>
      </c>
      <c r="B1174" s="82">
        <f t="shared" si="142"/>
        <v>0</v>
      </c>
      <c r="C1174" s="58">
        <f t="shared" si="146"/>
        <v>171.9194128119324</v>
      </c>
      <c r="D1174" s="83">
        <f t="shared" si="143"/>
        <v>733.33333333333326</v>
      </c>
      <c r="E1174">
        <f t="shared" si="139"/>
        <v>0</v>
      </c>
      <c r="G1174">
        <v>1124</v>
      </c>
      <c r="H1174" s="13">
        <f t="shared" si="144"/>
        <v>-1.0275684203264746E-2</v>
      </c>
      <c r="I1174">
        <f t="shared" si="145"/>
        <v>160.36954376746283</v>
      </c>
      <c r="J1174">
        <f t="shared" si="140"/>
        <v>702.77909371403734</v>
      </c>
      <c r="K1174" s="27">
        <f t="shared" si="141"/>
        <v>-5074.8679916239134</v>
      </c>
    </row>
    <row r="1175" spans="1:11" x14ac:dyDescent="0.25">
      <c r="A1175" s="26">
        <v>1125</v>
      </c>
      <c r="B1175" s="82">
        <f t="shared" si="142"/>
        <v>0</v>
      </c>
      <c r="C1175" s="58">
        <f t="shared" si="146"/>
        <v>171.9194128119324</v>
      </c>
      <c r="D1175" s="83">
        <f t="shared" si="143"/>
        <v>733.33333333333326</v>
      </c>
      <c r="E1175">
        <f t="shared" si="139"/>
        <v>0</v>
      </c>
      <c r="G1175">
        <v>1125</v>
      </c>
      <c r="H1175" s="13">
        <f t="shared" si="144"/>
        <v>-1.0275684203264746E-2</v>
      </c>
      <c r="I1175">
        <f t="shared" si="145"/>
        <v>160.35926808325956</v>
      </c>
      <c r="J1175">
        <f t="shared" si="140"/>
        <v>702.74079702020936</v>
      </c>
      <c r="K1175" s="27">
        <f t="shared" si="141"/>
        <v>-5074.3146339971063</v>
      </c>
    </row>
    <row r="1176" spans="1:11" x14ac:dyDescent="0.25">
      <c r="A1176" s="26">
        <v>1126</v>
      </c>
      <c r="B1176" s="82">
        <f t="shared" si="142"/>
        <v>0</v>
      </c>
      <c r="C1176" s="58">
        <f t="shared" si="146"/>
        <v>171.9194128119324</v>
      </c>
      <c r="D1176" s="83">
        <f t="shared" si="143"/>
        <v>733.33333333333326</v>
      </c>
      <c r="E1176">
        <f t="shared" si="139"/>
        <v>0</v>
      </c>
      <c r="G1176">
        <v>1126</v>
      </c>
      <c r="H1176" s="13">
        <f t="shared" si="144"/>
        <v>-1.0275684203264746E-2</v>
      </c>
      <c r="I1176">
        <f t="shared" si="145"/>
        <v>160.3489923990563</v>
      </c>
      <c r="J1176">
        <f t="shared" si="140"/>
        <v>702.70246350823004</v>
      </c>
      <c r="K1176" s="27">
        <f t="shared" si="141"/>
        <v>-5073.7607741293714</v>
      </c>
    </row>
    <row r="1177" spans="1:11" x14ac:dyDescent="0.25">
      <c r="A1177" s="26">
        <v>1127</v>
      </c>
      <c r="B1177" s="82">
        <f t="shared" si="142"/>
        <v>0</v>
      </c>
      <c r="C1177" s="58">
        <f t="shared" si="146"/>
        <v>171.9194128119324</v>
      </c>
      <c r="D1177" s="83">
        <f t="shared" si="143"/>
        <v>733.33333333333326</v>
      </c>
      <c r="E1177">
        <f t="shared" si="139"/>
        <v>0</v>
      </c>
      <c r="G1177">
        <v>1127</v>
      </c>
      <c r="H1177" s="13">
        <f t="shared" si="144"/>
        <v>-1.0275684203264746E-2</v>
      </c>
      <c r="I1177">
        <f t="shared" si="145"/>
        <v>160.33871671485304</v>
      </c>
      <c r="J1177">
        <f t="shared" si="140"/>
        <v>702.66409307885647</v>
      </c>
      <c r="K1177" s="27">
        <f t="shared" si="141"/>
        <v>-5073.2064106715106</v>
      </c>
    </row>
    <row r="1178" spans="1:11" x14ac:dyDescent="0.25">
      <c r="A1178" s="26">
        <v>1128</v>
      </c>
      <c r="B1178" s="82">
        <f t="shared" si="142"/>
        <v>0</v>
      </c>
      <c r="C1178" s="58">
        <f t="shared" si="146"/>
        <v>171.9194128119324</v>
      </c>
      <c r="D1178" s="83">
        <f t="shared" si="143"/>
        <v>733.33333333333326</v>
      </c>
      <c r="E1178">
        <f t="shared" si="139"/>
        <v>0</v>
      </c>
      <c r="G1178">
        <v>1128</v>
      </c>
      <c r="H1178" s="13">
        <f t="shared" si="144"/>
        <v>-1.0275684203264746E-2</v>
      </c>
      <c r="I1178">
        <f t="shared" si="145"/>
        <v>160.32844103064977</v>
      </c>
      <c r="J1178">
        <f t="shared" si="140"/>
        <v>702.62568563239256</v>
      </c>
      <c r="K1178" s="27">
        <f t="shared" si="141"/>
        <v>-5072.6515422681678</v>
      </c>
    </row>
    <row r="1179" spans="1:11" x14ac:dyDescent="0.25">
      <c r="A1179" s="26">
        <v>1129</v>
      </c>
      <c r="B1179" s="82">
        <f t="shared" si="142"/>
        <v>0</v>
      </c>
      <c r="C1179" s="58">
        <f t="shared" si="146"/>
        <v>171.9194128119324</v>
      </c>
      <c r="D1179" s="83">
        <f t="shared" si="143"/>
        <v>733.33333333333326</v>
      </c>
      <c r="E1179">
        <f t="shared" si="139"/>
        <v>0</v>
      </c>
      <c r="G1179">
        <v>1129</v>
      </c>
      <c r="H1179" s="13">
        <f t="shared" si="144"/>
        <v>-1.0275684203264746E-2</v>
      </c>
      <c r="I1179">
        <f t="shared" si="145"/>
        <v>160.31816534644651</v>
      </c>
      <c r="J1179">
        <f t="shared" si="140"/>
        <v>702.58724106868658</v>
      </c>
      <c r="K1179" s="27">
        <f t="shared" si="141"/>
        <v>-5072.0961675577792</v>
      </c>
    </row>
    <row r="1180" spans="1:11" x14ac:dyDescent="0.25">
      <c r="A1180" s="26">
        <v>1130</v>
      </c>
      <c r="B1180" s="82">
        <f t="shared" si="142"/>
        <v>0</v>
      </c>
      <c r="C1180" s="58">
        <f t="shared" si="146"/>
        <v>171.9194128119324</v>
      </c>
      <c r="D1180" s="83">
        <f t="shared" si="143"/>
        <v>733.33333333333326</v>
      </c>
      <c r="E1180">
        <f t="shared" si="139"/>
        <v>0</v>
      </c>
      <c r="G1180">
        <v>1130</v>
      </c>
      <c r="H1180" s="13">
        <f t="shared" si="144"/>
        <v>-1.0275684203264746E-2</v>
      </c>
      <c r="I1180">
        <f t="shared" si="145"/>
        <v>160.30788966224324</v>
      </c>
      <c r="J1180">
        <f t="shared" si="140"/>
        <v>702.5487592871275</v>
      </c>
      <c r="K1180" s="27">
        <f t="shared" si="141"/>
        <v>-5071.5402851725321</v>
      </c>
    </row>
    <row r="1181" spans="1:11" x14ac:dyDescent="0.25">
      <c r="A1181" s="26">
        <v>1131</v>
      </c>
      <c r="B1181" s="82">
        <f t="shared" si="142"/>
        <v>0</v>
      </c>
      <c r="C1181" s="58">
        <f t="shared" si="146"/>
        <v>171.9194128119324</v>
      </c>
      <c r="D1181" s="83">
        <f t="shared" si="143"/>
        <v>733.33333333333326</v>
      </c>
      <c r="E1181">
        <f t="shared" si="139"/>
        <v>0</v>
      </c>
      <c r="G1181">
        <v>1131</v>
      </c>
      <c r="H1181" s="13">
        <f t="shared" si="144"/>
        <v>-1.0275684203264746E-2</v>
      </c>
      <c r="I1181">
        <f t="shared" si="145"/>
        <v>160.29761397803998</v>
      </c>
      <c r="J1181">
        <f t="shared" si="140"/>
        <v>702.51024018664248</v>
      </c>
      <c r="K1181" s="27">
        <f t="shared" si="141"/>
        <v>-5070.9838937383365</v>
      </c>
    </row>
    <row r="1182" spans="1:11" x14ac:dyDescent="0.25">
      <c r="A1182" s="26">
        <v>1132</v>
      </c>
      <c r="B1182" s="82">
        <f t="shared" si="142"/>
        <v>0</v>
      </c>
      <c r="C1182" s="58">
        <f t="shared" si="146"/>
        <v>171.9194128119324</v>
      </c>
      <c r="D1182" s="83">
        <f t="shared" si="143"/>
        <v>733.33333333333326</v>
      </c>
      <c r="E1182">
        <f t="shared" si="139"/>
        <v>0</v>
      </c>
      <c r="G1182">
        <v>1132</v>
      </c>
      <c r="H1182" s="13">
        <f t="shared" si="144"/>
        <v>-1.0275684203264746E-2</v>
      </c>
      <c r="I1182">
        <f t="shared" si="145"/>
        <v>160.28733829383671</v>
      </c>
      <c r="J1182">
        <f t="shared" si="140"/>
        <v>702.47168366569406</v>
      </c>
      <c r="K1182" s="27">
        <f t="shared" si="141"/>
        <v>-5070.4269918747723</v>
      </c>
    </row>
    <row r="1183" spans="1:11" x14ac:dyDescent="0.25">
      <c r="A1183" s="26">
        <v>1133</v>
      </c>
      <c r="B1183" s="82">
        <f t="shared" si="142"/>
        <v>0</v>
      </c>
      <c r="C1183" s="58">
        <f t="shared" si="146"/>
        <v>171.9194128119324</v>
      </c>
      <c r="D1183" s="83">
        <f t="shared" si="143"/>
        <v>733.33333333333326</v>
      </c>
      <c r="E1183">
        <f t="shared" si="139"/>
        <v>0</v>
      </c>
      <c r="G1183">
        <v>1133</v>
      </c>
      <c r="H1183" s="13">
        <f t="shared" si="144"/>
        <v>-1.0275684203264746E-2</v>
      </c>
      <c r="I1183">
        <f t="shared" si="145"/>
        <v>160.27706260963345</v>
      </c>
      <c r="J1183">
        <f t="shared" si="140"/>
        <v>702.43308962227661</v>
      </c>
      <c r="K1183" s="27">
        <f t="shared" si="141"/>
        <v>-5069.869578195051</v>
      </c>
    </row>
    <row r="1184" spans="1:11" x14ac:dyDescent="0.25">
      <c r="A1184" s="26">
        <v>1134</v>
      </c>
      <c r="B1184" s="82">
        <f t="shared" si="142"/>
        <v>0</v>
      </c>
      <c r="C1184" s="58">
        <f t="shared" si="146"/>
        <v>171.9194128119324</v>
      </c>
      <c r="D1184" s="83">
        <f t="shared" si="143"/>
        <v>733.33333333333326</v>
      </c>
      <c r="E1184">
        <f t="shared" si="139"/>
        <v>0</v>
      </c>
      <c r="G1184">
        <v>1134</v>
      </c>
      <c r="H1184" s="13">
        <f t="shared" si="144"/>
        <v>-1.0275684203264746E-2</v>
      </c>
      <c r="I1184">
        <f t="shared" si="145"/>
        <v>160.26678692543018</v>
      </c>
      <c r="J1184">
        <f t="shared" si="140"/>
        <v>702.39445795391384</v>
      </c>
      <c r="K1184" s="27">
        <f t="shared" si="141"/>
        <v>-5069.3116513059795</v>
      </c>
    </row>
    <row r="1185" spans="1:11" x14ac:dyDescent="0.25">
      <c r="A1185" s="26">
        <v>1135</v>
      </c>
      <c r="B1185" s="82">
        <f t="shared" si="142"/>
        <v>0</v>
      </c>
      <c r="C1185" s="58">
        <f t="shared" si="146"/>
        <v>171.9194128119324</v>
      </c>
      <c r="D1185" s="83">
        <f t="shared" si="143"/>
        <v>733.33333333333326</v>
      </c>
      <c r="E1185">
        <f t="shared" si="139"/>
        <v>0</v>
      </c>
      <c r="G1185">
        <v>1135</v>
      </c>
      <c r="H1185" s="13">
        <f t="shared" si="144"/>
        <v>-1.0275684203264746E-2</v>
      </c>
      <c r="I1185">
        <f t="shared" si="145"/>
        <v>160.25651124122692</v>
      </c>
      <c r="J1185">
        <f t="shared" si="140"/>
        <v>702.35578855765527</v>
      </c>
      <c r="K1185" s="27">
        <f t="shared" si="141"/>
        <v>-5068.7532098079137</v>
      </c>
    </row>
    <row r="1186" spans="1:11" x14ac:dyDescent="0.25">
      <c r="A1186" s="26">
        <v>1136</v>
      </c>
      <c r="B1186" s="82">
        <f t="shared" si="142"/>
        <v>0</v>
      </c>
      <c r="C1186" s="58">
        <f t="shared" si="146"/>
        <v>171.9194128119324</v>
      </c>
      <c r="D1186" s="83">
        <f t="shared" si="143"/>
        <v>733.33333333333326</v>
      </c>
      <c r="E1186">
        <f t="shared" si="139"/>
        <v>0</v>
      </c>
      <c r="G1186">
        <v>1136</v>
      </c>
      <c r="H1186" s="13">
        <f t="shared" si="144"/>
        <v>-1.0275684203264746E-2</v>
      </c>
      <c r="I1186">
        <f t="shared" si="145"/>
        <v>160.24623555702365</v>
      </c>
      <c r="J1186">
        <f t="shared" si="140"/>
        <v>702.31708133007362</v>
      </c>
      <c r="K1186" s="27">
        <f t="shared" si="141"/>
        <v>-5068.1942522947174</v>
      </c>
    </row>
    <row r="1187" spans="1:11" x14ac:dyDescent="0.25">
      <c r="A1187" s="26">
        <v>1137</v>
      </c>
      <c r="B1187" s="82">
        <f t="shared" si="142"/>
        <v>0</v>
      </c>
      <c r="C1187" s="58">
        <f t="shared" si="146"/>
        <v>171.9194128119324</v>
      </c>
      <c r="D1187" s="83">
        <f t="shared" si="143"/>
        <v>733.33333333333326</v>
      </c>
      <c r="E1187">
        <f t="shared" si="139"/>
        <v>0</v>
      </c>
      <c r="G1187">
        <v>1137</v>
      </c>
      <c r="H1187" s="13">
        <f t="shared" si="144"/>
        <v>-1.0275684203264746E-2</v>
      </c>
      <c r="I1187">
        <f t="shared" si="145"/>
        <v>160.23595987282039</v>
      </c>
      <c r="J1187">
        <f t="shared" si="140"/>
        <v>702.27833616726127</v>
      </c>
      <c r="K1187" s="27">
        <f t="shared" si="141"/>
        <v>-5067.6347773537227</v>
      </c>
    </row>
    <row r="1188" spans="1:11" x14ac:dyDescent="0.25">
      <c r="A1188" s="26">
        <v>1138</v>
      </c>
      <c r="B1188" s="82">
        <f t="shared" si="142"/>
        <v>0</v>
      </c>
      <c r="C1188" s="58">
        <f t="shared" si="146"/>
        <v>171.9194128119324</v>
      </c>
      <c r="D1188" s="83">
        <f t="shared" si="143"/>
        <v>733.33333333333326</v>
      </c>
      <c r="E1188">
        <f t="shared" si="139"/>
        <v>0</v>
      </c>
      <c r="G1188">
        <v>1138</v>
      </c>
      <c r="H1188" s="13">
        <f t="shared" si="144"/>
        <v>-1.0275684203264746E-2</v>
      </c>
      <c r="I1188">
        <f t="shared" si="145"/>
        <v>160.22568418861712</v>
      </c>
      <c r="J1188">
        <f t="shared" si="140"/>
        <v>702.23955296482745</v>
      </c>
      <c r="K1188" s="27">
        <f t="shared" si="141"/>
        <v>-5067.074783565683</v>
      </c>
    </row>
    <row r="1189" spans="1:11" x14ac:dyDescent="0.25">
      <c r="A1189" s="26">
        <v>1139</v>
      </c>
      <c r="B1189" s="82">
        <f t="shared" si="142"/>
        <v>0</v>
      </c>
      <c r="C1189" s="58">
        <f t="shared" si="146"/>
        <v>171.9194128119324</v>
      </c>
      <c r="D1189" s="83">
        <f t="shared" si="143"/>
        <v>733.33333333333326</v>
      </c>
      <c r="E1189">
        <f t="shared" si="139"/>
        <v>0</v>
      </c>
      <c r="G1189">
        <v>1139</v>
      </c>
      <c r="H1189" s="13">
        <f t="shared" si="144"/>
        <v>-1.0275684203264746E-2</v>
      </c>
      <c r="I1189">
        <f t="shared" si="145"/>
        <v>160.21540850441386</v>
      </c>
      <c r="J1189">
        <f t="shared" si="140"/>
        <v>702.20073161789514</v>
      </c>
      <c r="K1189" s="27">
        <f t="shared" si="141"/>
        <v>-5066.5142695047343</v>
      </c>
    </row>
    <row r="1190" spans="1:11" x14ac:dyDescent="0.25">
      <c r="A1190" s="26">
        <v>1140</v>
      </c>
      <c r="B1190" s="82">
        <f t="shared" si="142"/>
        <v>0</v>
      </c>
      <c r="C1190" s="58">
        <f t="shared" si="146"/>
        <v>171.9194128119324</v>
      </c>
      <c r="D1190" s="83">
        <f t="shared" si="143"/>
        <v>733.33333333333326</v>
      </c>
      <c r="E1190">
        <f t="shared" si="139"/>
        <v>0</v>
      </c>
      <c r="G1190">
        <v>1140</v>
      </c>
      <c r="H1190" s="13">
        <f t="shared" si="144"/>
        <v>-1.0275684203264746E-2</v>
      </c>
      <c r="I1190">
        <f t="shared" si="145"/>
        <v>160.20513282021059</v>
      </c>
      <c r="J1190">
        <f t="shared" si="140"/>
        <v>702.16187202109734</v>
      </c>
      <c r="K1190" s="27">
        <f t="shared" si="141"/>
        <v>-5065.9532337383489</v>
      </c>
    </row>
    <row r="1191" spans="1:11" x14ac:dyDescent="0.25">
      <c r="A1191" s="26">
        <v>1141</v>
      </c>
      <c r="B1191" s="82">
        <f t="shared" si="142"/>
        <v>0</v>
      </c>
      <c r="C1191" s="58">
        <f t="shared" si="146"/>
        <v>171.9194128119324</v>
      </c>
      <c r="D1191" s="83">
        <f t="shared" si="143"/>
        <v>733.33333333333326</v>
      </c>
      <c r="E1191">
        <f t="shared" si="139"/>
        <v>0</v>
      </c>
      <c r="G1191">
        <v>1141</v>
      </c>
      <c r="H1191" s="13">
        <f t="shared" si="144"/>
        <v>-1.0275684203264746E-2</v>
      </c>
      <c r="I1191">
        <f t="shared" si="145"/>
        <v>160.19485713600733</v>
      </c>
      <c r="J1191">
        <f t="shared" si="140"/>
        <v>702.12297406857442</v>
      </c>
      <c r="K1191" s="27">
        <f t="shared" si="141"/>
        <v>-5065.3916748272923</v>
      </c>
    </row>
    <row r="1192" spans="1:11" x14ac:dyDescent="0.25">
      <c r="A1192" s="26">
        <v>1142</v>
      </c>
      <c r="B1192" s="82">
        <f t="shared" si="142"/>
        <v>0</v>
      </c>
      <c r="C1192" s="58">
        <f t="shared" si="146"/>
        <v>171.9194128119324</v>
      </c>
      <c r="D1192" s="83">
        <f t="shared" si="143"/>
        <v>733.33333333333326</v>
      </c>
      <c r="E1192">
        <f t="shared" si="139"/>
        <v>0</v>
      </c>
      <c r="G1192">
        <v>1142</v>
      </c>
      <c r="H1192" s="13">
        <f t="shared" si="144"/>
        <v>-1.0275684203264746E-2</v>
      </c>
      <c r="I1192">
        <f t="shared" si="145"/>
        <v>160.18458145180406</v>
      </c>
      <c r="J1192">
        <f t="shared" si="140"/>
        <v>702.08403765397065</v>
      </c>
      <c r="K1192" s="27">
        <f t="shared" si="141"/>
        <v>-5064.8295913255779</v>
      </c>
    </row>
    <row r="1193" spans="1:11" x14ac:dyDescent="0.25">
      <c r="A1193" s="26">
        <v>1143</v>
      </c>
      <c r="B1193" s="82">
        <f t="shared" si="142"/>
        <v>0</v>
      </c>
      <c r="C1193" s="58">
        <f t="shared" si="146"/>
        <v>171.9194128119324</v>
      </c>
      <c r="D1193" s="83">
        <f t="shared" si="143"/>
        <v>733.33333333333326</v>
      </c>
      <c r="E1193">
        <f t="shared" si="139"/>
        <v>0</v>
      </c>
      <c r="G1193">
        <v>1143</v>
      </c>
      <c r="H1193" s="13">
        <f t="shared" si="144"/>
        <v>-1.0275684203264746E-2</v>
      </c>
      <c r="I1193">
        <f t="shared" si="145"/>
        <v>160.1743057676008</v>
      </c>
      <c r="J1193">
        <f t="shared" si="140"/>
        <v>702.04506267043109</v>
      </c>
      <c r="K1193" s="27">
        <f t="shared" si="141"/>
        <v>-5064.2669817804281</v>
      </c>
    </row>
    <row r="1194" spans="1:11" x14ac:dyDescent="0.25">
      <c r="A1194" s="26">
        <v>1144</v>
      </c>
      <c r="B1194" s="82">
        <f t="shared" si="142"/>
        <v>0</v>
      </c>
      <c r="C1194" s="58">
        <f t="shared" si="146"/>
        <v>171.9194128119324</v>
      </c>
      <c r="D1194" s="83">
        <f t="shared" si="143"/>
        <v>733.33333333333326</v>
      </c>
      <c r="E1194">
        <f t="shared" si="139"/>
        <v>0</v>
      </c>
      <c r="G1194">
        <v>1144</v>
      </c>
      <c r="H1194" s="13">
        <f t="shared" si="144"/>
        <v>-1.0275684203264746E-2</v>
      </c>
      <c r="I1194">
        <f t="shared" si="145"/>
        <v>160.16403008339753</v>
      </c>
      <c r="J1194">
        <f t="shared" si="140"/>
        <v>702.00604901059808</v>
      </c>
      <c r="K1194" s="27">
        <f t="shared" si="141"/>
        <v>-5063.7038447322238</v>
      </c>
    </row>
    <row r="1195" spans="1:11" x14ac:dyDescent="0.25">
      <c r="A1195" s="26">
        <v>1145</v>
      </c>
      <c r="B1195" s="82">
        <f t="shared" si="142"/>
        <v>0</v>
      </c>
      <c r="C1195" s="58">
        <f t="shared" si="146"/>
        <v>171.9194128119324</v>
      </c>
      <c r="D1195" s="83">
        <f t="shared" si="143"/>
        <v>733.33333333333326</v>
      </c>
      <c r="E1195">
        <f t="shared" si="139"/>
        <v>0</v>
      </c>
      <c r="G1195">
        <v>1145</v>
      </c>
      <c r="H1195" s="13">
        <f t="shared" si="144"/>
        <v>-1.0275684203264746E-2</v>
      </c>
      <c r="I1195">
        <f t="shared" si="145"/>
        <v>160.15375439919427</v>
      </c>
      <c r="J1195">
        <f t="shared" si="140"/>
        <v>701.96699656660803</v>
      </c>
      <c r="K1195" s="27">
        <f t="shared" si="141"/>
        <v>-5063.1401787144541</v>
      </c>
    </row>
    <row r="1196" spans="1:11" x14ac:dyDescent="0.25">
      <c r="A1196" s="26">
        <v>1146</v>
      </c>
      <c r="B1196" s="82">
        <f t="shared" si="142"/>
        <v>0</v>
      </c>
      <c r="C1196" s="58">
        <f t="shared" si="146"/>
        <v>171.9194128119324</v>
      </c>
      <c r="D1196" s="83">
        <f t="shared" si="143"/>
        <v>733.33333333333326</v>
      </c>
      <c r="E1196">
        <f t="shared" si="139"/>
        <v>0</v>
      </c>
      <c r="G1196">
        <v>1146</v>
      </c>
      <c r="H1196" s="13">
        <f t="shared" si="144"/>
        <v>-1.0275684203264746E-2</v>
      </c>
      <c r="I1196">
        <f t="shared" si="145"/>
        <v>160.14347871499101</v>
      </c>
      <c r="J1196">
        <f t="shared" si="140"/>
        <v>701.92790523008784</v>
      </c>
      <c r="K1196" s="27">
        <f t="shared" si="141"/>
        <v>-5062.5759822536866</v>
      </c>
    </row>
    <row r="1197" spans="1:11" x14ac:dyDescent="0.25">
      <c r="A1197" s="26">
        <v>1147</v>
      </c>
      <c r="B1197" s="82">
        <f t="shared" si="142"/>
        <v>0</v>
      </c>
      <c r="C1197" s="58">
        <f t="shared" si="146"/>
        <v>171.9194128119324</v>
      </c>
      <c r="D1197" s="83">
        <f t="shared" si="143"/>
        <v>733.33333333333326</v>
      </c>
      <c r="E1197">
        <f t="shared" si="139"/>
        <v>0</v>
      </c>
      <c r="G1197">
        <v>1147</v>
      </c>
      <c r="H1197" s="13">
        <f t="shared" si="144"/>
        <v>-1.0275684203264746E-2</v>
      </c>
      <c r="I1197">
        <f t="shared" si="145"/>
        <v>160.13320303078774</v>
      </c>
      <c r="J1197">
        <f t="shared" si="140"/>
        <v>701.88877489215224</v>
      </c>
      <c r="K1197" s="27">
        <f t="shared" si="141"/>
        <v>-5062.0112538695066</v>
      </c>
    </row>
    <row r="1198" spans="1:11" x14ac:dyDescent="0.25">
      <c r="A1198" s="26">
        <v>1148</v>
      </c>
      <c r="B1198" s="82">
        <f t="shared" si="142"/>
        <v>0</v>
      </c>
      <c r="C1198" s="58">
        <f t="shared" si="146"/>
        <v>171.9194128119324</v>
      </c>
      <c r="D1198" s="83">
        <f t="shared" si="143"/>
        <v>733.33333333333326</v>
      </c>
      <c r="E1198">
        <f t="shared" si="139"/>
        <v>0</v>
      </c>
      <c r="G1198">
        <v>1148</v>
      </c>
      <c r="H1198" s="13">
        <f t="shared" si="144"/>
        <v>-1.0275684203264746E-2</v>
      </c>
      <c r="I1198">
        <f t="shared" si="145"/>
        <v>160.12292734658448</v>
      </c>
      <c r="J1198">
        <f t="shared" si="140"/>
        <v>701.84960544339935</v>
      </c>
      <c r="K1198" s="27">
        <f t="shared" si="141"/>
        <v>-5061.4459920744775</v>
      </c>
    </row>
    <row r="1199" spans="1:11" x14ac:dyDescent="0.25">
      <c r="A1199" s="26">
        <v>1149</v>
      </c>
      <c r="B1199" s="82">
        <f t="shared" si="142"/>
        <v>0</v>
      </c>
      <c r="C1199" s="58">
        <f t="shared" si="146"/>
        <v>171.9194128119324</v>
      </c>
      <c r="D1199" s="83">
        <f t="shared" si="143"/>
        <v>733.33333333333326</v>
      </c>
      <c r="E1199">
        <f t="shared" si="139"/>
        <v>0</v>
      </c>
      <c r="G1199">
        <v>1149</v>
      </c>
      <c r="H1199" s="13">
        <f t="shared" si="144"/>
        <v>-1.0275684203264746E-2</v>
      </c>
      <c r="I1199">
        <f t="shared" si="145"/>
        <v>160.11265166238121</v>
      </c>
      <c r="J1199">
        <f t="shared" si="140"/>
        <v>701.81039677390822</v>
      </c>
      <c r="K1199" s="27">
        <f t="shared" si="141"/>
        <v>-5060.8801953740922</v>
      </c>
    </row>
    <row r="1200" spans="1:11" x14ac:dyDescent="0.25">
      <c r="A1200" s="26">
        <v>1150</v>
      </c>
      <c r="B1200" s="82">
        <f t="shared" si="142"/>
        <v>0</v>
      </c>
      <c r="C1200" s="58">
        <f t="shared" si="146"/>
        <v>171.9194128119324</v>
      </c>
      <c r="D1200" s="83">
        <f t="shared" si="143"/>
        <v>733.33333333333326</v>
      </c>
      <c r="E1200">
        <f t="shared" si="139"/>
        <v>0</v>
      </c>
      <c r="G1200">
        <v>1150</v>
      </c>
      <c r="H1200" s="13">
        <f t="shared" si="144"/>
        <v>-1.0275684203264746E-2</v>
      </c>
      <c r="I1200">
        <f t="shared" si="145"/>
        <v>160.10237597817795</v>
      </c>
      <c r="J1200">
        <f t="shared" si="140"/>
        <v>701.77114877323447</v>
      </c>
      <c r="K1200" s="27">
        <f t="shared" si="141"/>
        <v>-5060.3138622667275</v>
      </c>
    </row>
    <row r="1201" spans="1:11" x14ac:dyDescent="0.25">
      <c r="A1201" s="26">
        <v>1151</v>
      </c>
      <c r="B1201" s="82">
        <f t="shared" si="142"/>
        <v>0</v>
      </c>
      <c r="C1201" s="58">
        <f t="shared" si="146"/>
        <v>171.9194128119324</v>
      </c>
      <c r="D1201" s="83">
        <f t="shared" si="143"/>
        <v>733.33333333333326</v>
      </c>
      <c r="E1201">
        <f t="shared" si="139"/>
        <v>0</v>
      </c>
      <c r="G1201">
        <v>1151</v>
      </c>
      <c r="H1201" s="13">
        <f t="shared" si="144"/>
        <v>-1.0275684203264746E-2</v>
      </c>
      <c r="I1201">
        <f t="shared" si="145"/>
        <v>160.09210029397468</v>
      </c>
      <c r="J1201">
        <f t="shared" si="140"/>
        <v>701.7318613304077</v>
      </c>
      <c r="K1201" s="27">
        <f t="shared" si="141"/>
        <v>-5059.7469912435936</v>
      </c>
    </row>
    <row r="1202" spans="1:11" x14ac:dyDescent="0.25">
      <c r="A1202" s="26">
        <v>1152</v>
      </c>
      <c r="B1202" s="82">
        <f t="shared" si="142"/>
        <v>0</v>
      </c>
      <c r="C1202" s="58">
        <f t="shared" si="146"/>
        <v>171.9194128119324</v>
      </c>
      <c r="D1202" s="83">
        <f t="shared" si="143"/>
        <v>733.33333333333326</v>
      </c>
      <c r="E1202">
        <f t="shared" si="139"/>
        <v>0</v>
      </c>
      <c r="G1202">
        <v>1152</v>
      </c>
      <c r="H1202" s="13">
        <f t="shared" si="144"/>
        <v>-1.0275684203264746E-2</v>
      </c>
      <c r="I1202">
        <f t="shared" si="145"/>
        <v>160.08182460977142</v>
      </c>
      <c r="J1202">
        <f t="shared" si="140"/>
        <v>701.69253433392714</v>
      </c>
      <c r="K1202" s="27">
        <f t="shared" si="141"/>
        <v>-5059.1795807886865</v>
      </c>
    </row>
    <row r="1203" spans="1:11" x14ac:dyDescent="0.25">
      <c r="A1203" s="26">
        <v>1153</v>
      </c>
      <c r="B1203" s="82">
        <f t="shared" si="142"/>
        <v>0</v>
      </c>
      <c r="C1203" s="58">
        <f t="shared" si="146"/>
        <v>171.9194128119324</v>
      </c>
      <c r="D1203" s="83">
        <f t="shared" si="143"/>
        <v>733.33333333333326</v>
      </c>
      <c r="E1203">
        <f t="shared" ref="E1203:E1266" si="147">((D1203^2)+(D1203*D1204)+(D1204^2))*B1204/3</f>
        <v>0</v>
      </c>
      <c r="G1203">
        <v>1153</v>
      </c>
      <c r="H1203" s="13">
        <f t="shared" si="144"/>
        <v>-1.0275684203264746E-2</v>
      </c>
      <c r="I1203">
        <f t="shared" si="145"/>
        <v>160.07154892556815</v>
      </c>
      <c r="J1203">
        <f t="shared" ref="J1203:J1266" si="148">IF($G$28&lt;$C$14,0,((($C$11^2)-((I1203-$C$13)^2))^0.5)+$C$16)</f>
        <v>701.65316767175864</v>
      </c>
      <c r="K1203" s="27">
        <f t="shared" ref="K1203:K1266" si="149">((J1203^2)+(J1203*J1204)+(J1204^2))*H1204/3</f>
        <v>-5058.6116293787427</v>
      </c>
    </row>
    <row r="1204" spans="1:11" x14ac:dyDescent="0.25">
      <c r="A1204" s="26">
        <v>1154</v>
      </c>
      <c r="B1204" s="82">
        <f t="shared" ref="B1204:B1267" si="150">C1204-C1203</f>
        <v>0</v>
      </c>
      <c r="C1204" s="58">
        <f t="shared" si="146"/>
        <v>171.9194128119324</v>
      </c>
      <c r="D1204" s="83">
        <f t="shared" ref="D1204:D1267" si="151">IF($G$28&lt;$C$14,0,((($C$11^2)-((C1204-$C$13)^2))^0.5)+$C$16)</f>
        <v>733.33333333333326</v>
      </c>
      <c r="E1204">
        <f t="shared" si="147"/>
        <v>0</v>
      </c>
      <c r="G1204">
        <v>1154</v>
      </c>
      <c r="H1204" s="13">
        <f t="shared" ref="H1204:H1267" si="152">I1204-I1203</f>
        <v>-1.0275684203264746E-2</v>
      </c>
      <c r="I1204">
        <f t="shared" ref="I1204:I1267" si="153">($G$27-$C$14)/2000+I1203</f>
        <v>160.06127324136489</v>
      </c>
      <c r="J1204">
        <f t="shared" si="148"/>
        <v>701.61376123133073</v>
      </c>
      <c r="K1204" s="27">
        <f t="shared" si="149"/>
        <v>-5058.043135483189</v>
      </c>
    </row>
    <row r="1205" spans="1:11" x14ac:dyDescent="0.25">
      <c r="A1205" s="26">
        <v>1155</v>
      </c>
      <c r="B1205" s="82">
        <f t="shared" si="150"/>
        <v>0</v>
      </c>
      <c r="C1205" s="58">
        <f t="shared" si="146"/>
        <v>171.9194128119324</v>
      </c>
      <c r="D1205" s="83">
        <f t="shared" si="151"/>
        <v>733.33333333333326</v>
      </c>
      <c r="E1205">
        <f t="shared" si="147"/>
        <v>0</v>
      </c>
      <c r="G1205">
        <v>1155</v>
      </c>
      <c r="H1205" s="13">
        <f t="shared" si="152"/>
        <v>-1.0275684203264746E-2</v>
      </c>
      <c r="I1205">
        <f t="shared" si="153"/>
        <v>160.05099755716162</v>
      </c>
      <c r="J1205">
        <f t="shared" si="148"/>
        <v>701.57431489953149</v>
      </c>
      <c r="K1205" s="27">
        <f t="shared" si="149"/>
        <v>-5057.4740975640889</v>
      </c>
    </row>
    <row r="1206" spans="1:11" x14ac:dyDescent="0.25">
      <c r="A1206" s="26">
        <v>1156</v>
      </c>
      <c r="B1206" s="82">
        <f t="shared" si="150"/>
        <v>0</v>
      </c>
      <c r="C1206" s="58">
        <f t="shared" si="146"/>
        <v>171.9194128119324</v>
      </c>
      <c r="D1206" s="83">
        <f t="shared" si="151"/>
        <v>733.33333333333326</v>
      </c>
      <c r="E1206">
        <f t="shared" si="147"/>
        <v>0</v>
      </c>
      <c r="G1206">
        <v>1156</v>
      </c>
      <c r="H1206" s="13">
        <f t="shared" si="152"/>
        <v>-1.0275684203264746E-2</v>
      </c>
      <c r="I1206">
        <f t="shared" si="153"/>
        <v>160.04072187295836</v>
      </c>
      <c r="J1206">
        <f t="shared" si="148"/>
        <v>701.53482856270421</v>
      </c>
      <c r="K1206" s="27">
        <f t="shared" si="149"/>
        <v>-5056.9045140761018</v>
      </c>
    </row>
    <row r="1207" spans="1:11" x14ac:dyDescent="0.25">
      <c r="A1207" s="26">
        <v>1157</v>
      </c>
      <c r="B1207" s="82">
        <f t="shared" si="150"/>
        <v>0</v>
      </c>
      <c r="C1207" s="58">
        <f t="shared" si="146"/>
        <v>171.9194128119324</v>
      </c>
      <c r="D1207" s="83">
        <f t="shared" si="151"/>
        <v>733.33333333333326</v>
      </c>
      <c r="E1207">
        <f t="shared" si="147"/>
        <v>0</v>
      </c>
      <c r="G1207">
        <v>1157</v>
      </c>
      <c r="H1207" s="13">
        <f t="shared" si="152"/>
        <v>-1.0275684203264746E-2</v>
      </c>
      <c r="I1207">
        <f t="shared" si="153"/>
        <v>160.03044618875509</v>
      </c>
      <c r="J1207">
        <f t="shared" si="148"/>
        <v>701.49530210664443</v>
      </c>
      <c r="K1207" s="27">
        <f t="shared" si="149"/>
        <v>-5056.3343834664229</v>
      </c>
    </row>
    <row r="1208" spans="1:11" x14ac:dyDescent="0.25">
      <c r="A1208" s="26">
        <v>1158</v>
      </c>
      <c r="B1208" s="82">
        <f t="shared" si="150"/>
        <v>0</v>
      </c>
      <c r="C1208" s="58">
        <f t="shared" si="146"/>
        <v>171.9194128119324</v>
      </c>
      <c r="D1208" s="83">
        <f t="shared" si="151"/>
        <v>733.33333333333326</v>
      </c>
      <c r="E1208">
        <f t="shared" si="147"/>
        <v>0</v>
      </c>
      <c r="G1208">
        <v>1158</v>
      </c>
      <c r="H1208" s="13">
        <f t="shared" si="152"/>
        <v>-1.0275684203264746E-2</v>
      </c>
      <c r="I1208">
        <f t="shared" si="153"/>
        <v>160.02017050455183</v>
      </c>
      <c r="J1208">
        <f t="shared" si="148"/>
        <v>701.45573541659553</v>
      </c>
      <c r="K1208" s="27">
        <f t="shared" si="149"/>
        <v>-5055.7637041747375</v>
      </c>
    </row>
    <row r="1209" spans="1:11" x14ac:dyDescent="0.25">
      <c r="A1209" s="26">
        <v>1159</v>
      </c>
      <c r="B1209" s="82">
        <f t="shared" si="150"/>
        <v>0</v>
      </c>
      <c r="C1209" s="58">
        <f t="shared" si="146"/>
        <v>171.9194128119324</v>
      </c>
      <c r="D1209" s="83">
        <f t="shared" si="151"/>
        <v>733.33333333333326</v>
      </c>
      <c r="E1209">
        <f t="shared" si="147"/>
        <v>0</v>
      </c>
      <c r="G1209">
        <v>1159</v>
      </c>
      <c r="H1209" s="13">
        <f t="shared" si="152"/>
        <v>-1.0275684203264746E-2</v>
      </c>
      <c r="I1209">
        <f t="shared" si="153"/>
        <v>160.00989482034856</v>
      </c>
      <c r="J1209">
        <f t="shared" si="148"/>
        <v>701.41612837724551</v>
      </c>
      <c r="K1209" s="27">
        <f t="shared" si="149"/>
        <v>-5055.1924746331742</v>
      </c>
    </row>
    <row r="1210" spans="1:11" x14ac:dyDescent="0.25">
      <c r="A1210" s="26">
        <v>1160</v>
      </c>
      <c r="B1210" s="82">
        <f t="shared" si="150"/>
        <v>0</v>
      </c>
      <c r="C1210" s="58">
        <f t="shared" si="146"/>
        <v>171.9194128119324</v>
      </c>
      <c r="D1210" s="83">
        <f t="shared" si="151"/>
        <v>733.33333333333326</v>
      </c>
      <c r="E1210">
        <f t="shared" si="147"/>
        <v>0</v>
      </c>
      <c r="G1210">
        <v>1160</v>
      </c>
      <c r="H1210" s="13">
        <f t="shared" si="152"/>
        <v>-1.0275684203264746E-2</v>
      </c>
      <c r="I1210">
        <f t="shared" si="153"/>
        <v>159.9996191361453</v>
      </c>
      <c r="J1210">
        <f t="shared" si="148"/>
        <v>701.37648087272316</v>
      </c>
      <c r="K1210" s="27">
        <f t="shared" si="149"/>
        <v>-5054.6206932662426</v>
      </c>
    </row>
    <row r="1211" spans="1:11" x14ac:dyDescent="0.25">
      <c r="A1211" s="26">
        <v>1161</v>
      </c>
      <c r="B1211" s="82">
        <f t="shared" si="150"/>
        <v>0</v>
      </c>
      <c r="C1211" s="58">
        <f t="shared" si="146"/>
        <v>171.9194128119324</v>
      </c>
      <c r="D1211" s="83">
        <f t="shared" si="151"/>
        <v>733.33333333333326</v>
      </c>
      <c r="E1211">
        <f t="shared" si="147"/>
        <v>0</v>
      </c>
      <c r="G1211">
        <v>1161</v>
      </c>
      <c r="H1211" s="13">
        <f t="shared" si="152"/>
        <v>-1.0275684203264746E-2</v>
      </c>
      <c r="I1211">
        <f t="shared" si="153"/>
        <v>159.98934345194203</v>
      </c>
      <c r="J1211">
        <f t="shared" si="148"/>
        <v>701.33679278659383</v>
      </c>
      <c r="K1211" s="27">
        <f t="shared" si="149"/>
        <v>-5054.0483584907925</v>
      </c>
    </row>
    <row r="1212" spans="1:11" x14ac:dyDescent="0.25">
      <c r="A1212" s="26">
        <v>1162</v>
      </c>
      <c r="B1212" s="82">
        <f t="shared" si="150"/>
        <v>0</v>
      </c>
      <c r="C1212" s="58">
        <f t="shared" si="146"/>
        <v>171.9194128119324</v>
      </c>
      <c r="D1212" s="83">
        <f t="shared" si="151"/>
        <v>733.33333333333326</v>
      </c>
      <c r="E1212">
        <f t="shared" si="147"/>
        <v>0</v>
      </c>
      <c r="G1212">
        <v>1162</v>
      </c>
      <c r="H1212" s="13">
        <f t="shared" si="152"/>
        <v>-1.0275684203264746E-2</v>
      </c>
      <c r="I1212">
        <f t="shared" si="153"/>
        <v>159.97906776773877</v>
      </c>
      <c r="J1212">
        <f t="shared" si="148"/>
        <v>701.29706400185603</v>
      </c>
      <c r="K1212" s="27">
        <f t="shared" si="149"/>
        <v>-5053.4754687159548</v>
      </c>
    </row>
    <row r="1213" spans="1:11" x14ac:dyDescent="0.25">
      <c r="A1213" s="26">
        <v>1163</v>
      </c>
      <c r="B1213" s="82">
        <f t="shared" si="150"/>
        <v>0</v>
      </c>
      <c r="C1213" s="58">
        <f t="shared" si="146"/>
        <v>171.9194128119324</v>
      </c>
      <c r="D1213" s="83">
        <f t="shared" si="151"/>
        <v>733.33333333333326</v>
      </c>
      <c r="E1213">
        <f t="shared" si="147"/>
        <v>0</v>
      </c>
      <c r="G1213">
        <v>1163</v>
      </c>
      <c r="H1213" s="13">
        <f t="shared" si="152"/>
        <v>-1.0275684203264746E-2</v>
      </c>
      <c r="I1213">
        <f t="shared" si="153"/>
        <v>159.9687920835355</v>
      </c>
      <c r="J1213">
        <f t="shared" si="148"/>
        <v>701.25729440093733</v>
      </c>
      <c r="K1213" s="27">
        <f t="shared" si="149"/>
        <v>-5052.9020223430907</v>
      </c>
    </row>
    <row r="1214" spans="1:11" x14ac:dyDescent="0.25">
      <c r="A1214" s="26">
        <v>1164</v>
      </c>
      <c r="B1214" s="82">
        <f t="shared" si="150"/>
        <v>0</v>
      </c>
      <c r="C1214" s="58">
        <f t="shared" si="146"/>
        <v>171.9194128119324</v>
      </c>
      <c r="D1214" s="83">
        <f t="shared" si="151"/>
        <v>733.33333333333326</v>
      </c>
      <c r="E1214">
        <f t="shared" si="147"/>
        <v>0</v>
      </c>
      <c r="G1214">
        <v>1164</v>
      </c>
      <c r="H1214" s="13">
        <f t="shared" si="152"/>
        <v>-1.0275684203264746E-2</v>
      </c>
      <c r="I1214">
        <f t="shared" si="153"/>
        <v>159.95851639933224</v>
      </c>
      <c r="J1214">
        <f t="shared" si="148"/>
        <v>701.21748386569072</v>
      </c>
      <c r="K1214" s="27">
        <f t="shared" si="149"/>
        <v>-5052.3280177657371</v>
      </c>
    </row>
    <row r="1215" spans="1:11" x14ac:dyDescent="0.25">
      <c r="A1215" s="26">
        <v>1165</v>
      </c>
      <c r="B1215" s="82">
        <f t="shared" si="150"/>
        <v>0</v>
      </c>
      <c r="C1215" s="58">
        <f t="shared" si="146"/>
        <v>171.9194128119324</v>
      </c>
      <c r="D1215" s="83">
        <f t="shared" si="151"/>
        <v>733.33333333333326</v>
      </c>
      <c r="E1215">
        <f t="shared" si="147"/>
        <v>0</v>
      </c>
      <c r="G1215">
        <v>1165</v>
      </c>
      <c r="H1215" s="13">
        <f t="shared" si="152"/>
        <v>-1.0275684203264746E-2</v>
      </c>
      <c r="I1215">
        <f t="shared" si="153"/>
        <v>159.94824071512897</v>
      </c>
      <c r="J1215">
        <f t="shared" si="148"/>
        <v>701.17763227738999</v>
      </c>
      <c r="K1215" s="27">
        <f t="shared" si="149"/>
        <v>-5051.7534533695552</v>
      </c>
    </row>
    <row r="1216" spans="1:11" x14ac:dyDescent="0.25">
      <c r="A1216" s="26">
        <v>1166</v>
      </c>
      <c r="B1216" s="82">
        <f t="shared" si="150"/>
        <v>0</v>
      </c>
      <c r="C1216" s="58">
        <f t="shared" si="146"/>
        <v>171.9194128119324</v>
      </c>
      <c r="D1216" s="83">
        <f t="shared" si="151"/>
        <v>733.33333333333326</v>
      </c>
      <c r="E1216">
        <f t="shared" si="147"/>
        <v>0</v>
      </c>
      <c r="G1216">
        <v>1166</v>
      </c>
      <c r="H1216" s="13">
        <f t="shared" si="152"/>
        <v>-1.0275684203264746E-2</v>
      </c>
      <c r="I1216">
        <f t="shared" si="153"/>
        <v>159.93796503092571</v>
      </c>
      <c r="J1216">
        <f t="shared" si="148"/>
        <v>701.13773951672681</v>
      </c>
      <c r="K1216" s="27">
        <f t="shared" si="149"/>
        <v>-5051.178327532275</v>
      </c>
    </row>
    <row r="1217" spans="1:11" x14ac:dyDescent="0.25">
      <c r="A1217" s="26">
        <v>1167</v>
      </c>
      <c r="B1217" s="82">
        <f t="shared" si="150"/>
        <v>0</v>
      </c>
      <c r="C1217" s="58">
        <f t="shared" si="146"/>
        <v>171.9194128119324</v>
      </c>
      <c r="D1217" s="83">
        <f t="shared" si="151"/>
        <v>733.33333333333326</v>
      </c>
      <c r="E1217">
        <f t="shared" si="147"/>
        <v>0</v>
      </c>
      <c r="G1217">
        <v>1167</v>
      </c>
      <c r="H1217" s="13">
        <f t="shared" si="152"/>
        <v>-1.0275684203264746E-2</v>
      </c>
      <c r="I1217">
        <f t="shared" si="153"/>
        <v>159.92768934672245</v>
      </c>
      <c r="J1217">
        <f t="shared" si="148"/>
        <v>701.09780546380546</v>
      </c>
      <c r="K1217" s="27">
        <f t="shared" si="149"/>
        <v>-5050.6026386236408</v>
      </c>
    </row>
    <row r="1218" spans="1:11" x14ac:dyDescent="0.25">
      <c r="A1218" s="26">
        <v>1168</v>
      </c>
      <c r="B1218" s="82">
        <f t="shared" si="150"/>
        <v>0</v>
      </c>
      <c r="C1218" s="58">
        <f t="shared" si="146"/>
        <v>171.9194128119324</v>
      </c>
      <c r="D1218" s="83">
        <f t="shared" si="151"/>
        <v>733.33333333333326</v>
      </c>
      <c r="E1218">
        <f t="shared" si="147"/>
        <v>0</v>
      </c>
      <c r="G1218">
        <v>1168</v>
      </c>
      <c r="H1218" s="13">
        <f t="shared" si="152"/>
        <v>-1.0275684203264746E-2</v>
      </c>
      <c r="I1218">
        <f t="shared" si="153"/>
        <v>159.91741366251918</v>
      </c>
      <c r="J1218">
        <f t="shared" si="148"/>
        <v>701.05782999814005</v>
      </c>
      <c r="K1218" s="27">
        <f t="shared" si="149"/>
        <v>-5050.0263850053534</v>
      </c>
    </row>
    <row r="1219" spans="1:11" x14ac:dyDescent="0.25">
      <c r="A1219" s="26">
        <v>1169</v>
      </c>
      <c r="B1219" s="82">
        <f t="shared" si="150"/>
        <v>0</v>
      </c>
      <c r="C1219" s="58">
        <f t="shared" si="146"/>
        <v>171.9194128119324</v>
      </c>
      <c r="D1219" s="83">
        <f t="shared" si="151"/>
        <v>733.33333333333326</v>
      </c>
      <c r="E1219">
        <f t="shared" si="147"/>
        <v>0</v>
      </c>
      <c r="G1219">
        <v>1169</v>
      </c>
      <c r="H1219" s="13">
        <f t="shared" si="152"/>
        <v>-1.0275684203264746E-2</v>
      </c>
      <c r="I1219">
        <f t="shared" si="153"/>
        <v>159.90713797831592</v>
      </c>
      <c r="J1219">
        <f t="shared" si="148"/>
        <v>701.01781299864933</v>
      </c>
      <c r="K1219" s="27">
        <f t="shared" si="149"/>
        <v>-5049.4495650310209</v>
      </c>
    </row>
    <row r="1220" spans="1:11" x14ac:dyDescent="0.25">
      <c r="A1220" s="26">
        <v>1170</v>
      </c>
      <c r="B1220" s="82">
        <f t="shared" si="150"/>
        <v>0</v>
      </c>
      <c r="C1220" s="58">
        <f t="shared" si="146"/>
        <v>171.9194128119324</v>
      </c>
      <c r="D1220" s="83">
        <f t="shared" si="151"/>
        <v>733.33333333333326</v>
      </c>
      <c r="E1220">
        <f t="shared" si="147"/>
        <v>0</v>
      </c>
      <c r="G1220">
        <v>1170</v>
      </c>
      <c r="H1220" s="13">
        <f t="shared" si="152"/>
        <v>-1.0275684203264746E-2</v>
      </c>
      <c r="I1220">
        <f t="shared" si="153"/>
        <v>159.89686229411265</v>
      </c>
      <c r="J1220">
        <f t="shared" si="148"/>
        <v>700.97775434365326</v>
      </c>
      <c r="K1220" s="27">
        <f t="shared" si="149"/>
        <v>-5048.8721770460916</v>
      </c>
    </row>
    <row r="1221" spans="1:11" x14ac:dyDescent="0.25">
      <c r="A1221" s="26">
        <v>1171</v>
      </c>
      <c r="B1221" s="82">
        <f t="shared" si="150"/>
        <v>0</v>
      </c>
      <c r="C1221" s="58">
        <f t="shared" si="146"/>
        <v>171.9194128119324</v>
      </c>
      <c r="D1221" s="83">
        <f t="shared" si="151"/>
        <v>733.33333333333326</v>
      </c>
      <c r="E1221">
        <f t="shared" si="147"/>
        <v>0</v>
      </c>
      <c r="G1221">
        <v>1171</v>
      </c>
      <c r="H1221" s="13">
        <f t="shared" si="152"/>
        <v>-1.0275684203264746E-2</v>
      </c>
      <c r="I1221">
        <f t="shared" si="153"/>
        <v>159.88658660990939</v>
      </c>
      <c r="J1221">
        <f t="shared" si="148"/>
        <v>700.93765391086845</v>
      </c>
      <c r="K1221" s="27">
        <f t="shared" si="149"/>
        <v>-5048.294219387808</v>
      </c>
    </row>
    <row r="1222" spans="1:11" x14ac:dyDescent="0.25">
      <c r="A1222" s="26">
        <v>1172</v>
      </c>
      <c r="B1222" s="82">
        <f t="shared" si="150"/>
        <v>0</v>
      </c>
      <c r="C1222" s="58">
        <f t="shared" si="146"/>
        <v>171.9194128119324</v>
      </c>
      <c r="D1222" s="83">
        <f t="shared" si="151"/>
        <v>733.33333333333326</v>
      </c>
      <c r="E1222">
        <f t="shared" si="147"/>
        <v>0</v>
      </c>
      <c r="G1222">
        <v>1172</v>
      </c>
      <c r="H1222" s="13">
        <f t="shared" si="152"/>
        <v>-1.0275684203264746E-2</v>
      </c>
      <c r="I1222">
        <f t="shared" si="153"/>
        <v>159.87631092570612</v>
      </c>
      <c r="J1222">
        <f t="shared" si="148"/>
        <v>700.89751157740432</v>
      </c>
      <c r="K1222" s="27">
        <f t="shared" si="149"/>
        <v>-5047.7156903851474</v>
      </c>
    </row>
    <row r="1223" spans="1:11" x14ac:dyDescent="0.25">
      <c r="A1223" s="26">
        <v>1173</v>
      </c>
      <c r="B1223" s="82">
        <f t="shared" si="150"/>
        <v>0</v>
      </c>
      <c r="C1223" s="58">
        <f t="shared" si="146"/>
        <v>171.9194128119324</v>
      </c>
      <c r="D1223" s="83">
        <f t="shared" si="151"/>
        <v>733.33333333333326</v>
      </c>
      <c r="E1223">
        <f t="shared" si="147"/>
        <v>0</v>
      </c>
      <c r="G1223">
        <v>1173</v>
      </c>
      <c r="H1223" s="13">
        <f t="shared" si="152"/>
        <v>-1.0275684203264746E-2</v>
      </c>
      <c r="I1223">
        <f t="shared" si="153"/>
        <v>159.86603524150286</v>
      </c>
      <c r="J1223">
        <f t="shared" si="148"/>
        <v>700.85732721975864</v>
      </c>
      <c r="K1223" s="27">
        <f t="shared" si="149"/>
        <v>-5047.1365883587596</v>
      </c>
    </row>
    <row r="1224" spans="1:11" x14ac:dyDescent="0.25">
      <c r="A1224" s="26">
        <v>1174</v>
      </c>
      <c r="B1224" s="82">
        <f t="shared" si="150"/>
        <v>0</v>
      </c>
      <c r="C1224" s="58">
        <f t="shared" si="146"/>
        <v>171.9194128119324</v>
      </c>
      <c r="D1224" s="83">
        <f t="shared" si="151"/>
        <v>733.33333333333326</v>
      </c>
      <c r="E1224">
        <f t="shared" si="147"/>
        <v>0</v>
      </c>
      <c r="G1224">
        <v>1174</v>
      </c>
      <c r="H1224" s="13">
        <f t="shared" si="152"/>
        <v>-1.0275684203264746E-2</v>
      </c>
      <c r="I1224">
        <f t="shared" si="153"/>
        <v>159.85575955729959</v>
      </c>
      <c r="J1224">
        <f t="shared" si="148"/>
        <v>700.81710071381315</v>
      </c>
      <c r="K1224" s="27">
        <f t="shared" si="149"/>
        <v>-5046.556911620909</v>
      </c>
    </row>
    <row r="1225" spans="1:11" x14ac:dyDescent="0.25">
      <c r="A1225" s="26">
        <v>1175</v>
      </c>
      <c r="B1225" s="82">
        <f t="shared" si="150"/>
        <v>0</v>
      </c>
      <c r="C1225" s="58">
        <f t="shared" si="146"/>
        <v>171.9194128119324</v>
      </c>
      <c r="D1225" s="83">
        <f t="shared" si="151"/>
        <v>733.33333333333326</v>
      </c>
      <c r="E1225">
        <f t="shared" si="147"/>
        <v>0</v>
      </c>
      <c r="G1225">
        <v>1175</v>
      </c>
      <c r="H1225" s="13">
        <f t="shared" si="152"/>
        <v>-1.0275684203264746E-2</v>
      </c>
      <c r="I1225">
        <f t="shared" si="153"/>
        <v>159.84548387309633</v>
      </c>
      <c r="J1225">
        <f t="shared" si="148"/>
        <v>700.77683193482949</v>
      </c>
      <c r="K1225" s="27">
        <f t="shared" si="149"/>
        <v>-5045.9766584754207</v>
      </c>
    </row>
    <row r="1226" spans="1:11" x14ac:dyDescent="0.25">
      <c r="A1226" s="26">
        <v>1176</v>
      </c>
      <c r="B1226" s="82">
        <f t="shared" si="150"/>
        <v>0</v>
      </c>
      <c r="C1226" s="58">
        <f t="shared" si="146"/>
        <v>171.9194128119324</v>
      </c>
      <c r="D1226" s="83">
        <f t="shared" si="151"/>
        <v>733.33333333333326</v>
      </c>
      <c r="E1226">
        <f t="shared" si="147"/>
        <v>0</v>
      </c>
      <c r="G1226">
        <v>1176</v>
      </c>
      <c r="H1226" s="13">
        <f t="shared" si="152"/>
        <v>-1.0275684203264746E-2</v>
      </c>
      <c r="I1226">
        <f t="shared" si="153"/>
        <v>159.83520818889306</v>
      </c>
      <c r="J1226">
        <f t="shared" si="148"/>
        <v>700.73652075744474</v>
      </c>
      <c r="K1226" s="27">
        <f t="shared" si="149"/>
        <v>-5045.3958272176205</v>
      </c>
    </row>
    <row r="1227" spans="1:11" x14ac:dyDescent="0.25">
      <c r="A1227" s="26">
        <v>1177</v>
      </c>
      <c r="B1227" s="82">
        <f t="shared" si="150"/>
        <v>0</v>
      </c>
      <c r="C1227" s="58">
        <f t="shared" si="146"/>
        <v>171.9194128119324</v>
      </c>
      <c r="D1227" s="83">
        <f t="shared" si="151"/>
        <v>733.33333333333326</v>
      </c>
      <c r="E1227">
        <f t="shared" si="147"/>
        <v>0</v>
      </c>
      <c r="G1227">
        <v>1177</v>
      </c>
      <c r="H1227" s="13">
        <f t="shared" si="152"/>
        <v>-1.0275684203264746E-2</v>
      </c>
      <c r="I1227">
        <f t="shared" si="153"/>
        <v>159.8249325046898</v>
      </c>
      <c r="J1227">
        <f t="shared" si="148"/>
        <v>700.69616705566693</v>
      </c>
      <c r="K1227" s="27">
        <f t="shared" si="149"/>
        <v>-5044.814416134268</v>
      </c>
    </row>
    <row r="1228" spans="1:11" x14ac:dyDescent="0.25">
      <c r="A1228" s="26">
        <v>1178</v>
      </c>
      <c r="B1228" s="82">
        <f t="shared" si="150"/>
        <v>0</v>
      </c>
      <c r="C1228" s="58">
        <f t="shared" si="146"/>
        <v>171.9194128119324</v>
      </c>
      <c r="D1228" s="83">
        <f t="shared" si="151"/>
        <v>733.33333333333326</v>
      </c>
      <c r="E1228">
        <f t="shared" si="147"/>
        <v>0</v>
      </c>
      <c r="G1228">
        <v>1178</v>
      </c>
      <c r="H1228" s="13">
        <f t="shared" si="152"/>
        <v>-1.0275684203264746E-2</v>
      </c>
      <c r="I1228">
        <f t="shared" si="153"/>
        <v>159.81465682048653</v>
      </c>
      <c r="J1228">
        <f t="shared" si="148"/>
        <v>700.65577070287077</v>
      </c>
      <c r="K1228" s="27">
        <f t="shared" si="149"/>
        <v>-5044.2324235035021</v>
      </c>
    </row>
    <row r="1229" spans="1:11" x14ac:dyDescent="0.25">
      <c r="A1229" s="26">
        <v>1179</v>
      </c>
      <c r="B1229" s="82">
        <f t="shared" si="150"/>
        <v>0</v>
      </c>
      <c r="C1229" s="58">
        <f t="shared" si="146"/>
        <v>171.9194128119324</v>
      </c>
      <c r="D1229" s="83">
        <f t="shared" si="151"/>
        <v>733.33333333333326</v>
      </c>
      <c r="E1229">
        <f t="shared" si="147"/>
        <v>0</v>
      </c>
      <c r="G1229">
        <v>1179</v>
      </c>
      <c r="H1229" s="13">
        <f t="shared" si="152"/>
        <v>-1.0275684203264746E-2</v>
      </c>
      <c r="I1229">
        <f t="shared" si="153"/>
        <v>159.80438113628327</v>
      </c>
      <c r="J1229">
        <f t="shared" si="148"/>
        <v>700.61533157179292</v>
      </c>
      <c r="K1229" s="27">
        <f t="shared" si="149"/>
        <v>-5043.6498475947838</v>
      </c>
    </row>
    <row r="1230" spans="1:11" x14ac:dyDescent="0.25">
      <c r="A1230" s="26">
        <v>1180</v>
      </c>
      <c r="B1230" s="82">
        <f t="shared" si="150"/>
        <v>0</v>
      </c>
      <c r="C1230" s="58">
        <f t="shared" si="146"/>
        <v>171.9194128119324</v>
      </c>
      <c r="D1230" s="83">
        <f t="shared" si="151"/>
        <v>733.33333333333326</v>
      </c>
      <c r="E1230">
        <f t="shared" si="147"/>
        <v>0</v>
      </c>
      <c r="G1230">
        <v>1180</v>
      </c>
      <c r="H1230" s="13">
        <f t="shared" si="152"/>
        <v>-1.0275684203264746E-2</v>
      </c>
      <c r="I1230">
        <f t="shared" si="153"/>
        <v>159.79410545208</v>
      </c>
      <c r="J1230">
        <f t="shared" si="148"/>
        <v>700.57484953452797</v>
      </c>
      <c r="K1230" s="27">
        <f t="shared" si="149"/>
        <v>-5043.0666866688243</v>
      </c>
    </row>
    <row r="1231" spans="1:11" x14ac:dyDescent="0.25">
      <c r="A1231" s="26">
        <v>1181</v>
      </c>
      <c r="B1231" s="82">
        <f t="shared" si="150"/>
        <v>0</v>
      </c>
      <c r="C1231" s="58">
        <f t="shared" si="146"/>
        <v>171.9194128119324</v>
      </c>
      <c r="D1231" s="83">
        <f t="shared" si="151"/>
        <v>733.33333333333326</v>
      </c>
      <c r="E1231">
        <f t="shared" si="147"/>
        <v>0</v>
      </c>
      <c r="G1231">
        <v>1181</v>
      </c>
      <c r="H1231" s="13">
        <f t="shared" si="152"/>
        <v>-1.0275684203264746E-2</v>
      </c>
      <c r="I1231">
        <f t="shared" si="153"/>
        <v>159.78382976787674</v>
      </c>
      <c r="J1231">
        <f t="shared" si="148"/>
        <v>700.53432446252339</v>
      </c>
      <c r="K1231" s="27">
        <f t="shared" si="149"/>
        <v>-5042.4829389775305</v>
      </c>
    </row>
    <row r="1232" spans="1:11" x14ac:dyDescent="0.25">
      <c r="A1232" s="26">
        <v>1182</v>
      </c>
      <c r="B1232" s="82">
        <f t="shared" si="150"/>
        <v>0</v>
      </c>
      <c r="C1232" s="58">
        <f t="shared" ref="C1232:C1295" si="154">($C$37-$C$36)/2000+C1231</f>
        <v>171.9194128119324</v>
      </c>
      <c r="D1232" s="83">
        <f t="shared" si="151"/>
        <v>733.33333333333326</v>
      </c>
      <c r="E1232">
        <f t="shared" si="147"/>
        <v>0</v>
      </c>
      <c r="G1232">
        <v>1182</v>
      </c>
      <c r="H1232" s="13">
        <f t="shared" si="152"/>
        <v>-1.0275684203264746E-2</v>
      </c>
      <c r="I1232">
        <f t="shared" si="153"/>
        <v>159.77355408367347</v>
      </c>
      <c r="J1232">
        <f t="shared" si="148"/>
        <v>700.49375622657499</v>
      </c>
      <c r="K1232" s="27">
        <f t="shared" si="149"/>
        <v>-5041.898602763943</v>
      </c>
    </row>
    <row r="1233" spans="1:11" x14ac:dyDescent="0.25">
      <c r="A1233" s="26">
        <v>1183</v>
      </c>
      <c r="B1233" s="82">
        <f t="shared" si="150"/>
        <v>0</v>
      </c>
      <c r="C1233" s="58">
        <f t="shared" si="154"/>
        <v>171.9194128119324</v>
      </c>
      <c r="D1233" s="83">
        <f t="shared" si="151"/>
        <v>733.33333333333326</v>
      </c>
      <c r="E1233">
        <f t="shared" si="147"/>
        <v>0</v>
      </c>
      <c r="G1233">
        <v>1183</v>
      </c>
      <c r="H1233" s="13">
        <f t="shared" si="152"/>
        <v>-1.0275684203264746E-2</v>
      </c>
      <c r="I1233">
        <f t="shared" si="153"/>
        <v>159.76327839947021</v>
      </c>
      <c r="J1233">
        <f t="shared" si="148"/>
        <v>700.45314469682273</v>
      </c>
      <c r="K1233" s="27">
        <f t="shared" si="149"/>
        <v>-5041.3136762621652</v>
      </c>
    </row>
    <row r="1234" spans="1:11" x14ac:dyDescent="0.25">
      <c r="A1234" s="26">
        <v>1184</v>
      </c>
      <c r="B1234" s="82">
        <f t="shared" si="150"/>
        <v>0</v>
      </c>
      <c r="C1234" s="58">
        <f t="shared" si="154"/>
        <v>171.9194128119324</v>
      </c>
      <c r="D1234" s="83">
        <f t="shared" si="151"/>
        <v>733.33333333333326</v>
      </c>
      <c r="E1234">
        <f t="shared" si="147"/>
        <v>0</v>
      </c>
      <c r="G1234">
        <v>1184</v>
      </c>
      <c r="H1234" s="13">
        <f t="shared" si="152"/>
        <v>-1.0275684203264746E-2</v>
      </c>
      <c r="I1234">
        <f t="shared" si="153"/>
        <v>159.75300271526694</v>
      </c>
      <c r="J1234">
        <f t="shared" si="148"/>
        <v>700.41248974274527</v>
      </c>
      <c r="K1234" s="27">
        <f t="shared" si="149"/>
        <v>-5040.7281576973091</v>
      </c>
    </row>
    <row r="1235" spans="1:11" x14ac:dyDescent="0.25">
      <c r="A1235" s="26">
        <v>1185</v>
      </c>
      <c r="B1235" s="82">
        <f t="shared" si="150"/>
        <v>0</v>
      </c>
      <c r="C1235" s="58">
        <f t="shared" si="154"/>
        <v>171.9194128119324</v>
      </c>
      <c r="D1235" s="83">
        <f t="shared" si="151"/>
        <v>733.33333333333326</v>
      </c>
      <c r="E1235">
        <f t="shared" si="147"/>
        <v>0</v>
      </c>
      <c r="G1235">
        <v>1185</v>
      </c>
      <c r="H1235" s="13">
        <f t="shared" si="152"/>
        <v>-1.0275684203264746E-2</v>
      </c>
      <c r="I1235">
        <f t="shared" si="153"/>
        <v>159.74272703106368</v>
      </c>
      <c r="J1235">
        <f t="shared" si="148"/>
        <v>700.37179123315616</v>
      </c>
      <c r="K1235" s="27">
        <f t="shared" si="149"/>
        <v>-5040.1420452854263</v>
      </c>
    </row>
    <row r="1236" spans="1:11" x14ac:dyDescent="0.25">
      <c r="A1236" s="26">
        <v>1186</v>
      </c>
      <c r="B1236" s="82">
        <f t="shared" si="150"/>
        <v>0</v>
      </c>
      <c r="C1236" s="58">
        <f t="shared" si="154"/>
        <v>171.9194128119324</v>
      </c>
      <c r="D1236" s="83">
        <f t="shared" si="151"/>
        <v>733.33333333333326</v>
      </c>
      <c r="E1236">
        <f t="shared" si="147"/>
        <v>0</v>
      </c>
      <c r="G1236">
        <v>1186</v>
      </c>
      <c r="H1236" s="13">
        <f t="shared" si="152"/>
        <v>-1.0275684203264746E-2</v>
      </c>
      <c r="I1236">
        <f t="shared" si="153"/>
        <v>159.73245134686042</v>
      </c>
      <c r="J1236">
        <f t="shared" si="148"/>
        <v>700.33104903619824</v>
      </c>
      <c r="K1236" s="27">
        <f t="shared" si="149"/>
        <v>-5039.5553372334371</v>
      </c>
    </row>
    <row r="1237" spans="1:11" x14ac:dyDescent="0.25">
      <c r="A1237" s="26">
        <v>1187</v>
      </c>
      <c r="B1237" s="82">
        <f t="shared" si="150"/>
        <v>0</v>
      </c>
      <c r="C1237" s="58">
        <f t="shared" si="154"/>
        <v>171.9194128119324</v>
      </c>
      <c r="D1237" s="83">
        <f t="shared" si="151"/>
        <v>733.33333333333326</v>
      </c>
      <c r="E1237">
        <f t="shared" si="147"/>
        <v>0</v>
      </c>
      <c r="G1237">
        <v>1187</v>
      </c>
      <c r="H1237" s="13">
        <f t="shared" si="152"/>
        <v>-1.0275684203264746E-2</v>
      </c>
      <c r="I1237">
        <f t="shared" si="153"/>
        <v>159.72217566265715</v>
      </c>
      <c r="J1237">
        <f t="shared" si="148"/>
        <v>700.29026301933914</v>
      </c>
      <c r="K1237" s="27">
        <f t="shared" si="149"/>
        <v>-5038.9680317390785</v>
      </c>
    </row>
    <row r="1238" spans="1:11" x14ac:dyDescent="0.25">
      <c r="A1238" s="26">
        <v>1188</v>
      </c>
      <c r="B1238" s="82">
        <f t="shared" si="150"/>
        <v>0</v>
      </c>
      <c r="C1238" s="58">
        <f t="shared" si="154"/>
        <v>171.9194128119324</v>
      </c>
      <c r="D1238" s="83">
        <f t="shared" si="151"/>
        <v>733.33333333333326</v>
      </c>
      <c r="E1238">
        <f t="shared" si="147"/>
        <v>0</v>
      </c>
      <c r="G1238">
        <v>1188</v>
      </c>
      <c r="H1238" s="13">
        <f t="shared" si="152"/>
        <v>-1.0275684203264746E-2</v>
      </c>
      <c r="I1238">
        <f t="shared" si="153"/>
        <v>159.71189997845389</v>
      </c>
      <c r="J1238">
        <f t="shared" si="148"/>
        <v>700.24943304936687</v>
      </c>
      <c r="K1238" s="27">
        <f t="shared" si="149"/>
        <v>-5038.3801269908245</v>
      </c>
    </row>
    <row r="1239" spans="1:11" x14ac:dyDescent="0.25">
      <c r="A1239" s="26">
        <v>1189</v>
      </c>
      <c r="B1239" s="82">
        <f t="shared" si="150"/>
        <v>0</v>
      </c>
      <c r="C1239" s="58">
        <f t="shared" si="154"/>
        <v>171.9194128119324</v>
      </c>
      <c r="D1239" s="83">
        <f t="shared" si="151"/>
        <v>733.33333333333326</v>
      </c>
      <c r="E1239">
        <f t="shared" si="147"/>
        <v>0</v>
      </c>
      <c r="G1239">
        <v>1189</v>
      </c>
      <c r="H1239" s="13">
        <f t="shared" si="152"/>
        <v>-1.0275684203264746E-2</v>
      </c>
      <c r="I1239">
        <f t="shared" si="153"/>
        <v>159.70162429425062</v>
      </c>
      <c r="J1239">
        <f t="shared" si="148"/>
        <v>700.20855899238404</v>
      </c>
      <c r="K1239" s="27">
        <f t="shared" si="149"/>
        <v>-5037.7916211678303</v>
      </c>
    </row>
    <row r="1240" spans="1:11" x14ac:dyDescent="0.25">
      <c r="A1240" s="26">
        <v>1190</v>
      </c>
      <c r="B1240" s="82">
        <f t="shared" si="150"/>
        <v>0</v>
      </c>
      <c r="C1240" s="58">
        <f t="shared" si="154"/>
        <v>171.9194128119324</v>
      </c>
      <c r="D1240" s="83">
        <f t="shared" si="151"/>
        <v>733.33333333333326</v>
      </c>
      <c r="E1240">
        <f t="shared" si="147"/>
        <v>0</v>
      </c>
      <c r="G1240">
        <v>1190</v>
      </c>
      <c r="H1240" s="13">
        <f t="shared" si="152"/>
        <v>-1.0275684203264746E-2</v>
      </c>
      <c r="I1240">
        <f t="shared" si="153"/>
        <v>159.69134861004736</v>
      </c>
      <c r="J1240">
        <f t="shared" si="148"/>
        <v>700.16764071380362</v>
      </c>
      <c r="K1240" s="27">
        <f t="shared" si="149"/>
        <v>-5037.2025124398542</v>
      </c>
    </row>
    <row r="1241" spans="1:11" x14ac:dyDescent="0.25">
      <c r="A1241" s="26">
        <v>1191</v>
      </c>
      <c r="B1241" s="82">
        <f t="shared" si="150"/>
        <v>0</v>
      </c>
      <c r="C1241" s="58">
        <f t="shared" si="154"/>
        <v>171.9194128119324</v>
      </c>
      <c r="D1241" s="83">
        <f t="shared" si="151"/>
        <v>733.33333333333326</v>
      </c>
      <c r="E1241">
        <f t="shared" si="147"/>
        <v>0</v>
      </c>
      <c r="G1241">
        <v>1191</v>
      </c>
      <c r="H1241" s="13">
        <f t="shared" si="152"/>
        <v>-1.0275684203264746E-2</v>
      </c>
      <c r="I1241">
        <f t="shared" si="153"/>
        <v>159.68107292584409</v>
      </c>
      <c r="J1241">
        <f t="shared" si="148"/>
        <v>700.12667807834373</v>
      </c>
      <c r="K1241" s="27">
        <f t="shared" si="149"/>
        <v>-5036.6127989672013</v>
      </c>
    </row>
    <row r="1242" spans="1:11" x14ac:dyDescent="0.25">
      <c r="A1242" s="26">
        <v>1192</v>
      </c>
      <c r="B1242" s="82">
        <f t="shared" si="150"/>
        <v>0</v>
      </c>
      <c r="C1242" s="58">
        <f t="shared" si="154"/>
        <v>171.9194128119324</v>
      </c>
      <c r="D1242" s="83">
        <f t="shared" si="151"/>
        <v>733.33333333333326</v>
      </c>
      <c r="E1242">
        <f t="shared" si="147"/>
        <v>0</v>
      </c>
      <c r="G1242">
        <v>1192</v>
      </c>
      <c r="H1242" s="13">
        <f t="shared" si="152"/>
        <v>-1.0275684203264746E-2</v>
      </c>
      <c r="I1242">
        <f t="shared" si="153"/>
        <v>159.67079724164083</v>
      </c>
      <c r="J1242">
        <f t="shared" si="148"/>
        <v>700.08567095002252</v>
      </c>
      <c r="K1242" s="27">
        <f t="shared" si="149"/>
        <v>-5036.0224789006434</v>
      </c>
    </row>
    <row r="1243" spans="1:11" x14ac:dyDescent="0.25">
      <c r="A1243" s="26">
        <v>1193</v>
      </c>
      <c r="B1243" s="82">
        <f t="shared" si="150"/>
        <v>0</v>
      </c>
      <c r="C1243" s="58">
        <f t="shared" si="154"/>
        <v>171.9194128119324</v>
      </c>
      <c r="D1243" s="83">
        <f t="shared" si="151"/>
        <v>733.33333333333326</v>
      </c>
      <c r="E1243">
        <f t="shared" si="147"/>
        <v>0</v>
      </c>
      <c r="G1243">
        <v>1193</v>
      </c>
      <c r="H1243" s="13">
        <f t="shared" si="152"/>
        <v>-1.0275684203264746E-2</v>
      </c>
      <c r="I1243">
        <f t="shared" si="153"/>
        <v>159.66052155743756</v>
      </c>
      <c r="J1243">
        <f t="shared" si="148"/>
        <v>700.04461919215305</v>
      </c>
      <c r="K1243" s="27">
        <f t="shared" si="149"/>
        <v>-5035.4315503813577</v>
      </c>
    </row>
    <row r="1244" spans="1:11" x14ac:dyDescent="0.25">
      <c r="A1244" s="26">
        <v>1194</v>
      </c>
      <c r="B1244" s="82">
        <f t="shared" si="150"/>
        <v>0</v>
      </c>
      <c r="C1244" s="58">
        <f t="shared" si="154"/>
        <v>171.9194128119324</v>
      </c>
      <c r="D1244" s="83">
        <f t="shared" si="151"/>
        <v>733.33333333333326</v>
      </c>
      <c r="E1244">
        <f t="shared" si="147"/>
        <v>0</v>
      </c>
      <c r="G1244">
        <v>1194</v>
      </c>
      <c r="H1244" s="13">
        <f t="shared" si="152"/>
        <v>-1.0275684203264746E-2</v>
      </c>
      <c r="I1244">
        <f t="shared" si="153"/>
        <v>159.6502458732343</v>
      </c>
      <c r="J1244">
        <f t="shared" si="148"/>
        <v>700.00352266733842</v>
      </c>
      <c r="K1244" s="27">
        <f t="shared" si="149"/>
        <v>-5034.840011540854</v>
      </c>
    </row>
    <row r="1245" spans="1:11" x14ac:dyDescent="0.25">
      <c r="A1245" s="26">
        <v>1195</v>
      </c>
      <c r="B1245" s="82">
        <f t="shared" si="150"/>
        <v>0</v>
      </c>
      <c r="C1245" s="58">
        <f t="shared" si="154"/>
        <v>171.9194128119324</v>
      </c>
      <c r="D1245" s="83">
        <f t="shared" si="151"/>
        <v>733.33333333333326</v>
      </c>
      <c r="E1245">
        <f t="shared" si="147"/>
        <v>0</v>
      </c>
      <c r="G1245">
        <v>1195</v>
      </c>
      <c r="H1245" s="13">
        <f t="shared" si="152"/>
        <v>-1.0275684203264746E-2</v>
      </c>
      <c r="I1245">
        <f t="shared" si="153"/>
        <v>159.63997018903103</v>
      </c>
      <c r="J1245">
        <f t="shared" si="148"/>
        <v>699.96238123746616</v>
      </c>
      <c r="K1245" s="27">
        <f t="shared" si="149"/>
        <v>-5034.247860500901</v>
      </c>
    </row>
    <row r="1246" spans="1:11" x14ac:dyDescent="0.25">
      <c r="A1246" s="26">
        <v>1196</v>
      </c>
      <c r="B1246" s="82">
        <f t="shared" si="150"/>
        <v>0</v>
      </c>
      <c r="C1246" s="58">
        <f t="shared" si="154"/>
        <v>171.9194128119324</v>
      </c>
      <c r="D1246" s="83">
        <f t="shared" si="151"/>
        <v>733.33333333333326</v>
      </c>
      <c r="E1246">
        <f t="shared" si="147"/>
        <v>0</v>
      </c>
      <c r="G1246">
        <v>1196</v>
      </c>
      <c r="H1246" s="13">
        <f t="shared" si="152"/>
        <v>-1.0275684203264746E-2</v>
      </c>
      <c r="I1246">
        <f t="shared" si="153"/>
        <v>159.62969450482777</v>
      </c>
      <c r="J1246">
        <f t="shared" si="148"/>
        <v>699.92119476370351</v>
      </c>
      <c r="K1246" s="27">
        <f t="shared" si="149"/>
        <v>-5033.6550953734595</v>
      </c>
    </row>
    <row r="1247" spans="1:11" x14ac:dyDescent="0.25">
      <c r="A1247" s="26">
        <v>1197</v>
      </c>
      <c r="B1247" s="82">
        <f t="shared" si="150"/>
        <v>0</v>
      </c>
      <c r="C1247" s="58">
        <f t="shared" si="154"/>
        <v>171.9194128119324</v>
      </c>
      <c r="D1247" s="83">
        <f t="shared" si="151"/>
        <v>733.33333333333326</v>
      </c>
      <c r="E1247">
        <f t="shared" si="147"/>
        <v>0</v>
      </c>
      <c r="G1247">
        <v>1197</v>
      </c>
      <c r="H1247" s="13">
        <f t="shared" si="152"/>
        <v>-1.0275684203264746E-2</v>
      </c>
      <c r="I1247">
        <f t="shared" si="153"/>
        <v>159.6194188206245</v>
      </c>
      <c r="J1247">
        <f t="shared" si="148"/>
        <v>699.87996310649169</v>
      </c>
      <c r="K1247" s="27">
        <f t="shared" si="149"/>
        <v>-5033.0617142606125</v>
      </c>
    </row>
    <row r="1248" spans="1:11" x14ac:dyDescent="0.25">
      <c r="A1248" s="26">
        <v>1198</v>
      </c>
      <c r="B1248" s="82">
        <f t="shared" si="150"/>
        <v>0</v>
      </c>
      <c r="C1248" s="58">
        <f t="shared" si="154"/>
        <v>171.9194128119324</v>
      </c>
      <c r="D1248" s="83">
        <f t="shared" si="151"/>
        <v>733.33333333333326</v>
      </c>
      <c r="E1248">
        <f t="shared" si="147"/>
        <v>0</v>
      </c>
      <c r="G1248">
        <v>1198</v>
      </c>
      <c r="H1248" s="13">
        <f t="shared" si="152"/>
        <v>-1.0275684203264746E-2</v>
      </c>
      <c r="I1248">
        <f t="shared" si="153"/>
        <v>159.60914313642124</v>
      </c>
      <c r="J1248">
        <f t="shared" si="148"/>
        <v>699.83868612554079</v>
      </c>
      <c r="K1248" s="27">
        <f t="shared" si="149"/>
        <v>-5032.4677152544837</v>
      </c>
    </row>
    <row r="1249" spans="1:11" x14ac:dyDescent="0.25">
      <c r="A1249" s="26">
        <v>1199</v>
      </c>
      <c r="B1249" s="82">
        <f t="shared" si="150"/>
        <v>0</v>
      </c>
      <c r="C1249" s="58">
        <f t="shared" si="154"/>
        <v>171.9194128119324</v>
      </c>
      <c r="D1249" s="83">
        <f t="shared" si="151"/>
        <v>733.33333333333326</v>
      </c>
      <c r="E1249">
        <f t="shared" si="147"/>
        <v>0</v>
      </c>
      <c r="G1249">
        <v>1199</v>
      </c>
      <c r="H1249" s="13">
        <f t="shared" si="152"/>
        <v>-1.0275684203264746E-2</v>
      </c>
      <c r="I1249">
        <f t="shared" si="153"/>
        <v>159.59886745221797</v>
      </c>
      <c r="J1249">
        <f t="shared" si="148"/>
        <v>699.79736367982434</v>
      </c>
      <c r="K1249" s="27">
        <f t="shared" si="149"/>
        <v>-5031.8730964371716</v>
      </c>
    </row>
    <row r="1250" spans="1:11" x14ac:dyDescent="0.25">
      <c r="A1250" s="26">
        <v>1200</v>
      </c>
      <c r="B1250" s="82">
        <f t="shared" si="150"/>
        <v>0</v>
      </c>
      <c r="C1250" s="58">
        <f t="shared" si="154"/>
        <v>171.9194128119324</v>
      </c>
      <c r="D1250" s="83">
        <f t="shared" si="151"/>
        <v>733.33333333333326</v>
      </c>
      <c r="E1250">
        <f t="shared" si="147"/>
        <v>0</v>
      </c>
      <c r="G1250">
        <v>1200</v>
      </c>
      <c r="H1250" s="13">
        <f t="shared" si="152"/>
        <v>-1.0275684203264746E-2</v>
      </c>
      <c r="I1250">
        <f t="shared" si="153"/>
        <v>159.58859176801471</v>
      </c>
      <c r="J1250">
        <f t="shared" si="148"/>
        <v>699.75599562757384</v>
      </c>
      <c r="K1250" s="27">
        <f t="shared" si="149"/>
        <v>-5031.2778558806731</v>
      </c>
    </row>
    <row r="1251" spans="1:11" x14ac:dyDescent="0.25">
      <c r="A1251" s="26">
        <v>1201</v>
      </c>
      <c r="B1251" s="82">
        <f t="shared" si="150"/>
        <v>0</v>
      </c>
      <c r="C1251" s="58">
        <f t="shared" si="154"/>
        <v>171.9194128119324</v>
      </c>
      <c r="D1251" s="83">
        <f t="shared" si="151"/>
        <v>733.33333333333326</v>
      </c>
      <c r="E1251">
        <f t="shared" si="147"/>
        <v>0</v>
      </c>
      <c r="G1251">
        <v>1201</v>
      </c>
      <c r="H1251" s="13">
        <f t="shared" si="152"/>
        <v>-1.0275684203264746E-2</v>
      </c>
      <c r="I1251">
        <f t="shared" si="153"/>
        <v>159.57831608381144</v>
      </c>
      <c r="J1251">
        <f t="shared" si="148"/>
        <v>699.7145818262735</v>
      </c>
      <c r="K1251" s="27">
        <f t="shared" si="149"/>
        <v>-5030.6819916468103</v>
      </c>
    </row>
    <row r="1252" spans="1:11" x14ac:dyDescent="0.25">
      <c r="A1252" s="26">
        <v>1202</v>
      </c>
      <c r="B1252" s="82">
        <f t="shared" si="150"/>
        <v>0</v>
      </c>
      <c r="C1252" s="58">
        <f t="shared" si="154"/>
        <v>171.9194128119324</v>
      </c>
      <c r="D1252" s="83">
        <f t="shared" si="151"/>
        <v>733.33333333333326</v>
      </c>
      <c r="E1252">
        <f t="shared" si="147"/>
        <v>0</v>
      </c>
      <c r="G1252">
        <v>1202</v>
      </c>
      <c r="H1252" s="13">
        <f t="shared" si="152"/>
        <v>-1.0275684203264746E-2</v>
      </c>
      <c r="I1252">
        <f t="shared" si="153"/>
        <v>159.56804039960818</v>
      </c>
      <c r="J1252">
        <f t="shared" si="148"/>
        <v>699.67312213265427</v>
      </c>
      <c r="K1252" s="27">
        <f t="shared" si="149"/>
        <v>-5030.0855017871509</v>
      </c>
    </row>
    <row r="1253" spans="1:11" x14ac:dyDescent="0.25">
      <c r="A1253" s="26">
        <v>1203</v>
      </c>
      <c r="B1253" s="82">
        <f t="shared" si="150"/>
        <v>0</v>
      </c>
      <c r="C1253" s="58">
        <f t="shared" si="154"/>
        <v>171.9194128119324</v>
      </c>
      <c r="D1253" s="83">
        <f t="shared" si="151"/>
        <v>733.33333333333326</v>
      </c>
      <c r="E1253">
        <f t="shared" si="147"/>
        <v>0</v>
      </c>
      <c r="G1253">
        <v>1203</v>
      </c>
      <c r="H1253" s="13">
        <f t="shared" si="152"/>
        <v>-1.0275684203264746E-2</v>
      </c>
      <c r="I1253">
        <f t="shared" si="153"/>
        <v>159.55776471540491</v>
      </c>
      <c r="J1253">
        <f t="shared" si="148"/>
        <v>699.63161640268868</v>
      </c>
      <c r="K1253" s="27">
        <f t="shared" si="149"/>
        <v>-5029.488384342937</v>
      </c>
    </row>
    <row r="1254" spans="1:11" x14ac:dyDescent="0.25">
      <c r="A1254" s="26">
        <v>1204</v>
      </c>
      <c r="B1254" s="82">
        <f t="shared" si="150"/>
        <v>0</v>
      </c>
      <c r="C1254" s="58">
        <f t="shared" si="154"/>
        <v>171.9194128119324</v>
      </c>
      <c r="D1254" s="83">
        <f t="shared" si="151"/>
        <v>733.33333333333326</v>
      </c>
      <c r="E1254">
        <f t="shared" si="147"/>
        <v>0</v>
      </c>
      <c r="G1254">
        <v>1204</v>
      </c>
      <c r="H1254" s="13">
        <f t="shared" si="152"/>
        <v>-1.0275684203264746E-2</v>
      </c>
      <c r="I1254">
        <f t="shared" si="153"/>
        <v>159.54748903120165</v>
      </c>
      <c r="J1254">
        <f t="shared" si="148"/>
        <v>699.59006449158483</v>
      </c>
      <c r="K1254" s="27">
        <f t="shared" si="149"/>
        <v>-5028.8906373450018</v>
      </c>
    </row>
    <row r="1255" spans="1:11" x14ac:dyDescent="0.25">
      <c r="A1255" s="26">
        <v>1205</v>
      </c>
      <c r="B1255" s="82">
        <f t="shared" si="150"/>
        <v>0</v>
      </c>
      <c r="C1255" s="58">
        <f t="shared" si="154"/>
        <v>171.9194128119324</v>
      </c>
      <c r="D1255" s="83">
        <f t="shared" si="151"/>
        <v>733.33333333333326</v>
      </c>
      <c r="E1255">
        <f t="shared" si="147"/>
        <v>0</v>
      </c>
      <c r="G1255">
        <v>1205</v>
      </c>
      <c r="H1255" s="13">
        <f t="shared" si="152"/>
        <v>-1.0275684203264746E-2</v>
      </c>
      <c r="I1255">
        <f t="shared" si="153"/>
        <v>159.53721334699839</v>
      </c>
      <c r="J1255">
        <f t="shared" si="148"/>
        <v>699.54846625378104</v>
      </c>
      <c r="K1255" s="27">
        <f t="shared" si="149"/>
        <v>-5028.2922588137035</v>
      </c>
    </row>
    <row r="1256" spans="1:11" x14ac:dyDescent="0.25">
      <c r="A1256" s="26">
        <v>1206</v>
      </c>
      <c r="B1256" s="82">
        <f t="shared" si="150"/>
        <v>0</v>
      </c>
      <c r="C1256" s="58">
        <f t="shared" si="154"/>
        <v>171.9194128119324</v>
      </c>
      <c r="D1256" s="83">
        <f t="shared" si="151"/>
        <v>733.33333333333326</v>
      </c>
      <c r="E1256">
        <f t="shared" si="147"/>
        <v>0</v>
      </c>
      <c r="G1256">
        <v>1206</v>
      </c>
      <c r="H1256" s="13">
        <f t="shared" si="152"/>
        <v>-1.0275684203264746E-2</v>
      </c>
      <c r="I1256">
        <f t="shared" si="153"/>
        <v>159.52693766279512</v>
      </c>
      <c r="J1256">
        <f t="shared" si="148"/>
        <v>699.50682154293997</v>
      </c>
      <c r="K1256" s="27">
        <f t="shared" si="149"/>
        <v>-5027.6932467588322</v>
      </c>
    </row>
    <row r="1257" spans="1:11" x14ac:dyDescent="0.25">
      <c r="A1257" s="26">
        <v>1207</v>
      </c>
      <c r="B1257" s="82">
        <f t="shared" si="150"/>
        <v>0</v>
      </c>
      <c r="C1257" s="58">
        <f t="shared" si="154"/>
        <v>171.9194128119324</v>
      </c>
      <c r="D1257" s="83">
        <f t="shared" si="151"/>
        <v>733.33333333333326</v>
      </c>
      <c r="E1257">
        <f t="shared" si="147"/>
        <v>0</v>
      </c>
      <c r="G1257">
        <v>1207</v>
      </c>
      <c r="H1257" s="13">
        <f t="shared" si="152"/>
        <v>-1.0275684203264746E-2</v>
      </c>
      <c r="I1257">
        <f t="shared" si="153"/>
        <v>159.51666197859186</v>
      </c>
      <c r="J1257">
        <f t="shared" si="148"/>
        <v>699.46513021194244</v>
      </c>
      <c r="K1257" s="27">
        <f t="shared" si="149"/>
        <v>-5027.0935991795395</v>
      </c>
    </row>
    <row r="1258" spans="1:11" x14ac:dyDescent="0.25">
      <c r="A1258" s="26">
        <v>1208</v>
      </c>
      <c r="B1258" s="82">
        <f t="shared" si="150"/>
        <v>0</v>
      </c>
      <c r="C1258" s="58">
        <f t="shared" si="154"/>
        <v>171.9194128119324</v>
      </c>
      <c r="D1258" s="83">
        <f t="shared" si="151"/>
        <v>733.33333333333326</v>
      </c>
      <c r="E1258">
        <f t="shared" si="147"/>
        <v>0</v>
      </c>
      <c r="G1258">
        <v>1208</v>
      </c>
      <c r="H1258" s="13">
        <f t="shared" si="152"/>
        <v>-1.0275684203264746E-2</v>
      </c>
      <c r="I1258">
        <f t="shared" si="153"/>
        <v>159.50638629438859</v>
      </c>
      <c r="J1258">
        <f t="shared" si="148"/>
        <v>699.42339211288231</v>
      </c>
      <c r="K1258" s="27">
        <f t="shared" si="149"/>
        <v>-5026.4933140642615</v>
      </c>
    </row>
    <row r="1259" spans="1:11" x14ac:dyDescent="0.25">
      <c r="A1259" s="26">
        <v>1209</v>
      </c>
      <c r="B1259" s="82">
        <f t="shared" si="150"/>
        <v>0</v>
      </c>
      <c r="C1259" s="58">
        <f t="shared" si="154"/>
        <v>171.9194128119324</v>
      </c>
      <c r="D1259" s="83">
        <f t="shared" si="151"/>
        <v>733.33333333333326</v>
      </c>
      <c r="E1259">
        <f t="shared" si="147"/>
        <v>0</v>
      </c>
      <c r="G1259">
        <v>1209</v>
      </c>
      <c r="H1259" s="13">
        <f t="shared" si="152"/>
        <v>-1.0275684203264746E-2</v>
      </c>
      <c r="I1259">
        <f t="shared" si="153"/>
        <v>159.49611061018533</v>
      </c>
      <c r="J1259">
        <f t="shared" si="148"/>
        <v>699.38160709705994</v>
      </c>
      <c r="K1259" s="27">
        <f t="shared" si="149"/>
        <v>-5025.8923893906276</v>
      </c>
    </row>
    <row r="1260" spans="1:11" x14ac:dyDescent="0.25">
      <c r="A1260" s="26">
        <v>1210</v>
      </c>
      <c r="B1260" s="82">
        <f t="shared" si="150"/>
        <v>0</v>
      </c>
      <c r="C1260" s="58">
        <f t="shared" si="154"/>
        <v>171.9194128119324</v>
      </c>
      <c r="D1260" s="83">
        <f t="shared" si="151"/>
        <v>733.33333333333326</v>
      </c>
      <c r="E1260">
        <f t="shared" si="147"/>
        <v>0</v>
      </c>
      <c r="G1260">
        <v>1210</v>
      </c>
      <c r="H1260" s="13">
        <f t="shared" si="152"/>
        <v>-1.0275684203264746E-2</v>
      </c>
      <c r="I1260">
        <f t="shared" si="153"/>
        <v>159.48583492598206</v>
      </c>
      <c r="J1260">
        <f t="shared" si="148"/>
        <v>699.33977501497634</v>
      </c>
      <c r="K1260" s="27">
        <f t="shared" si="149"/>
        <v>-5025.2908231253878</v>
      </c>
    </row>
    <row r="1261" spans="1:11" x14ac:dyDescent="0.25">
      <c r="A1261" s="26">
        <v>1211</v>
      </c>
      <c r="B1261" s="82">
        <f t="shared" si="150"/>
        <v>0</v>
      </c>
      <c r="C1261" s="58">
        <f t="shared" si="154"/>
        <v>171.9194128119324</v>
      </c>
      <c r="D1261" s="83">
        <f t="shared" si="151"/>
        <v>733.33333333333326</v>
      </c>
      <c r="E1261">
        <f t="shared" si="147"/>
        <v>0</v>
      </c>
      <c r="G1261">
        <v>1211</v>
      </c>
      <c r="H1261" s="13">
        <f t="shared" si="152"/>
        <v>-1.0275684203264746E-2</v>
      </c>
      <c r="I1261">
        <f t="shared" si="153"/>
        <v>159.4755592417788</v>
      </c>
      <c r="J1261">
        <f t="shared" si="148"/>
        <v>699.29789571632739</v>
      </c>
      <c r="K1261" s="27">
        <f t="shared" si="149"/>
        <v>-5024.688613224328</v>
      </c>
    </row>
    <row r="1262" spans="1:11" x14ac:dyDescent="0.25">
      <c r="A1262" s="26">
        <v>1212</v>
      </c>
      <c r="B1262" s="82">
        <f t="shared" si="150"/>
        <v>0</v>
      </c>
      <c r="C1262" s="58">
        <f t="shared" si="154"/>
        <v>171.9194128119324</v>
      </c>
      <c r="D1262" s="83">
        <f t="shared" si="151"/>
        <v>733.33333333333326</v>
      </c>
      <c r="E1262">
        <f t="shared" si="147"/>
        <v>0</v>
      </c>
      <c r="G1262">
        <v>1212</v>
      </c>
      <c r="H1262" s="13">
        <f t="shared" si="152"/>
        <v>-1.0275684203264746E-2</v>
      </c>
      <c r="I1262">
        <f t="shared" si="153"/>
        <v>159.46528355757553</v>
      </c>
      <c r="J1262">
        <f t="shared" si="148"/>
        <v>699.25596904999747</v>
      </c>
      <c r="K1262" s="27">
        <f t="shared" si="149"/>
        <v>-5024.0857576321841</v>
      </c>
    </row>
    <row r="1263" spans="1:11" x14ac:dyDescent="0.25">
      <c r="A1263" s="26">
        <v>1213</v>
      </c>
      <c r="B1263" s="82">
        <f t="shared" si="150"/>
        <v>0</v>
      </c>
      <c r="C1263" s="58">
        <f t="shared" si="154"/>
        <v>171.9194128119324</v>
      </c>
      <c r="D1263" s="83">
        <f t="shared" si="151"/>
        <v>733.33333333333326</v>
      </c>
      <c r="E1263">
        <f t="shared" si="147"/>
        <v>0</v>
      </c>
      <c r="G1263">
        <v>1213</v>
      </c>
      <c r="H1263" s="13">
        <f t="shared" si="152"/>
        <v>-1.0275684203264746E-2</v>
      </c>
      <c r="I1263">
        <f t="shared" si="153"/>
        <v>159.45500787337227</v>
      </c>
      <c r="J1263">
        <f t="shared" si="148"/>
        <v>699.21399486405323</v>
      </c>
      <c r="K1263" s="27">
        <f t="shared" si="149"/>
        <v>-5023.4822542825632</v>
      </c>
    </row>
    <row r="1264" spans="1:11" x14ac:dyDescent="0.25">
      <c r="A1264" s="26">
        <v>1214</v>
      </c>
      <c r="B1264" s="82">
        <f t="shared" si="150"/>
        <v>0</v>
      </c>
      <c r="C1264" s="58">
        <f t="shared" si="154"/>
        <v>171.9194128119324</v>
      </c>
      <c r="D1264" s="83">
        <f t="shared" si="151"/>
        <v>733.33333333333326</v>
      </c>
      <c r="E1264">
        <f t="shared" si="147"/>
        <v>0</v>
      </c>
      <c r="G1264">
        <v>1214</v>
      </c>
      <c r="H1264" s="13">
        <f t="shared" si="152"/>
        <v>-1.0275684203264746E-2</v>
      </c>
      <c r="I1264">
        <f t="shared" si="153"/>
        <v>159.444732189169</v>
      </c>
      <c r="J1264">
        <f t="shared" si="148"/>
        <v>699.17197300573798</v>
      </c>
      <c r="K1264" s="27">
        <f t="shared" si="149"/>
        <v>-5022.8781010978564</v>
      </c>
    </row>
    <row r="1265" spans="1:11" x14ac:dyDescent="0.25">
      <c r="A1265" s="26">
        <v>1215</v>
      </c>
      <c r="B1265" s="82">
        <f t="shared" si="150"/>
        <v>0</v>
      </c>
      <c r="C1265" s="58">
        <f t="shared" si="154"/>
        <v>171.9194128119324</v>
      </c>
      <c r="D1265" s="83">
        <f t="shared" si="151"/>
        <v>733.33333333333326</v>
      </c>
      <c r="E1265">
        <f t="shared" si="147"/>
        <v>0</v>
      </c>
      <c r="G1265">
        <v>1215</v>
      </c>
      <c r="H1265" s="13">
        <f t="shared" si="152"/>
        <v>-1.0275684203264746E-2</v>
      </c>
      <c r="I1265">
        <f t="shared" si="153"/>
        <v>159.43445650496574</v>
      </c>
      <c r="J1265">
        <f t="shared" si="148"/>
        <v>699.12990332146455</v>
      </c>
      <c r="K1265" s="27">
        <f t="shared" si="149"/>
        <v>-5022.27329598915</v>
      </c>
    </row>
    <row r="1266" spans="1:11" x14ac:dyDescent="0.25">
      <c r="A1266" s="26">
        <v>1216</v>
      </c>
      <c r="B1266" s="82">
        <f t="shared" si="150"/>
        <v>0</v>
      </c>
      <c r="C1266" s="58">
        <f t="shared" si="154"/>
        <v>171.9194128119324</v>
      </c>
      <c r="D1266" s="83">
        <f t="shared" si="151"/>
        <v>733.33333333333326</v>
      </c>
      <c r="E1266">
        <f t="shared" si="147"/>
        <v>0</v>
      </c>
      <c r="G1266">
        <v>1216</v>
      </c>
      <c r="H1266" s="13">
        <f t="shared" si="152"/>
        <v>-1.0275684203264746E-2</v>
      </c>
      <c r="I1266">
        <f t="shared" si="153"/>
        <v>159.42418082076247</v>
      </c>
      <c r="J1266">
        <f t="shared" si="148"/>
        <v>699.08778565680961</v>
      </c>
      <c r="K1266" s="27">
        <f t="shared" si="149"/>
        <v>-5021.6678368561452</v>
      </c>
    </row>
    <row r="1267" spans="1:11" x14ac:dyDescent="0.25">
      <c r="A1267" s="26">
        <v>1217</v>
      </c>
      <c r="B1267" s="82">
        <f t="shared" si="150"/>
        <v>0</v>
      </c>
      <c r="C1267" s="58">
        <f t="shared" si="154"/>
        <v>171.9194128119324</v>
      </c>
      <c r="D1267" s="83">
        <f t="shared" si="151"/>
        <v>733.33333333333326</v>
      </c>
      <c r="E1267">
        <f t="shared" ref="E1267:E1330" si="155">((D1267^2)+(D1267*D1268)+(D1268^2))*B1268/3</f>
        <v>0</v>
      </c>
      <c r="G1267">
        <v>1217</v>
      </c>
      <c r="H1267" s="13">
        <f t="shared" si="152"/>
        <v>-1.0275684203264746E-2</v>
      </c>
      <c r="I1267">
        <f t="shared" si="153"/>
        <v>159.41390513655921</v>
      </c>
      <c r="J1267">
        <f t="shared" ref="J1267:J1330" si="156">IF($G$28&lt;$C$14,0,((($C$11^2)-((I1267-$C$13)^2))^0.5)+$C$16)</f>
        <v>699.04561985650696</v>
      </c>
      <c r="K1267" s="27">
        <f t="shared" ref="K1267:K1330" si="157">((J1267^2)+(J1267*J1268)+(J1268^2))*H1268/3</f>
        <v>-5021.061721587067</v>
      </c>
    </row>
    <row r="1268" spans="1:11" x14ac:dyDescent="0.25">
      <c r="A1268" s="26">
        <v>1218</v>
      </c>
      <c r="B1268" s="82">
        <f t="shared" ref="B1268:B1331" si="158">C1268-C1267</f>
        <v>0</v>
      </c>
      <c r="C1268" s="58">
        <f t="shared" si="154"/>
        <v>171.9194128119324</v>
      </c>
      <c r="D1268" s="83">
        <f t="shared" ref="D1268:D1331" si="159">IF($G$28&lt;$C$14,0,((($C$11^2)-((C1268-$C$13)^2))^0.5)+$C$16)</f>
        <v>733.33333333333326</v>
      </c>
      <c r="E1268">
        <f t="shared" si="155"/>
        <v>0</v>
      </c>
      <c r="G1268">
        <v>1218</v>
      </c>
      <c r="H1268" s="13">
        <f t="shared" ref="H1268:H1331" si="160">I1268-I1267</f>
        <v>-1.0275684203264746E-2</v>
      </c>
      <c r="I1268">
        <f t="shared" ref="I1268:I1331" si="161">($G$27-$C$14)/2000+I1267</f>
        <v>159.40362945235594</v>
      </c>
      <c r="J1268">
        <f t="shared" si="156"/>
        <v>699.00340576444103</v>
      </c>
      <c r="K1268" s="27">
        <f t="shared" si="157"/>
        <v>-5020.4549480585729</v>
      </c>
    </row>
    <row r="1269" spans="1:11" x14ac:dyDescent="0.25">
      <c r="A1269" s="26">
        <v>1219</v>
      </c>
      <c r="B1269" s="82">
        <f t="shared" si="158"/>
        <v>0</v>
      </c>
      <c r="C1269" s="58">
        <f t="shared" si="154"/>
        <v>171.9194128119324</v>
      </c>
      <c r="D1269" s="83">
        <f t="shared" si="159"/>
        <v>733.33333333333326</v>
      </c>
      <c r="E1269">
        <f t="shared" si="155"/>
        <v>0</v>
      </c>
      <c r="G1269">
        <v>1219</v>
      </c>
      <c r="H1269" s="13">
        <f t="shared" si="160"/>
        <v>-1.0275684203264746E-2</v>
      </c>
      <c r="I1269">
        <f t="shared" si="161"/>
        <v>159.39335376815268</v>
      </c>
      <c r="J1269">
        <f t="shared" si="156"/>
        <v>698.96114322364065</v>
      </c>
      <c r="K1269" s="27">
        <f t="shared" si="157"/>
        <v>-5019.8475141356748</v>
      </c>
    </row>
    <row r="1270" spans="1:11" x14ac:dyDescent="0.25">
      <c r="A1270" s="26">
        <v>1220</v>
      </c>
      <c r="B1270" s="82">
        <f t="shared" si="158"/>
        <v>0</v>
      </c>
      <c r="C1270" s="58">
        <f t="shared" si="154"/>
        <v>171.9194128119324</v>
      </c>
      <c r="D1270" s="83">
        <f t="shared" si="159"/>
        <v>733.33333333333326</v>
      </c>
      <c r="E1270">
        <f t="shared" si="155"/>
        <v>0</v>
      </c>
      <c r="G1270">
        <v>1220</v>
      </c>
      <c r="H1270" s="13">
        <f t="shared" si="160"/>
        <v>-1.0275684203264746E-2</v>
      </c>
      <c r="I1270">
        <f t="shared" si="161"/>
        <v>159.38307808394941</v>
      </c>
      <c r="J1270">
        <f t="shared" si="156"/>
        <v>698.91883207627222</v>
      </c>
      <c r="K1270" s="27">
        <f t="shared" si="157"/>
        <v>-5019.239417671638</v>
      </c>
    </row>
    <row r="1271" spans="1:11" x14ac:dyDescent="0.25">
      <c r="A1271" s="26">
        <v>1221</v>
      </c>
      <c r="B1271" s="82">
        <f t="shared" si="158"/>
        <v>0</v>
      </c>
      <c r="C1271" s="58">
        <f t="shared" si="154"/>
        <v>171.9194128119324</v>
      </c>
      <c r="D1271" s="83">
        <f t="shared" si="159"/>
        <v>733.33333333333326</v>
      </c>
      <c r="E1271">
        <f t="shared" si="155"/>
        <v>0</v>
      </c>
      <c r="G1271">
        <v>1221</v>
      </c>
      <c r="H1271" s="13">
        <f t="shared" si="160"/>
        <v>-1.0275684203264746E-2</v>
      </c>
      <c r="I1271">
        <f t="shared" si="161"/>
        <v>159.37280239974615</v>
      </c>
      <c r="J1271">
        <f t="shared" si="156"/>
        <v>698.87647216363314</v>
      </c>
      <c r="K1271" s="27">
        <f t="shared" si="157"/>
        <v>-5018.6306565078967</v>
      </c>
    </row>
    <row r="1272" spans="1:11" x14ac:dyDescent="0.25">
      <c r="A1272" s="26">
        <v>1222</v>
      </c>
      <c r="B1272" s="82">
        <f t="shared" si="158"/>
        <v>0</v>
      </c>
      <c r="C1272" s="58">
        <f t="shared" si="154"/>
        <v>171.9194128119324</v>
      </c>
      <c r="D1272" s="83">
        <f t="shared" si="159"/>
        <v>733.33333333333326</v>
      </c>
      <c r="E1272">
        <f t="shared" si="155"/>
        <v>0</v>
      </c>
      <c r="G1272">
        <v>1222</v>
      </c>
      <c r="H1272" s="13">
        <f t="shared" si="160"/>
        <v>-1.0275684203264746E-2</v>
      </c>
      <c r="I1272">
        <f t="shared" si="161"/>
        <v>159.36252671554288</v>
      </c>
      <c r="J1272">
        <f t="shared" si="156"/>
        <v>698.83406332614504</v>
      </c>
      <c r="K1272" s="27">
        <f t="shared" si="157"/>
        <v>-5018.0212284739573</v>
      </c>
    </row>
    <row r="1273" spans="1:11" x14ac:dyDescent="0.25">
      <c r="A1273" s="26">
        <v>1223</v>
      </c>
      <c r="B1273" s="82">
        <f t="shared" si="158"/>
        <v>0</v>
      </c>
      <c r="C1273" s="58">
        <f t="shared" si="154"/>
        <v>171.9194128119324</v>
      </c>
      <c r="D1273" s="83">
        <f t="shared" si="159"/>
        <v>733.33333333333326</v>
      </c>
      <c r="E1273">
        <f t="shared" si="155"/>
        <v>0</v>
      </c>
      <c r="G1273">
        <v>1223</v>
      </c>
      <c r="H1273" s="13">
        <f t="shared" si="160"/>
        <v>-1.0275684203264746E-2</v>
      </c>
      <c r="I1273">
        <f t="shared" si="161"/>
        <v>159.35225103133962</v>
      </c>
      <c r="J1273">
        <f t="shared" si="156"/>
        <v>698.79160540334681</v>
      </c>
      <c r="K1273" s="27">
        <f t="shared" si="157"/>
        <v>-5017.4111313873118</v>
      </c>
    </row>
    <row r="1274" spans="1:11" x14ac:dyDescent="0.25">
      <c r="A1274" s="26">
        <v>1224</v>
      </c>
      <c r="B1274" s="82">
        <f t="shared" si="158"/>
        <v>0</v>
      </c>
      <c r="C1274" s="58">
        <f t="shared" si="154"/>
        <v>171.9194128119324</v>
      </c>
      <c r="D1274" s="83">
        <f t="shared" si="159"/>
        <v>733.33333333333326</v>
      </c>
      <c r="E1274">
        <f t="shared" si="155"/>
        <v>0</v>
      </c>
      <c r="G1274">
        <v>1224</v>
      </c>
      <c r="H1274" s="13">
        <f t="shared" si="160"/>
        <v>-1.0275684203264746E-2</v>
      </c>
      <c r="I1274">
        <f t="shared" si="161"/>
        <v>159.34197534713635</v>
      </c>
      <c r="J1274">
        <f t="shared" si="156"/>
        <v>698.74909823388816</v>
      </c>
      <c r="K1274" s="27">
        <f t="shared" si="157"/>
        <v>-5016.8003630533403</v>
      </c>
    </row>
    <row r="1275" spans="1:11" x14ac:dyDescent="0.25">
      <c r="A1275" s="26">
        <v>1225</v>
      </c>
      <c r="B1275" s="82">
        <f t="shared" si="158"/>
        <v>0</v>
      </c>
      <c r="C1275" s="58">
        <f t="shared" si="154"/>
        <v>171.9194128119324</v>
      </c>
      <c r="D1275" s="83">
        <f t="shared" si="159"/>
        <v>733.33333333333326</v>
      </c>
      <c r="E1275">
        <f t="shared" si="155"/>
        <v>0</v>
      </c>
      <c r="G1275">
        <v>1225</v>
      </c>
      <c r="H1275" s="13">
        <f t="shared" si="160"/>
        <v>-1.0275684203264746E-2</v>
      </c>
      <c r="I1275">
        <f t="shared" si="161"/>
        <v>159.33169966293309</v>
      </c>
      <c r="J1275">
        <f t="shared" si="156"/>
        <v>698.70654165552253</v>
      </c>
      <c r="K1275" s="27">
        <f t="shared" si="157"/>
        <v>-5016.1889212652195</v>
      </c>
    </row>
    <row r="1276" spans="1:11" x14ac:dyDescent="0.25">
      <c r="A1276" s="26">
        <v>1226</v>
      </c>
      <c r="B1276" s="82">
        <f t="shared" si="158"/>
        <v>0</v>
      </c>
      <c r="C1276" s="58">
        <f t="shared" si="154"/>
        <v>171.9194128119324</v>
      </c>
      <c r="D1276" s="83">
        <f t="shared" si="159"/>
        <v>733.33333333333326</v>
      </c>
      <c r="E1276">
        <f t="shared" si="155"/>
        <v>0</v>
      </c>
      <c r="G1276">
        <v>1226</v>
      </c>
      <c r="H1276" s="13">
        <f t="shared" si="160"/>
        <v>-1.0275684203264746E-2</v>
      </c>
      <c r="I1276">
        <f t="shared" si="161"/>
        <v>159.32142397872983</v>
      </c>
      <c r="J1276">
        <f t="shared" si="156"/>
        <v>698.66393550509974</v>
      </c>
      <c r="K1276" s="27">
        <f t="shared" si="157"/>
        <v>-5015.5768038038223</v>
      </c>
    </row>
    <row r="1277" spans="1:11" x14ac:dyDescent="0.25">
      <c r="A1277" s="26">
        <v>1227</v>
      </c>
      <c r="B1277" s="82">
        <f t="shared" si="158"/>
        <v>0</v>
      </c>
      <c r="C1277" s="58">
        <f t="shared" si="154"/>
        <v>171.9194128119324</v>
      </c>
      <c r="D1277" s="83">
        <f t="shared" si="159"/>
        <v>733.33333333333326</v>
      </c>
      <c r="E1277">
        <f t="shared" si="155"/>
        <v>0</v>
      </c>
      <c r="G1277">
        <v>1227</v>
      </c>
      <c r="H1277" s="13">
        <f t="shared" si="160"/>
        <v>-1.0275684203264746E-2</v>
      </c>
      <c r="I1277">
        <f t="shared" si="161"/>
        <v>159.31114829452656</v>
      </c>
      <c r="J1277">
        <f t="shared" si="156"/>
        <v>698.62127961855936</v>
      </c>
      <c r="K1277" s="27">
        <f t="shared" si="157"/>
        <v>-5014.9640084376251</v>
      </c>
    </row>
    <row r="1278" spans="1:11" x14ac:dyDescent="0.25">
      <c r="A1278" s="26">
        <v>1228</v>
      </c>
      <c r="B1278" s="82">
        <f t="shared" si="158"/>
        <v>0</v>
      </c>
      <c r="C1278" s="58">
        <f t="shared" si="154"/>
        <v>171.9194128119324</v>
      </c>
      <c r="D1278" s="83">
        <f t="shared" si="159"/>
        <v>733.33333333333326</v>
      </c>
      <c r="E1278">
        <f t="shared" si="155"/>
        <v>0</v>
      </c>
      <c r="G1278">
        <v>1228</v>
      </c>
      <c r="H1278" s="13">
        <f t="shared" si="160"/>
        <v>-1.0275684203264746E-2</v>
      </c>
      <c r="I1278">
        <f t="shared" si="161"/>
        <v>159.3008726103233</v>
      </c>
      <c r="J1278">
        <f t="shared" si="156"/>
        <v>698.57857383092346</v>
      </c>
      <c r="K1278" s="27">
        <f t="shared" si="157"/>
        <v>-5014.3505329226127</v>
      </c>
    </row>
    <row r="1279" spans="1:11" x14ac:dyDescent="0.25">
      <c r="A1279" s="26">
        <v>1229</v>
      </c>
      <c r="B1279" s="82">
        <f t="shared" si="158"/>
        <v>0</v>
      </c>
      <c r="C1279" s="58">
        <f t="shared" si="154"/>
        <v>171.9194128119324</v>
      </c>
      <c r="D1279" s="83">
        <f t="shared" si="159"/>
        <v>733.33333333333326</v>
      </c>
      <c r="E1279">
        <f t="shared" si="155"/>
        <v>0</v>
      </c>
      <c r="G1279">
        <v>1229</v>
      </c>
      <c r="H1279" s="13">
        <f t="shared" si="160"/>
        <v>-1.0275684203264746E-2</v>
      </c>
      <c r="I1279">
        <f t="shared" si="161"/>
        <v>159.29059692612003</v>
      </c>
      <c r="J1279">
        <f t="shared" si="156"/>
        <v>698.53581797628942</v>
      </c>
      <c r="K1279" s="27">
        <f t="shared" si="157"/>
        <v>-5013.7363750021741</v>
      </c>
    </row>
    <row r="1280" spans="1:11" x14ac:dyDescent="0.25">
      <c r="A1280" s="26">
        <v>1230</v>
      </c>
      <c r="B1280" s="82">
        <f t="shared" si="158"/>
        <v>0</v>
      </c>
      <c r="C1280" s="58">
        <f t="shared" si="154"/>
        <v>171.9194128119324</v>
      </c>
      <c r="D1280" s="83">
        <f t="shared" si="159"/>
        <v>733.33333333333326</v>
      </c>
      <c r="E1280">
        <f t="shared" si="155"/>
        <v>0</v>
      </c>
      <c r="G1280">
        <v>1230</v>
      </c>
      <c r="H1280" s="13">
        <f t="shared" si="160"/>
        <v>-1.0275684203264746E-2</v>
      </c>
      <c r="I1280">
        <f t="shared" si="161"/>
        <v>159.28032124191677</v>
      </c>
      <c r="J1280">
        <f t="shared" si="156"/>
        <v>698.49301188782238</v>
      </c>
      <c r="K1280" s="27">
        <f t="shared" si="157"/>
        <v>-5013.1215324070081</v>
      </c>
    </row>
    <row r="1281" spans="1:11" x14ac:dyDescent="0.25">
      <c r="A1281" s="26">
        <v>1231</v>
      </c>
      <c r="B1281" s="82">
        <f t="shared" si="158"/>
        <v>0</v>
      </c>
      <c r="C1281" s="58">
        <f t="shared" si="154"/>
        <v>171.9194128119324</v>
      </c>
      <c r="D1281" s="83">
        <f t="shared" si="159"/>
        <v>733.33333333333326</v>
      </c>
      <c r="E1281">
        <f t="shared" si="155"/>
        <v>0</v>
      </c>
      <c r="G1281">
        <v>1231</v>
      </c>
      <c r="H1281" s="13">
        <f t="shared" si="160"/>
        <v>-1.0275684203264746E-2</v>
      </c>
      <c r="I1281">
        <f t="shared" si="161"/>
        <v>159.2700455577135</v>
      </c>
      <c r="J1281">
        <f t="shared" si="156"/>
        <v>698.45015539774818</v>
      </c>
      <c r="K1281" s="27">
        <f t="shared" si="157"/>
        <v>-5012.5060028550215</v>
      </c>
    </row>
    <row r="1282" spans="1:11" x14ac:dyDescent="0.25">
      <c r="A1282" s="26">
        <v>1232</v>
      </c>
      <c r="B1282" s="82">
        <f t="shared" si="158"/>
        <v>0</v>
      </c>
      <c r="C1282" s="58">
        <f t="shared" si="154"/>
        <v>171.9194128119324</v>
      </c>
      <c r="D1282" s="83">
        <f t="shared" si="159"/>
        <v>733.33333333333326</v>
      </c>
      <c r="E1282">
        <f t="shared" si="155"/>
        <v>0</v>
      </c>
      <c r="G1282">
        <v>1232</v>
      </c>
      <c r="H1282" s="13">
        <f t="shared" si="160"/>
        <v>-1.0275684203264746E-2</v>
      </c>
      <c r="I1282">
        <f t="shared" si="161"/>
        <v>159.25976987351024</v>
      </c>
      <c r="J1282">
        <f t="shared" si="156"/>
        <v>698.40724833734589</v>
      </c>
      <c r="K1282" s="27">
        <f t="shared" si="157"/>
        <v>-5011.8897840512273</v>
      </c>
    </row>
    <row r="1283" spans="1:11" x14ac:dyDescent="0.25">
      <c r="A1283" s="26">
        <v>1233</v>
      </c>
      <c r="B1283" s="82">
        <f t="shared" si="158"/>
        <v>0</v>
      </c>
      <c r="C1283" s="58">
        <f t="shared" si="154"/>
        <v>171.9194128119324</v>
      </c>
      <c r="D1283" s="83">
        <f t="shared" si="159"/>
        <v>733.33333333333326</v>
      </c>
      <c r="E1283">
        <f t="shared" si="155"/>
        <v>0</v>
      </c>
      <c r="G1283">
        <v>1233</v>
      </c>
      <c r="H1283" s="13">
        <f t="shared" si="160"/>
        <v>-1.0275684203264746E-2</v>
      </c>
      <c r="I1283">
        <f t="shared" si="161"/>
        <v>159.24949418930697</v>
      </c>
      <c r="J1283">
        <f t="shared" si="156"/>
        <v>698.3642905369403</v>
      </c>
      <c r="K1283" s="27">
        <f t="shared" si="157"/>
        <v>-5011.2728736876415</v>
      </c>
    </row>
    <row r="1284" spans="1:11" x14ac:dyDescent="0.25">
      <c r="A1284" s="26">
        <v>1234</v>
      </c>
      <c r="B1284" s="82">
        <f t="shared" si="158"/>
        <v>0</v>
      </c>
      <c r="C1284" s="58">
        <f t="shared" si="154"/>
        <v>171.9194128119324</v>
      </c>
      <c r="D1284" s="83">
        <f t="shared" si="159"/>
        <v>733.33333333333326</v>
      </c>
      <c r="E1284">
        <f t="shared" si="155"/>
        <v>0</v>
      </c>
      <c r="G1284">
        <v>1234</v>
      </c>
      <c r="H1284" s="13">
        <f t="shared" si="160"/>
        <v>-1.0275684203264746E-2</v>
      </c>
      <c r="I1284">
        <f t="shared" si="161"/>
        <v>159.23921850510371</v>
      </c>
      <c r="J1284">
        <f t="shared" si="156"/>
        <v>698.32128182589418</v>
      </c>
      <c r="K1284" s="27">
        <f t="shared" si="157"/>
        <v>-5010.6552694431821</v>
      </c>
    </row>
    <row r="1285" spans="1:11" x14ac:dyDescent="0.25">
      <c r="A1285" s="26">
        <v>1235</v>
      </c>
      <c r="B1285" s="82">
        <f t="shared" si="158"/>
        <v>0</v>
      </c>
      <c r="C1285" s="58">
        <f t="shared" si="154"/>
        <v>171.9194128119324</v>
      </c>
      <c r="D1285" s="83">
        <f t="shared" si="159"/>
        <v>733.33333333333326</v>
      </c>
      <c r="E1285">
        <f t="shared" si="155"/>
        <v>0</v>
      </c>
      <c r="G1285">
        <v>1235</v>
      </c>
      <c r="H1285" s="13">
        <f t="shared" si="160"/>
        <v>-1.0275684203264746E-2</v>
      </c>
      <c r="I1285">
        <f t="shared" si="161"/>
        <v>159.22894282090044</v>
      </c>
      <c r="J1285">
        <f t="shared" si="156"/>
        <v>698.27822203260052</v>
      </c>
      <c r="K1285" s="27">
        <f t="shared" si="157"/>
        <v>-5010.0369689835616</v>
      </c>
    </row>
    <row r="1286" spans="1:11" x14ac:dyDescent="0.25">
      <c r="A1286" s="26">
        <v>1236</v>
      </c>
      <c r="B1286" s="82">
        <f t="shared" si="158"/>
        <v>0</v>
      </c>
      <c r="C1286" s="58">
        <f t="shared" si="154"/>
        <v>171.9194128119324</v>
      </c>
      <c r="D1286" s="83">
        <f t="shared" si="159"/>
        <v>733.33333333333326</v>
      </c>
      <c r="E1286">
        <f t="shared" si="155"/>
        <v>0</v>
      </c>
      <c r="G1286">
        <v>1236</v>
      </c>
      <c r="H1286" s="13">
        <f t="shared" si="160"/>
        <v>-1.0275684203264746E-2</v>
      </c>
      <c r="I1286">
        <f t="shared" si="161"/>
        <v>159.21866713669718</v>
      </c>
      <c r="J1286">
        <f t="shared" si="156"/>
        <v>698.23511098447545</v>
      </c>
      <c r="K1286" s="27">
        <f t="shared" si="157"/>
        <v>-5009.4179699611859</v>
      </c>
    </row>
    <row r="1287" spans="1:11" x14ac:dyDescent="0.25">
      <c r="A1287" s="26">
        <v>1237</v>
      </c>
      <c r="B1287" s="82">
        <f t="shared" si="158"/>
        <v>0</v>
      </c>
      <c r="C1287" s="58">
        <f t="shared" si="154"/>
        <v>171.9194128119324</v>
      </c>
      <c r="D1287" s="83">
        <f t="shared" si="159"/>
        <v>733.33333333333326</v>
      </c>
      <c r="E1287">
        <f t="shared" si="155"/>
        <v>0</v>
      </c>
      <c r="G1287">
        <v>1237</v>
      </c>
      <c r="H1287" s="13">
        <f t="shared" si="160"/>
        <v>-1.0275684203264746E-2</v>
      </c>
      <c r="I1287">
        <f t="shared" si="161"/>
        <v>159.20839145249391</v>
      </c>
      <c r="J1287">
        <f t="shared" si="156"/>
        <v>698.19194850794963</v>
      </c>
      <c r="K1287" s="27">
        <f t="shared" si="157"/>
        <v>-5008.7982700150433</v>
      </c>
    </row>
    <row r="1288" spans="1:11" x14ac:dyDescent="0.25">
      <c r="A1288" s="26">
        <v>1238</v>
      </c>
      <c r="B1288" s="82">
        <f t="shared" si="158"/>
        <v>0</v>
      </c>
      <c r="C1288" s="58">
        <f t="shared" si="154"/>
        <v>171.9194128119324</v>
      </c>
      <c r="D1288" s="83">
        <f t="shared" si="159"/>
        <v>733.33333333333326</v>
      </c>
      <c r="E1288">
        <f t="shared" si="155"/>
        <v>0</v>
      </c>
      <c r="G1288">
        <v>1238</v>
      </c>
      <c r="H1288" s="13">
        <f t="shared" si="160"/>
        <v>-1.0275684203264746E-2</v>
      </c>
      <c r="I1288">
        <f t="shared" si="161"/>
        <v>159.19811576829065</v>
      </c>
      <c r="J1288">
        <f t="shared" si="156"/>
        <v>698.14873442846078</v>
      </c>
      <c r="K1288" s="27">
        <f t="shared" si="157"/>
        <v>-5008.1778667705976</v>
      </c>
    </row>
    <row r="1289" spans="1:11" x14ac:dyDescent="0.25">
      <c r="A1289" s="26">
        <v>1239</v>
      </c>
      <c r="B1289" s="82">
        <f t="shared" si="158"/>
        <v>0</v>
      </c>
      <c r="C1289" s="58">
        <f t="shared" si="154"/>
        <v>171.9194128119324</v>
      </c>
      <c r="D1289" s="83">
        <f t="shared" si="159"/>
        <v>733.33333333333326</v>
      </c>
      <c r="E1289">
        <f t="shared" si="155"/>
        <v>0</v>
      </c>
      <c r="G1289">
        <v>1239</v>
      </c>
      <c r="H1289" s="13">
        <f t="shared" si="160"/>
        <v>-1.0275684203264746E-2</v>
      </c>
      <c r="I1289">
        <f t="shared" si="161"/>
        <v>159.18784008408738</v>
      </c>
      <c r="J1289">
        <f t="shared" si="156"/>
        <v>698.1054685704454</v>
      </c>
      <c r="K1289" s="27">
        <f t="shared" si="157"/>
        <v>-5007.5567578396794</v>
      </c>
    </row>
    <row r="1290" spans="1:11" x14ac:dyDescent="0.25">
      <c r="A1290" s="26">
        <v>1240</v>
      </c>
      <c r="B1290" s="82">
        <f t="shared" si="158"/>
        <v>0</v>
      </c>
      <c r="C1290" s="58">
        <f t="shared" si="154"/>
        <v>171.9194128119324</v>
      </c>
      <c r="D1290" s="83">
        <f t="shared" si="159"/>
        <v>733.33333333333326</v>
      </c>
      <c r="E1290">
        <f t="shared" si="155"/>
        <v>0</v>
      </c>
      <c r="G1290">
        <v>1240</v>
      </c>
      <c r="H1290" s="13">
        <f t="shared" si="160"/>
        <v>-1.0275684203264746E-2</v>
      </c>
      <c r="I1290">
        <f t="shared" si="161"/>
        <v>159.17756439988412</v>
      </c>
      <c r="J1290">
        <f t="shared" si="156"/>
        <v>698.06215075733121</v>
      </c>
      <c r="K1290" s="27">
        <f t="shared" si="157"/>
        <v>-5006.9349408203807</v>
      </c>
    </row>
    <row r="1291" spans="1:11" x14ac:dyDescent="0.25">
      <c r="A1291" s="26">
        <v>1241</v>
      </c>
      <c r="B1291" s="82">
        <f t="shared" si="158"/>
        <v>0</v>
      </c>
      <c r="C1291" s="58">
        <f t="shared" si="154"/>
        <v>171.9194128119324</v>
      </c>
      <c r="D1291" s="83">
        <f t="shared" si="159"/>
        <v>733.33333333333326</v>
      </c>
      <c r="E1291">
        <f t="shared" si="155"/>
        <v>0</v>
      </c>
      <c r="G1291">
        <v>1241</v>
      </c>
      <c r="H1291" s="13">
        <f t="shared" si="160"/>
        <v>-1.0275684203264746E-2</v>
      </c>
      <c r="I1291">
        <f t="shared" si="161"/>
        <v>159.16728871568085</v>
      </c>
      <c r="J1291">
        <f t="shared" si="156"/>
        <v>698.01878081152847</v>
      </c>
      <c r="K1291" s="27">
        <f t="shared" si="157"/>
        <v>-5006.3124132969342</v>
      </c>
    </row>
    <row r="1292" spans="1:11" x14ac:dyDescent="0.25">
      <c r="A1292" s="26">
        <v>1242</v>
      </c>
      <c r="B1292" s="82">
        <f t="shared" si="158"/>
        <v>0</v>
      </c>
      <c r="C1292" s="58">
        <f t="shared" si="154"/>
        <v>171.9194128119324</v>
      </c>
      <c r="D1292" s="83">
        <f t="shared" si="159"/>
        <v>733.33333333333326</v>
      </c>
      <c r="E1292">
        <f t="shared" si="155"/>
        <v>0</v>
      </c>
      <c r="G1292">
        <v>1242</v>
      </c>
      <c r="H1292" s="13">
        <f t="shared" si="160"/>
        <v>-1.0275684203264746E-2</v>
      </c>
      <c r="I1292">
        <f t="shared" si="161"/>
        <v>159.15701303147759</v>
      </c>
      <c r="J1292">
        <f t="shared" si="156"/>
        <v>697.97535855442186</v>
      </c>
      <c r="K1292" s="27">
        <f t="shared" si="157"/>
        <v>-5005.6891728396113</v>
      </c>
    </row>
    <row r="1293" spans="1:11" x14ac:dyDescent="0.25">
      <c r="A1293" s="26">
        <v>1243</v>
      </c>
      <c r="B1293" s="82">
        <f t="shared" si="158"/>
        <v>0</v>
      </c>
      <c r="C1293" s="58">
        <f t="shared" si="154"/>
        <v>171.9194128119324</v>
      </c>
      <c r="D1293" s="83">
        <f t="shared" si="159"/>
        <v>733.33333333333326</v>
      </c>
      <c r="E1293">
        <f t="shared" si="155"/>
        <v>0</v>
      </c>
      <c r="G1293">
        <v>1243</v>
      </c>
      <c r="H1293" s="13">
        <f t="shared" si="160"/>
        <v>-1.0275684203264746E-2</v>
      </c>
      <c r="I1293">
        <f t="shared" si="161"/>
        <v>159.14673734727432</v>
      </c>
      <c r="J1293">
        <f t="shared" si="156"/>
        <v>697.93188380636263</v>
      </c>
      <c r="K1293" s="27">
        <f t="shared" si="157"/>
        <v>-5005.0652170046005</v>
      </c>
    </row>
    <row r="1294" spans="1:11" x14ac:dyDescent="0.25">
      <c r="A1294" s="26">
        <v>1244</v>
      </c>
      <c r="B1294" s="82">
        <f t="shared" si="158"/>
        <v>0</v>
      </c>
      <c r="C1294" s="58">
        <f t="shared" si="154"/>
        <v>171.9194128119324</v>
      </c>
      <c r="D1294" s="83">
        <f t="shared" si="159"/>
        <v>733.33333333333326</v>
      </c>
      <c r="E1294">
        <f t="shared" si="155"/>
        <v>0</v>
      </c>
      <c r="G1294">
        <v>1244</v>
      </c>
      <c r="H1294" s="13">
        <f t="shared" si="160"/>
        <v>-1.0275684203264746E-2</v>
      </c>
      <c r="I1294">
        <f t="shared" si="161"/>
        <v>159.13646166307106</v>
      </c>
      <c r="J1294">
        <f t="shared" si="156"/>
        <v>697.88835638665944</v>
      </c>
      <c r="K1294" s="27">
        <f t="shared" si="157"/>
        <v>-5004.4405433338989</v>
      </c>
    </row>
    <row r="1295" spans="1:11" x14ac:dyDescent="0.25">
      <c r="A1295" s="26">
        <v>1245</v>
      </c>
      <c r="B1295" s="82">
        <f t="shared" si="158"/>
        <v>0</v>
      </c>
      <c r="C1295" s="58">
        <f t="shared" si="154"/>
        <v>171.9194128119324</v>
      </c>
      <c r="D1295" s="83">
        <f t="shared" si="159"/>
        <v>733.33333333333326</v>
      </c>
      <c r="E1295">
        <f t="shared" si="155"/>
        <v>0</v>
      </c>
      <c r="G1295">
        <v>1245</v>
      </c>
      <c r="H1295" s="13">
        <f t="shared" si="160"/>
        <v>-1.0275684203264746E-2</v>
      </c>
      <c r="I1295">
        <f t="shared" si="161"/>
        <v>159.1261859788678</v>
      </c>
      <c r="J1295">
        <f t="shared" si="156"/>
        <v>697.84477611357033</v>
      </c>
      <c r="K1295" s="27">
        <f t="shared" si="157"/>
        <v>-5003.8151493551932</v>
      </c>
    </row>
    <row r="1296" spans="1:11" x14ac:dyDescent="0.25">
      <c r="A1296" s="26">
        <v>1246</v>
      </c>
      <c r="B1296" s="82">
        <f t="shared" si="158"/>
        <v>0</v>
      </c>
      <c r="C1296" s="58">
        <f t="shared" ref="C1296:C1359" si="162">($C$37-$C$36)/2000+C1295</f>
        <v>171.9194128119324</v>
      </c>
      <c r="D1296" s="83">
        <f t="shared" si="159"/>
        <v>733.33333333333326</v>
      </c>
      <c r="E1296">
        <f t="shared" si="155"/>
        <v>0</v>
      </c>
      <c r="G1296">
        <v>1246</v>
      </c>
      <c r="H1296" s="13">
        <f t="shared" si="160"/>
        <v>-1.0275684203264746E-2</v>
      </c>
      <c r="I1296">
        <f t="shared" si="161"/>
        <v>159.11591029466453</v>
      </c>
      <c r="J1296">
        <f t="shared" si="156"/>
        <v>697.80114280429416</v>
      </c>
      <c r="K1296" s="27">
        <f t="shared" si="157"/>
        <v>-5003.1890325817385</v>
      </c>
    </row>
    <row r="1297" spans="1:11" x14ac:dyDescent="0.25">
      <c r="A1297" s="26">
        <v>1247</v>
      </c>
      <c r="B1297" s="82">
        <f t="shared" si="158"/>
        <v>0</v>
      </c>
      <c r="C1297" s="58">
        <f t="shared" si="162"/>
        <v>171.9194128119324</v>
      </c>
      <c r="D1297" s="83">
        <f t="shared" si="159"/>
        <v>733.33333333333326</v>
      </c>
      <c r="E1297">
        <f t="shared" si="155"/>
        <v>0</v>
      </c>
      <c r="G1297">
        <v>1247</v>
      </c>
      <c r="H1297" s="13">
        <f t="shared" si="160"/>
        <v>-1.0275684203264746E-2</v>
      </c>
      <c r="I1297">
        <f t="shared" si="161"/>
        <v>159.10563461046127</v>
      </c>
      <c r="J1297">
        <f t="shared" si="156"/>
        <v>697.75745627496167</v>
      </c>
      <c r="K1297" s="27">
        <f t="shared" si="157"/>
        <v>-5002.5621905122507</v>
      </c>
    </row>
    <row r="1298" spans="1:11" x14ac:dyDescent="0.25">
      <c r="A1298" s="26">
        <v>1248</v>
      </c>
      <c r="B1298" s="82">
        <f t="shared" si="158"/>
        <v>0</v>
      </c>
      <c r="C1298" s="58">
        <f t="shared" si="162"/>
        <v>171.9194128119324</v>
      </c>
      <c r="D1298" s="83">
        <f t="shared" si="159"/>
        <v>733.33333333333326</v>
      </c>
      <c r="E1298">
        <f t="shared" si="155"/>
        <v>0</v>
      </c>
      <c r="G1298">
        <v>1248</v>
      </c>
      <c r="H1298" s="13">
        <f t="shared" si="160"/>
        <v>-1.0275684203264746E-2</v>
      </c>
      <c r="I1298">
        <f t="shared" si="161"/>
        <v>159.095358926258</v>
      </c>
      <c r="J1298">
        <f t="shared" si="156"/>
        <v>697.713716340627</v>
      </c>
      <c r="K1298" s="27">
        <f t="shared" si="157"/>
        <v>-5001.9346206307791</v>
      </c>
    </row>
    <row r="1299" spans="1:11" x14ac:dyDescent="0.25">
      <c r="A1299" s="26">
        <v>1249</v>
      </c>
      <c r="B1299" s="82">
        <f t="shared" si="158"/>
        <v>0</v>
      </c>
      <c r="C1299" s="58">
        <f t="shared" si="162"/>
        <v>171.9194128119324</v>
      </c>
      <c r="D1299" s="83">
        <f t="shared" si="159"/>
        <v>733.33333333333326</v>
      </c>
      <c r="E1299">
        <f t="shared" si="155"/>
        <v>0</v>
      </c>
      <c r="G1299">
        <v>1249</v>
      </c>
      <c r="H1299" s="13">
        <f t="shared" si="160"/>
        <v>-1.0275684203264746E-2</v>
      </c>
      <c r="I1299">
        <f t="shared" si="161"/>
        <v>159.08508324205474</v>
      </c>
      <c r="J1299">
        <f t="shared" si="156"/>
        <v>697.66992281525847</v>
      </c>
      <c r="K1299" s="27">
        <f t="shared" si="157"/>
        <v>-5001.3063204065838</v>
      </c>
    </row>
    <row r="1300" spans="1:11" x14ac:dyDescent="0.25">
      <c r="A1300" s="26">
        <v>1250</v>
      </c>
      <c r="B1300" s="82">
        <f t="shared" si="158"/>
        <v>0</v>
      </c>
      <c r="C1300" s="58">
        <f t="shared" si="162"/>
        <v>171.9194128119324</v>
      </c>
      <c r="D1300" s="83">
        <f t="shared" si="159"/>
        <v>733.33333333333326</v>
      </c>
      <c r="E1300">
        <f t="shared" si="155"/>
        <v>0</v>
      </c>
      <c r="G1300">
        <v>1250</v>
      </c>
      <c r="H1300" s="13">
        <f t="shared" si="160"/>
        <v>-1.0275684203264746E-2</v>
      </c>
      <c r="I1300">
        <f t="shared" si="161"/>
        <v>159.07480755785147</v>
      </c>
      <c r="J1300">
        <f t="shared" si="156"/>
        <v>697.62607551173016</v>
      </c>
      <c r="K1300" s="27">
        <f t="shared" si="157"/>
        <v>-5000.6772872940228</v>
      </c>
    </row>
    <row r="1301" spans="1:11" x14ac:dyDescent="0.25">
      <c r="A1301" s="26">
        <v>1251</v>
      </c>
      <c r="B1301" s="82">
        <f t="shared" si="158"/>
        <v>0</v>
      </c>
      <c r="C1301" s="58">
        <f t="shared" si="162"/>
        <v>171.9194128119324</v>
      </c>
      <c r="D1301" s="83">
        <f t="shared" si="159"/>
        <v>733.33333333333326</v>
      </c>
      <c r="E1301">
        <f t="shared" si="155"/>
        <v>0</v>
      </c>
      <c r="G1301">
        <v>1251</v>
      </c>
      <c r="H1301" s="13">
        <f t="shared" si="160"/>
        <v>-1.0275684203264746E-2</v>
      </c>
      <c r="I1301">
        <f t="shared" si="161"/>
        <v>159.06453187364821</v>
      </c>
      <c r="J1301">
        <f t="shared" si="156"/>
        <v>697.58217424181225</v>
      </c>
      <c r="K1301" s="27">
        <f t="shared" si="157"/>
        <v>-5000.0475187324173</v>
      </c>
    </row>
    <row r="1302" spans="1:11" x14ac:dyDescent="0.25">
      <c r="A1302" s="26">
        <v>1252</v>
      </c>
      <c r="B1302" s="82">
        <f t="shared" si="158"/>
        <v>0</v>
      </c>
      <c r="C1302" s="58">
        <f t="shared" si="162"/>
        <v>171.9194128119324</v>
      </c>
      <c r="D1302" s="83">
        <f t="shared" si="159"/>
        <v>733.33333333333326</v>
      </c>
      <c r="E1302">
        <f t="shared" si="155"/>
        <v>0</v>
      </c>
      <c r="G1302">
        <v>1252</v>
      </c>
      <c r="H1302" s="13">
        <f t="shared" si="160"/>
        <v>-1.0275684203264746E-2</v>
      </c>
      <c r="I1302">
        <f t="shared" si="161"/>
        <v>159.05425618944494</v>
      </c>
      <c r="J1302">
        <f t="shared" si="156"/>
        <v>697.53821881616238</v>
      </c>
      <c r="K1302" s="27">
        <f t="shared" si="157"/>
        <v>-4999.4170121459365</v>
      </c>
    </row>
    <row r="1303" spans="1:11" x14ac:dyDescent="0.25">
      <c r="A1303" s="26">
        <v>1253</v>
      </c>
      <c r="B1303" s="82">
        <f t="shared" si="158"/>
        <v>0</v>
      </c>
      <c r="C1303" s="58">
        <f t="shared" si="162"/>
        <v>171.9194128119324</v>
      </c>
      <c r="D1303" s="83">
        <f t="shared" si="159"/>
        <v>733.33333333333326</v>
      </c>
      <c r="E1303">
        <f t="shared" si="155"/>
        <v>0</v>
      </c>
      <c r="G1303">
        <v>1253</v>
      </c>
      <c r="H1303" s="13">
        <f t="shared" si="160"/>
        <v>-1.0275684203264746E-2</v>
      </c>
      <c r="I1303">
        <f t="shared" si="161"/>
        <v>159.04398050524168</v>
      </c>
      <c r="J1303">
        <f t="shared" si="156"/>
        <v>697.49420904431588</v>
      </c>
      <c r="K1303" s="27">
        <f t="shared" si="157"/>
        <v>-4998.7857649434618</v>
      </c>
    </row>
    <row r="1304" spans="1:11" x14ac:dyDescent="0.25">
      <c r="A1304" s="26">
        <v>1254</v>
      </c>
      <c r="B1304" s="82">
        <f t="shared" si="158"/>
        <v>0</v>
      </c>
      <c r="C1304" s="58">
        <f t="shared" si="162"/>
        <v>171.9194128119324</v>
      </c>
      <c r="D1304" s="83">
        <f t="shared" si="159"/>
        <v>733.33333333333326</v>
      </c>
      <c r="E1304">
        <f t="shared" si="155"/>
        <v>0</v>
      </c>
      <c r="G1304">
        <v>1254</v>
      </c>
      <c r="H1304" s="13">
        <f t="shared" si="160"/>
        <v>-1.0275684203264746E-2</v>
      </c>
      <c r="I1304">
        <f t="shared" si="161"/>
        <v>159.03370482103841</v>
      </c>
      <c r="J1304">
        <f t="shared" si="156"/>
        <v>697.45014473467711</v>
      </c>
      <c r="K1304" s="27">
        <f t="shared" si="157"/>
        <v>-4998.1537745184733</v>
      </c>
    </row>
    <row r="1305" spans="1:11" x14ac:dyDescent="0.25">
      <c r="A1305" s="26">
        <v>1255</v>
      </c>
      <c r="B1305" s="82">
        <f t="shared" si="158"/>
        <v>0</v>
      </c>
      <c r="C1305" s="58">
        <f t="shared" si="162"/>
        <v>171.9194128119324</v>
      </c>
      <c r="D1305" s="83">
        <f t="shared" si="159"/>
        <v>733.33333333333326</v>
      </c>
      <c r="E1305">
        <f t="shared" si="155"/>
        <v>0</v>
      </c>
      <c r="G1305">
        <v>1255</v>
      </c>
      <c r="H1305" s="13">
        <f t="shared" si="160"/>
        <v>-1.0275684203264746E-2</v>
      </c>
      <c r="I1305">
        <f t="shared" si="161"/>
        <v>159.02342913683515</v>
      </c>
      <c r="J1305">
        <f t="shared" si="156"/>
        <v>697.40602569450925</v>
      </c>
      <c r="K1305" s="27">
        <f t="shared" si="157"/>
        <v>-4997.5210382489058</v>
      </c>
    </row>
    <row r="1306" spans="1:11" x14ac:dyDescent="0.25">
      <c r="A1306" s="26">
        <v>1256</v>
      </c>
      <c r="B1306" s="82">
        <f t="shared" si="158"/>
        <v>0</v>
      </c>
      <c r="C1306" s="58">
        <f t="shared" si="162"/>
        <v>171.9194128119324</v>
      </c>
      <c r="D1306" s="83">
        <f t="shared" si="159"/>
        <v>733.33333333333326</v>
      </c>
      <c r="E1306">
        <f t="shared" si="155"/>
        <v>0</v>
      </c>
      <c r="G1306">
        <v>1256</v>
      </c>
      <c r="H1306" s="13">
        <f t="shared" si="160"/>
        <v>-1.0275684203264746E-2</v>
      </c>
      <c r="I1306">
        <f t="shared" si="161"/>
        <v>159.01315345263188</v>
      </c>
      <c r="J1306">
        <f t="shared" si="156"/>
        <v>697.36185172992566</v>
      </c>
      <c r="K1306" s="27">
        <f t="shared" si="157"/>
        <v>-4996.8875534970311</v>
      </c>
    </row>
    <row r="1307" spans="1:11" x14ac:dyDescent="0.25">
      <c r="A1307" s="26">
        <v>1257</v>
      </c>
      <c r="B1307" s="82">
        <f t="shared" si="158"/>
        <v>0</v>
      </c>
      <c r="C1307" s="58">
        <f t="shared" si="162"/>
        <v>171.9194128119324</v>
      </c>
      <c r="D1307" s="83">
        <f t="shared" si="159"/>
        <v>733.33333333333326</v>
      </c>
      <c r="E1307">
        <f t="shared" si="155"/>
        <v>0</v>
      </c>
      <c r="G1307">
        <v>1257</v>
      </c>
      <c r="H1307" s="13">
        <f t="shared" si="160"/>
        <v>-1.0275684203264746E-2</v>
      </c>
      <c r="I1307">
        <f t="shared" si="161"/>
        <v>159.00287776842862</v>
      </c>
      <c r="J1307">
        <f t="shared" si="156"/>
        <v>697.31762264587917</v>
      </c>
      <c r="K1307" s="27">
        <f t="shared" si="157"/>
        <v>-4996.2533176093157</v>
      </c>
    </row>
    <row r="1308" spans="1:11" x14ac:dyDescent="0.25">
      <c r="A1308" s="26">
        <v>1258</v>
      </c>
      <c r="B1308" s="82">
        <f t="shared" si="158"/>
        <v>0</v>
      </c>
      <c r="C1308" s="58">
        <f t="shared" si="162"/>
        <v>171.9194128119324</v>
      </c>
      <c r="D1308" s="83">
        <f t="shared" si="159"/>
        <v>733.33333333333326</v>
      </c>
      <c r="E1308">
        <f t="shared" si="155"/>
        <v>0</v>
      </c>
      <c r="G1308">
        <v>1258</v>
      </c>
      <c r="H1308" s="13">
        <f t="shared" si="160"/>
        <v>-1.0275684203264746E-2</v>
      </c>
      <c r="I1308">
        <f t="shared" si="161"/>
        <v>158.99260208422535</v>
      </c>
      <c r="J1308">
        <f t="shared" si="156"/>
        <v>697.27333824615323</v>
      </c>
      <c r="K1308" s="27">
        <f t="shared" si="157"/>
        <v>-4995.6183279162951</v>
      </c>
    </row>
    <row r="1309" spans="1:11" x14ac:dyDescent="0.25">
      <c r="A1309" s="26">
        <v>1259</v>
      </c>
      <c r="B1309" s="82">
        <f t="shared" si="158"/>
        <v>0</v>
      </c>
      <c r="C1309" s="58">
        <f t="shared" si="162"/>
        <v>171.9194128119324</v>
      </c>
      <c r="D1309" s="83">
        <f t="shared" si="159"/>
        <v>733.33333333333326</v>
      </c>
      <c r="E1309">
        <f t="shared" si="155"/>
        <v>0</v>
      </c>
      <c r="G1309">
        <v>1259</v>
      </c>
      <c r="H1309" s="13">
        <f t="shared" si="160"/>
        <v>-1.0275684203264746E-2</v>
      </c>
      <c r="I1309">
        <f t="shared" si="161"/>
        <v>158.98232640002209</v>
      </c>
      <c r="J1309">
        <f t="shared" si="156"/>
        <v>697.22899833335157</v>
      </c>
      <c r="K1309" s="27">
        <f t="shared" si="157"/>
        <v>-4994.9825817324427</v>
      </c>
    </row>
    <row r="1310" spans="1:11" x14ac:dyDescent="0.25">
      <c r="A1310" s="26">
        <v>1260</v>
      </c>
      <c r="B1310" s="82">
        <f t="shared" si="158"/>
        <v>0</v>
      </c>
      <c r="C1310" s="58">
        <f t="shared" si="162"/>
        <v>171.9194128119324</v>
      </c>
      <c r="D1310" s="83">
        <f t="shared" si="159"/>
        <v>733.33333333333326</v>
      </c>
      <c r="E1310">
        <f t="shared" si="155"/>
        <v>0</v>
      </c>
      <c r="G1310">
        <v>1260</v>
      </c>
      <c r="H1310" s="13">
        <f t="shared" si="160"/>
        <v>-1.0275684203264746E-2</v>
      </c>
      <c r="I1310">
        <f t="shared" si="161"/>
        <v>158.97205071581882</v>
      </c>
      <c r="J1310">
        <f t="shared" si="156"/>
        <v>697.18460270888841</v>
      </c>
      <c r="K1310" s="27">
        <f t="shared" si="157"/>
        <v>-4994.346076356017</v>
      </c>
    </row>
    <row r="1311" spans="1:11" x14ac:dyDescent="0.25">
      <c r="A1311" s="26">
        <v>1261</v>
      </c>
      <c r="B1311" s="82">
        <f t="shared" si="158"/>
        <v>0</v>
      </c>
      <c r="C1311" s="58">
        <f t="shared" si="162"/>
        <v>171.9194128119324</v>
      </c>
      <c r="D1311" s="83">
        <f t="shared" si="159"/>
        <v>733.33333333333326</v>
      </c>
      <c r="E1311">
        <f t="shared" si="155"/>
        <v>0</v>
      </c>
      <c r="G1311">
        <v>1261</v>
      </c>
      <c r="H1311" s="13">
        <f t="shared" si="160"/>
        <v>-1.0275684203264746E-2</v>
      </c>
      <c r="I1311">
        <f t="shared" si="161"/>
        <v>158.96177503161556</v>
      </c>
      <c r="J1311">
        <f t="shared" si="156"/>
        <v>697.14015117297811</v>
      </c>
      <c r="K1311" s="27">
        <f t="shared" si="157"/>
        <v>-4993.7088090689449</v>
      </c>
    </row>
    <row r="1312" spans="1:11" x14ac:dyDescent="0.25">
      <c r="A1312" s="26">
        <v>1262</v>
      </c>
      <c r="B1312" s="82">
        <f t="shared" si="158"/>
        <v>0</v>
      </c>
      <c r="C1312" s="58">
        <f t="shared" si="162"/>
        <v>171.9194128119324</v>
      </c>
      <c r="D1312" s="83">
        <f t="shared" si="159"/>
        <v>733.33333333333326</v>
      </c>
      <c r="E1312">
        <f t="shared" si="155"/>
        <v>0</v>
      </c>
      <c r="G1312">
        <v>1262</v>
      </c>
      <c r="H1312" s="13">
        <f t="shared" si="160"/>
        <v>-1.0275684203264746E-2</v>
      </c>
      <c r="I1312">
        <f t="shared" si="161"/>
        <v>158.95149934741229</v>
      </c>
      <c r="J1312">
        <f t="shared" si="156"/>
        <v>697.09564352462553</v>
      </c>
      <c r="K1312" s="27">
        <f t="shared" si="157"/>
        <v>-4993.0707771366715</v>
      </c>
    </row>
    <row r="1313" spans="1:11" x14ac:dyDescent="0.25">
      <c r="A1313" s="26">
        <v>1263</v>
      </c>
      <c r="B1313" s="82">
        <f t="shared" si="158"/>
        <v>0</v>
      </c>
      <c r="C1313" s="58">
        <f t="shared" si="162"/>
        <v>171.9194128119324</v>
      </c>
      <c r="D1313" s="83">
        <f t="shared" si="159"/>
        <v>733.33333333333326</v>
      </c>
      <c r="E1313">
        <f t="shared" si="155"/>
        <v>0</v>
      </c>
      <c r="G1313">
        <v>1263</v>
      </c>
      <c r="H1313" s="13">
        <f t="shared" si="160"/>
        <v>-1.0275684203264746E-2</v>
      </c>
      <c r="I1313">
        <f t="shared" si="161"/>
        <v>158.94122366320903</v>
      </c>
      <c r="J1313">
        <f t="shared" si="156"/>
        <v>697.05107956161532</v>
      </c>
      <c r="K1313" s="27">
        <f t="shared" si="157"/>
        <v>-4992.4319778080217</v>
      </c>
    </row>
    <row r="1314" spans="1:11" x14ac:dyDescent="0.25">
      <c r="A1314" s="26">
        <v>1264</v>
      </c>
      <c r="B1314" s="82">
        <f t="shared" si="158"/>
        <v>0</v>
      </c>
      <c r="C1314" s="58">
        <f t="shared" si="162"/>
        <v>171.9194128119324</v>
      </c>
      <c r="D1314" s="83">
        <f t="shared" si="159"/>
        <v>733.33333333333326</v>
      </c>
      <c r="E1314">
        <f t="shared" si="155"/>
        <v>0</v>
      </c>
      <c r="G1314">
        <v>1264</v>
      </c>
      <c r="H1314" s="13">
        <f t="shared" si="160"/>
        <v>-1.0275684203264746E-2</v>
      </c>
      <c r="I1314">
        <f t="shared" si="161"/>
        <v>158.93094797900577</v>
      </c>
      <c r="J1314">
        <f t="shared" si="156"/>
        <v>697.0064590805016</v>
      </c>
      <c r="K1314" s="27">
        <f t="shared" si="157"/>
        <v>-4991.7924083150556</v>
      </c>
    </row>
    <row r="1315" spans="1:11" x14ac:dyDescent="0.25">
      <c r="A1315" s="26">
        <v>1265</v>
      </c>
      <c r="B1315" s="82">
        <f t="shared" si="158"/>
        <v>0</v>
      </c>
      <c r="C1315" s="58">
        <f t="shared" si="162"/>
        <v>171.9194128119324</v>
      </c>
      <c r="D1315" s="83">
        <f t="shared" si="159"/>
        <v>733.33333333333326</v>
      </c>
      <c r="E1315">
        <f t="shared" si="155"/>
        <v>0</v>
      </c>
      <c r="G1315">
        <v>1265</v>
      </c>
      <c r="H1315" s="13">
        <f t="shared" si="160"/>
        <v>-1.0275684203264746E-2</v>
      </c>
      <c r="I1315">
        <f t="shared" si="161"/>
        <v>158.9206722948025</v>
      </c>
      <c r="J1315">
        <f t="shared" si="156"/>
        <v>696.96178187659723</v>
      </c>
      <c r="K1315" s="27">
        <f t="shared" si="157"/>
        <v>-4991.1520658729314</v>
      </c>
    </row>
    <row r="1316" spans="1:11" x14ac:dyDescent="0.25">
      <c r="A1316" s="26">
        <v>1266</v>
      </c>
      <c r="B1316" s="82">
        <f t="shared" si="158"/>
        <v>0</v>
      </c>
      <c r="C1316" s="58">
        <f t="shared" si="162"/>
        <v>171.9194128119324</v>
      </c>
      <c r="D1316" s="83">
        <f t="shared" si="159"/>
        <v>733.33333333333326</v>
      </c>
      <c r="E1316">
        <f t="shared" si="155"/>
        <v>0</v>
      </c>
      <c r="G1316">
        <v>1266</v>
      </c>
      <c r="H1316" s="13">
        <f t="shared" si="160"/>
        <v>-1.0275684203264746E-2</v>
      </c>
      <c r="I1316">
        <f t="shared" si="161"/>
        <v>158.91039661059924</v>
      </c>
      <c r="J1316">
        <f t="shared" si="156"/>
        <v>696.91704774396362</v>
      </c>
      <c r="K1316" s="27">
        <f t="shared" si="157"/>
        <v>-4990.5109476797543</v>
      </c>
    </row>
    <row r="1317" spans="1:11" x14ac:dyDescent="0.25">
      <c r="A1317" s="26">
        <v>1267</v>
      </c>
      <c r="B1317" s="82">
        <f t="shared" si="158"/>
        <v>0</v>
      </c>
      <c r="C1317" s="58">
        <f t="shared" si="162"/>
        <v>171.9194128119324</v>
      </c>
      <c r="D1317" s="83">
        <f t="shared" si="159"/>
        <v>733.33333333333326</v>
      </c>
      <c r="E1317">
        <f t="shared" si="155"/>
        <v>0</v>
      </c>
      <c r="G1317">
        <v>1267</v>
      </c>
      <c r="H1317" s="13">
        <f t="shared" si="160"/>
        <v>-1.0275684203264746E-2</v>
      </c>
      <c r="I1317">
        <f t="shared" si="161"/>
        <v>158.90012092639597</v>
      </c>
      <c r="J1317">
        <f t="shared" si="156"/>
        <v>696.87225647539981</v>
      </c>
      <c r="K1317" s="27">
        <f t="shared" si="157"/>
        <v>-4989.8690509164344</v>
      </c>
    </row>
    <row r="1318" spans="1:11" x14ac:dyDescent="0.25">
      <c r="A1318" s="26">
        <v>1268</v>
      </c>
      <c r="B1318" s="82">
        <f t="shared" si="158"/>
        <v>0</v>
      </c>
      <c r="C1318" s="58">
        <f t="shared" si="162"/>
        <v>171.9194128119324</v>
      </c>
      <c r="D1318" s="83">
        <f t="shared" si="159"/>
        <v>733.33333333333326</v>
      </c>
      <c r="E1318">
        <f t="shared" si="155"/>
        <v>0</v>
      </c>
      <c r="G1318">
        <v>1268</v>
      </c>
      <c r="H1318" s="13">
        <f t="shared" si="160"/>
        <v>-1.0275684203264746E-2</v>
      </c>
      <c r="I1318">
        <f t="shared" si="161"/>
        <v>158.88984524219271</v>
      </c>
      <c r="J1318">
        <f t="shared" si="156"/>
        <v>696.82740786243119</v>
      </c>
      <c r="K1318" s="27">
        <f t="shared" si="157"/>
        <v>-4989.2263727465324</v>
      </c>
    </row>
    <row r="1319" spans="1:11" x14ac:dyDescent="0.25">
      <c r="A1319" s="26">
        <v>1269</v>
      </c>
      <c r="B1319" s="82">
        <f t="shared" si="158"/>
        <v>0</v>
      </c>
      <c r="C1319" s="58">
        <f t="shared" si="162"/>
        <v>171.9194128119324</v>
      </c>
      <c r="D1319" s="83">
        <f t="shared" si="159"/>
        <v>733.33333333333326</v>
      </c>
      <c r="E1319">
        <f t="shared" si="155"/>
        <v>0</v>
      </c>
      <c r="G1319">
        <v>1269</v>
      </c>
      <c r="H1319" s="13">
        <f t="shared" si="160"/>
        <v>-1.0275684203264746E-2</v>
      </c>
      <c r="I1319">
        <f t="shared" si="161"/>
        <v>158.87956955798944</v>
      </c>
      <c r="J1319">
        <f t="shared" si="156"/>
        <v>696.78250169529917</v>
      </c>
      <c r="K1319" s="27">
        <f t="shared" si="157"/>
        <v>-4988.5829103161159</v>
      </c>
    </row>
    <row r="1320" spans="1:11" x14ac:dyDescent="0.25">
      <c r="A1320" s="26">
        <v>1270</v>
      </c>
      <c r="B1320" s="82">
        <f t="shared" si="158"/>
        <v>0</v>
      </c>
      <c r="C1320" s="58">
        <f t="shared" si="162"/>
        <v>171.9194128119324</v>
      </c>
      <c r="D1320" s="83">
        <f t="shared" si="159"/>
        <v>733.33333333333326</v>
      </c>
      <c r="E1320">
        <f t="shared" si="155"/>
        <v>0</v>
      </c>
      <c r="G1320">
        <v>1270</v>
      </c>
      <c r="H1320" s="13">
        <f t="shared" si="160"/>
        <v>-1.0275684203264746E-2</v>
      </c>
      <c r="I1320">
        <f t="shared" si="161"/>
        <v>158.86929387378618</v>
      </c>
      <c r="J1320">
        <f t="shared" si="156"/>
        <v>696.7375377629495</v>
      </c>
      <c r="K1320" s="27">
        <f t="shared" si="157"/>
        <v>-4987.9386607536035</v>
      </c>
    </row>
    <row r="1321" spans="1:11" x14ac:dyDescent="0.25">
      <c r="A1321" s="26">
        <v>1271</v>
      </c>
      <c r="B1321" s="82">
        <f t="shared" si="158"/>
        <v>0</v>
      </c>
      <c r="C1321" s="58">
        <f t="shared" si="162"/>
        <v>171.9194128119324</v>
      </c>
      <c r="D1321" s="83">
        <f t="shared" si="159"/>
        <v>733.33333333333326</v>
      </c>
      <c r="E1321">
        <f t="shared" si="155"/>
        <v>0</v>
      </c>
      <c r="G1321">
        <v>1271</v>
      </c>
      <c r="H1321" s="13">
        <f t="shared" si="160"/>
        <v>-1.0275684203264746E-2</v>
      </c>
      <c r="I1321">
        <f t="shared" si="161"/>
        <v>158.85901818958291</v>
      </c>
      <c r="J1321">
        <f t="shared" si="156"/>
        <v>696.69251585302129</v>
      </c>
      <c r="K1321" s="27">
        <f t="shared" si="157"/>
        <v>-4987.2936211696151</v>
      </c>
    </row>
    <row r="1322" spans="1:11" x14ac:dyDescent="0.25">
      <c r="A1322" s="26">
        <v>1272</v>
      </c>
      <c r="B1322" s="82">
        <f t="shared" si="158"/>
        <v>0</v>
      </c>
      <c r="C1322" s="58">
        <f t="shared" si="162"/>
        <v>171.9194128119324</v>
      </c>
      <c r="D1322" s="83">
        <f t="shared" si="159"/>
        <v>733.33333333333326</v>
      </c>
      <c r="E1322">
        <f t="shared" si="155"/>
        <v>0</v>
      </c>
      <c r="G1322">
        <v>1272</v>
      </c>
      <c r="H1322" s="13">
        <f t="shared" si="160"/>
        <v>-1.0275684203264746E-2</v>
      </c>
      <c r="I1322">
        <f t="shared" si="161"/>
        <v>158.84874250537965</v>
      </c>
      <c r="J1322">
        <f t="shared" si="156"/>
        <v>696.64743575183581</v>
      </c>
      <c r="K1322" s="27">
        <f t="shared" si="157"/>
        <v>-4986.6477886568155</v>
      </c>
    </row>
    <row r="1323" spans="1:11" x14ac:dyDescent="0.25">
      <c r="A1323" s="26">
        <v>1273</v>
      </c>
      <c r="B1323" s="82">
        <f t="shared" si="158"/>
        <v>0</v>
      </c>
      <c r="C1323" s="58">
        <f t="shared" si="162"/>
        <v>171.9194128119324</v>
      </c>
      <c r="D1323" s="83">
        <f t="shared" si="159"/>
        <v>733.33333333333326</v>
      </c>
      <c r="E1323">
        <f t="shared" si="155"/>
        <v>0</v>
      </c>
      <c r="G1323">
        <v>1273</v>
      </c>
      <c r="H1323" s="13">
        <f t="shared" si="160"/>
        <v>-1.0275684203264746E-2</v>
      </c>
      <c r="I1323">
        <f t="shared" si="161"/>
        <v>158.83846682117638</v>
      </c>
      <c r="J1323">
        <f t="shared" si="156"/>
        <v>696.60229724438454</v>
      </c>
      <c r="K1323" s="27">
        <f t="shared" si="157"/>
        <v>-4986.0011602897512</v>
      </c>
    </row>
    <row r="1324" spans="1:11" x14ac:dyDescent="0.25">
      <c r="A1324" s="26">
        <v>1274</v>
      </c>
      <c r="B1324" s="82">
        <f t="shared" si="158"/>
        <v>0</v>
      </c>
      <c r="C1324" s="58">
        <f t="shared" si="162"/>
        <v>171.9194128119324</v>
      </c>
      <c r="D1324" s="83">
        <f t="shared" si="159"/>
        <v>733.33333333333326</v>
      </c>
      <c r="E1324">
        <f t="shared" si="155"/>
        <v>0</v>
      </c>
      <c r="G1324">
        <v>1274</v>
      </c>
      <c r="H1324" s="13">
        <f t="shared" si="160"/>
        <v>-1.0275684203264746E-2</v>
      </c>
      <c r="I1324">
        <f t="shared" si="161"/>
        <v>158.82819113697312</v>
      </c>
      <c r="J1324">
        <f t="shared" si="156"/>
        <v>696.55710011431768</v>
      </c>
      <c r="K1324" s="27">
        <f t="shared" si="157"/>
        <v>-4985.3537331247016</v>
      </c>
    </row>
    <row r="1325" spans="1:11" x14ac:dyDescent="0.25">
      <c r="A1325" s="26">
        <v>1275</v>
      </c>
      <c r="B1325" s="82">
        <f t="shared" si="158"/>
        <v>0</v>
      </c>
      <c r="C1325" s="58">
        <f t="shared" si="162"/>
        <v>171.9194128119324</v>
      </c>
      <c r="D1325" s="83">
        <f t="shared" si="159"/>
        <v>733.33333333333326</v>
      </c>
      <c r="E1325">
        <f t="shared" si="155"/>
        <v>0</v>
      </c>
      <c r="G1325">
        <v>1275</v>
      </c>
      <c r="H1325" s="13">
        <f t="shared" si="160"/>
        <v>-1.0275684203264746E-2</v>
      </c>
      <c r="I1325">
        <f t="shared" si="161"/>
        <v>158.81791545276985</v>
      </c>
      <c r="J1325">
        <f t="shared" si="156"/>
        <v>696.51184414393276</v>
      </c>
      <c r="K1325" s="27">
        <f t="shared" si="157"/>
        <v>-4984.7055041995136</v>
      </c>
    </row>
    <row r="1326" spans="1:11" x14ac:dyDescent="0.25">
      <c r="A1326" s="26">
        <v>1276</v>
      </c>
      <c r="B1326" s="82">
        <f t="shared" si="158"/>
        <v>0</v>
      </c>
      <c r="C1326" s="58">
        <f t="shared" si="162"/>
        <v>171.9194128119324</v>
      </c>
      <c r="D1326" s="83">
        <f t="shared" si="159"/>
        <v>733.33333333333326</v>
      </c>
      <c r="E1326">
        <f t="shared" si="155"/>
        <v>0</v>
      </c>
      <c r="G1326">
        <v>1276</v>
      </c>
      <c r="H1326" s="13">
        <f t="shared" si="160"/>
        <v>-1.0275684203264746E-2</v>
      </c>
      <c r="I1326">
        <f t="shared" si="161"/>
        <v>158.80763976856659</v>
      </c>
      <c r="J1326">
        <f t="shared" si="156"/>
        <v>696.46652911416254</v>
      </c>
      <c r="K1326" s="27">
        <f t="shared" si="157"/>
        <v>-4984.0564705334427</v>
      </c>
    </row>
    <row r="1327" spans="1:11" x14ac:dyDescent="0.25">
      <c r="A1327" s="26">
        <v>1277</v>
      </c>
      <c r="B1327" s="82">
        <f t="shared" si="158"/>
        <v>0</v>
      </c>
      <c r="C1327" s="58">
        <f t="shared" si="162"/>
        <v>171.9194128119324</v>
      </c>
      <c r="D1327" s="83">
        <f t="shared" si="159"/>
        <v>733.33333333333326</v>
      </c>
      <c r="E1327">
        <f t="shared" si="155"/>
        <v>0</v>
      </c>
      <c r="G1327">
        <v>1277</v>
      </c>
      <c r="H1327" s="13">
        <f t="shared" si="160"/>
        <v>-1.0275684203264746E-2</v>
      </c>
      <c r="I1327">
        <f t="shared" si="161"/>
        <v>158.79736408436332</v>
      </c>
      <c r="J1327">
        <f t="shared" si="156"/>
        <v>696.42115480456266</v>
      </c>
      <c r="K1327" s="27">
        <f t="shared" si="157"/>
        <v>-4983.406629126981</v>
      </c>
    </row>
    <row r="1328" spans="1:11" x14ac:dyDescent="0.25">
      <c r="A1328" s="26">
        <v>1278</v>
      </c>
      <c r="B1328" s="82">
        <f t="shared" si="158"/>
        <v>0</v>
      </c>
      <c r="C1328" s="58">
        <f t="shared" si="162"/>
        <v>171.9194128119324</v>
      </c>
      <c r="D1328" s="83">
        <f t="shared" si="159"/>
        <v>733.33333333333326</v>
      </c>
      <c r="E1328">
        <f t="shared" si="155"/>
        <v>0</v>
      </c>
      <c r="G1328">
        <v>1278</v>
      </c>
      <c r="H1328" s="13">
        <f t="shared" si="160"/>
        <v>-1.0275684203264746E-2</v>
      </c>
      <c r="I1328">
        <f t="shared" si="161"/>
        <v>158.78708840016006</v>
      </c>
      <c r="J1328">
        <f t="shared" si="156"/>
        <v>696.37572099329986</v>
      </c>
      <c r="K1328" s="27">
        <f t="shared" si="157"/>
        <v>-4982.7559769617028</v>
      </c>
    </row>
    <row r="1329" spans="1:11" x14ac:dyDescent="0.25">
      <c r="A1329" s="26">
        <v>1279</v>
      </c>
      <c r="B1329" s="82">
        <f t="shared" si="158"/>
        <v>0</v>
      </c>
      <c r="C1329" s="58">
        <f t="shared" si="162"/>
        <v>171.9194128119324</v>
      </c>
      <c r="D1329" s="83">
        <f t="shared" si="159"/>
        <v>733.33333333333326</v>
      </c>
      <c r="E1329">
        <f t="shared" si="155"/>
        <v>0</v>
      </c>
      <c r="G1329">
        <v>1279</v>
      </c>
      <c r="H1329" s="13">
        <f t="shared" si="160"/>
        <v>-1.0275684203264746E-2</v>
      </c>
      <c r="I1329">
        <f t="shared" si="161"/>
        <v>158.77681271595679</v>
      </c>
      <c r="J1329">
        <f t="shared" si="156"/>
        <v>696.3302274571397</v>
      </c>
      <c r="K1329" s="27">
        <f t="shared" si="157"/>
        <v>-4982.1045110000859</v>
      </c>
    </row>
    <row r="1330" spans="1:11" x14ac:dyDescent="0.25">
      <c r="A1330" s="26">
        <v>1280</v>
      </c>
      <c r="B1330" s="82">
        <f t="shared" si="158"/>
        <v>0</v>
      </c>
      <c r="C1330" s="58">
        <f t="shared" si="162"/>
        <v>171.9194128119324</v>
      </c>
      <c r="D1330" s="83">
        <f t="shared" si="159"/>
        <v>733.33333333333326</v>
      </c>
      <c r="E1330">
        <f t="shared" si="155"/>
        <v>0</v>
      </c>
      <c r="G1330">
        <v>1280</v>
      </c>
      <c r="H1330" s="13">
        <f t="shared" si="160"/>
        <v>-1.0275684203264746E-2</v>
      </c>
      <c r="I1330">
        <f t="shared" si="161"/>
        <v>158.76653703175353</v>
      </c>
      <c r="J1330">
        <f t="shared" si="156"/>
        <v>696.28467397143379</v>
      </c>
      <c r="K1330" s="27">
        <f t="shared" si="157"/>
        <v>-4981.4522281853515</v>
      </c>
    </row>
    <row r="1331" spans="1:11" x14ac:dyDescent="0.25">
      <c r="A1331" s="26">
        <v>1281</v>
      </c>
      <c r="B1331" s="82">
        <f t="shared" si="158"/>
        <v>0</v>
      </c>
      <c r="C1331" s="58">
        <f t="shared" si="162"/>
        <v>171.9194128119324</v>
      </c>
      <c r="D1331" s="83">
        <f t="shared" si="159"/>
        <v>733.33333333333326</v>
      </c>
      <c r="E1331">
        <f t="shared" ref="E1331:E1394" si="163">((D1331^2)+(D1331*D1332)+(D1332^2))*B1332/3</f>
        <v>0</v>
      </c>
      <c r="G1331">
        <v>1281</v>
      </c>
      <c r="H1331" s="13">
        <f t="shared" si="160"/>
        <v>-1.0275684203264746E-2</v>
      </c>
      <c r="I1331">
        <f t="shared" si="161"/>
        <v>158.75626134755026</v>
      </c>
      <c r="J1331">
        <f t="shared" ref="J1331:J1394" si="164">IF($G$28&lt;$C$14,0,((($C$11^2)-((I1331-$C$13)^2))^0.5)+$C$16)</f>
        <v>696.23906031010756</v>
      </c>
      <c r="K1331" s="27">
        <f t="shared" ref="K1331:K1394" si="165">((J1331^2)+(J1331*J1332)+(J1332^2))*H1332/3</f>
        <v>-4980.7991254412818</v>
      </c>
    </row>
    <row r="1332" spans="1:11" x14ac:dyDescent="0.25">
      <c r="A1332" s="26">
        <v>1282</v>
      </c>
      <c r="B1332" s="82">
        <f t="shared" ref="B1332:B1395" si="166">C1332-C1331</f>
        <v>0</v>
      </c>
      <c r="C1332" s="58">
        <f t="shared" si="162"/>
        <v>171.9194128119324</v>
      </c>
      <c r="D1332" s="83">
        <f t="shared" ref="D1332:D1395" si="167">IF($G$28&lt;$C$14,0,((($C$11^2)-((C1332-$C$13)^2))^0.5)+$C$16)</f>
        <v>733.33333333333326</v>
      </c>
      <c r="E1332">
        <f t="shared" si="163"/>
        <v>0</v>
      </c>
      <c r="G1332">
        <v>1282</v>
      </c>
      <c r="H1332" s="13">
        <f t="shared" ref="H1332:H1395" si="168">I1332-I1331</f>
        <v>-1.0275684203264746E-2</v>
      </c>
      <c r="I1332">
        <f t="shared" ref="I1332:I1395" si="169">($G$27-$C$14)/2000+I1331</f>
        <v>158.745985663347</v>
      </c>
      <c r="J1332">
        <f t="shared" si="164"/>
        <v>696.19338624564728</v>
      </c>
      <c r="K1332" s="27">
        <f t="shared" si="165"/>
        <v>-4980.145199672058</v>
      </c>
    </row>
    <row r="1333" spans="1:11" x14ac:dyDescent="0.25">
      <c r="A1333" s="26">
        <v>1283</v>
      </c>
      <c r="B1333" s="82">
        <f t="shared" si="166"/>
        <v>0</v>
      </c>
      <c r="C1333" s="58">
        <f t="shared" si="162"/>
        <v>171.9194128119324</v>
      </c>
      <c r="D1333" s="83">
        <f t="shared" si="167"/>
        <v>733.33333333333326</v>
      </c>
      <c r="E1333">
        <f t="shared" si="163"/>
        <v>0</v>
      </c>
      <c r="G1333">
        <v>1283</v>
      </c>
      <c r="H1333" s="13">
        <f t="shared" si="168"/>
        <v>-1.0275684203264746E-2</v>
      </c>
      <c r="I1333">
        <f t="shared" si="169"/>
        <v>158.73570997914373</v>
      </c>
      <c r="J1333">
        <f t="shared" si="164"/>
        <v>696.1476515490873</v>
      </c>
      <c r="K1333" s="27">
        <f t="shared" si="165"/>
        <v>-4979.4904477620757</v>
      </c>
    </row>
    <row r="1334" spans="1:11" x14ac:dyDescent="0.25">
      <c r="A1334" s="26">
        <v>1284</v>
      </c>
      <c r="B1334" s="82">
        <f t="shared" si="166"/>
        <v>0</v>
      </c>
      <c r="C1334" s="58">
        <f t="shared" si="162"/>
        <v>171.9194128119324</v>
      </c>
      <c r="D1334" s="83">
        <f t="shared" si="167"/>
        <v>733.33333333333326</v>
      </c>
      <c r="E1334">
        <f t="shared" si="163"/>
        <v>0</v>
      </c>
      <c r="G1334">
        <v>1284</v>
      </c>
      <c r="H1334" s="13">
        <f t="shared" si="168"/>
        <v>-1.0275684203264746E-2</v>
      </c>
      <c r="I1334">
        <f t="shared" si="169"/>
        <v>158.72543429494047</v>
      </c>
      <c r="J1334">
        <f t="shared" si="164"/>
        <v>696.10185598999703</v>
      </c>
      <c r="K1334" s="27">
        <f t="shared" si="165"/>
        <v>-4978.8348665757721</v>
      </c>
    </row>
    <row r="1335" spans="1:11" x14ac:dyDescent="0.25">
      <c r="A1335" s="26">
        <v>1285</v>
      </c>
      <c r="B1335" s="82">
        <f t="shared" si="166"/>
        <v>0</v>
      </c>
      <c r="C1335" s="58">
        <f t="shared" si="162"/>
        <v>171.9194128119324</v>
      </c>
      <c r="D1335" s="83">
        <f t="shared" si="167"/>
        <v>733.33333333333326</v>
      </c>
      <c r="E1335">
        <f t="shared" si="163"/>
        <v>0</v>
      </c>
      <c r="G1335">
        <v>1285</v>
      </c>
      <c r="H1335" s="13">
        <f t="shared" si="168"/>
        <v>-1.0275684203264746E-2</v>
      </c>
      <c r="I1335">
        <f t="shared" si="169"/>
        <v>158.71515861073721</v>
      </c>
      <c r="J1335">
        <f t="shared" si="164"/>
        <v>696.05599933646772</v>
      </c>
      <c r="K1335" s="27">
        <f t="shared" si="165"/>
        <v>-4978.1784529574425</v>
      </c>
    </row>
    <row r="1336" spans="1:11" x14ac:dyDescent="0.25">
      <c r="A1336" s="26">
        <v>1286</v>
      </c>
      <c r="B1336" s="82">
        <f t="shared" si="166"/>
        <v>0</v>
      </c>
      <c r="C1336" s="58">
        <f t="shared" si="162"/>
        <v>171.9194128119324</v>
      </c>
      <c r="D1336" s="83">
        <f t="shared" si="167"/>
        <v>733.33333333333326</v>
      </c>
      <c r="E1336">
        <f t="shared" si="163"/>
        <v>0</v>
      </c>
      <c r="G1336">
        <v>1286</v>
      </c>
      <c r="H1336" s="13">
        <f t="shared" si="168"/>
        <v>-1.0275684203264746E-2</v>
      </c>
      <c r="I1336">
        <f t="shared" si="169"/>
        <v>158.70488292653394</v>
      </c>
      <c r="J1336">
        <f t="shared" si="164"/>
        <v>696.01008135509926</v>
      </c>
      <c r="K1336" s="27">
        <f t="shared" si="165"/>
        <v>-4977.5212037310666</v>
      </c>
    </row>
    <row r="1337" spans="1:11" x14ac:dyDescent="0.25">
      <c r="A1337" s="26">
        <v>1287</v>
      </c>
      <c r="B1337" s="82">
        <f t="shared" si="166"/>
        <v>0</v>
      </c>
      <c r="C1337" s="58">
        <f t="shared" si="162"/>
        <v>171.9194128119324</v>
      </c>
      <c r="D1337" s="83">
        <f t="shared" si="167"/>
        <v>733.33333333333326</v>
      </c>
      <c r="E1337">
        <f t="shared" si="163"/>
        <v>0</v>
      </c>
      <c r="G1337">
        <v>1287</v>
      </c>
      <c r="H1337" s="13">
        <f t="shared" si="168"/>
        <v>-1.0275684203264746E-2</v>
      </c>
      <c r="I1337">
        <f t="shared" si="169"/>
        <v>158.69460724233068</v>
      </c>
      <c r="J1337">
        <f t="shared" si="164"/>
        <v>695.96410181098656</v>
      </c>
      <c r="K1337" s="27">
        <f t="shared" si="165"/>
        <v>-4976.8631157001118</v>
      </c>
    </row>
    <row r="1338" spans="1:11" x14ac:dyDescent="0.25">
      <c r="A1338" s="26">
        <v>1288</v>
      </c>
      <c r="B1338" s="82">
        <f t="shared" si="166"/>
        <v>0</v>
      </c>
      <c r="C1338" s="58">
        <f t="shared" si="162"/>
        <v>171.9194128119324</v>
      </c>
      <c r="D1338" s="83">
        <f t="shared" si="167"/>
        <v>733.33333333333326</v>
      </c>
      <c r="E1338">
        <f t="shared" si="163"/>
        <v>0</v>
      </c>
      <c r="G1338">
        <v>1288</v>
      </c>
      <c r="H1338" s="13">
        <f t="shared" si="168"/>
        <v>-1.0275684203264746E-2</v>
      </c>
      <c r="I1338">
        <f t="shared" si="169"/>
        <v>158.68433155812741</v>
      </c>
      <c r="J1338">
        <f t="shared" si="164"/>
        <v>695.9180604677058</v>
      </c>
      <c r="K1338" s="27">
        <f t="shared" si="165"/>
        <v>-4976.2041856473579</v>
      </c>
    </row>
    <row r="1339" spans="1:11" x14ac:dyDescent="0.25">
      <c r="A1339" s="26">
        <v>1289</v>
      </c>
      <c r="B1339" s="82">
        <f t="shared" si="166"/>
        <v>0</v>
      </c>
      <c r="C1339" s="58">
        <f t="shared" si="162"/>
        <v>171.9194128119324</v>
      </c>
      <c r="D1339" s="83">
        <f t="shared" si="167"/>
        <v>733.33333333333326</v>
      </c>
      <c r="E1339">
        <f t="shared" si="163"/>
        <v>0</v>
      </c>
      <c r="G1339">
        <v>1289</v>
      </c>
      <c r="H1339" s="13">
        <f t="shared" si="168"/>
        <v>-1.0275684203264746E-2</v>
      </c>
      <c r="I1339">
        <f t="shared" si="169"/>
        <v>158.67405587392415</v>
      </c>
      <c r="J1339">
        <f t="shared" si="164"/>
        <v>695.87195708730098</v>
      </c>
      <c r="K1339" s="27">
        <f t="shared" si="165"/>
        <v>-4975.5444103347045</v>
      </c>
    </row>
    <row r="1340" spans="1:11" x14ac:dyDescent="0.25">
      <c r="A1340" s="26">
        <v>1290</v>
      </c>
      <c r="B1340" s="82">
        <f t="shared" si="166"/>
        <v>0</v>
      </c>
      <c r="C1340" s="58">
        <f t="shared" si="162"/>
        <v>171.9194128119324</v>
      </c>
      <c r="D1340" s="83">
        <f t="shared" si="167"/>
        <v>733.33333333333326</v>
      </c>
      <c r="E1340">
        <f t="shared" si="163"/>
        <v>0</v>
      </c>
      <c r="G1340">
        <v>1290</v>
      </c>
      <c r="H1340" s="13">
        <f t="shared" si="168"/>
        <v>-1.0275684203264746E-2</v>
      </c>
      <c r="I1340">
        <f t="shared" si="169"/>
        <v>158.66378018972088</v>
      </c>
      <c r="J1340">
        <f t="shared" si="164"/>
        <v>695.82579143026965</v>
      </c>
      <c r="K1340" s="27">
        <f t="shared" si="165"/>
        <v>-4974.88378650298</v>
      </c>
    </row>
    <row r="1341" spans="1:11" x14ac:dyDescent="0.25">
      <c r="A1341" s="26">
        <v>1291</v>
      </c>
      <c r="B1341" s="82">
        <f t="shared" si="166"/>
        <v>0</v>
      </c>
      <c r="C1341" s="58">
        <f t="shared" si="162"/>
        <v>171.9194128119324</v>
      </c>
      <c r="D1341" s="83">
        <f t="shared" si="167"/>
        <v>733.33333333333326</v>
      </c>
      <c r="E1341">
        <f t="shared" si="163"/>
        <v>0</v>
      </c>
      <c r="G1341">
        <v>1291</v>
      </c>
      <c r="H1341" s="13">
        <f t="shared" si="168"/>
        <v>-1.0275684203264746E-2</v>
      </c>
      <c r="I1341">
        <f t="shared" si="169"/>
        <v>158.65350450551762</v>
      </c>
      <c r="J1341">
        <f t="shared" si="164"/>
        <v>695.77956325554896</v>
      </c>
      <c r="K1341" s="27">
        <f t="shared" si="165"/>
        <v>-4974.2223108717517</v>
      </c>
    </row>
    <row r="1342" spans="1:11" x14ac:dyDescent="0.25">
      <c r="A1342" s="26">
        <v>1292</v>
      </c>
      <c r="B1342" s="82">
        <f t="shared" si="166"/>
        <v>0</v>
      </c>
      <c r="C1342" s="58">
        <f t="shared" si="162"/>
        <v>171.9194128119324</v>
      </c>
      <c r="D1342" s="83">
        <f t="shared" si="167"/>
        <v>733.33333333333326</v>
      </c>
      <c r="E1342">
        <f t="shared" si="163"/>
        <v>0</v>
      </c>
      <c r="G1342">
        <v>1292</v>
      </c>
      <c r="H1342" s="13">
        <f t="shared" si="168"/>
        <v>-1.0275684203264746E-2</v>
      </c>
      <c r="I1342">
        <f t="shared" si="169"/>
        <v>158.64322882131435</v>
      </c>
      <c r="J1342">
        <f t="shared" si="164"/>
        <v>695.73327232050144</v>
      </c>
      <c r="K1342" s="27">
        <f t="shared" si="165"/>
        <v>-4973.5599801391272</v>
      </c>
    </row>
    <row r="1343" spans="1:11" x14ac:dyDescent="0.25">
      <c r="A1343" s="26">
        <v>1293</v>
      </c>
      <c r="B1343" s="82">
        <f t="shared" si="166"/>
        <v>0</v>
      </c>
      <c r="C1343" s="58">
        <f t="shared" si="162"/>
        <v>171.9194128119324</v>
      </c>
      <c r="D1343" s="83">
        <f t="shared" si="167"/>
        <v>733.33333333333326</v>
      </c>
      <c r="E1343">
        <f t="shared" si="163"/>
        <v>0</v>
      </c>
      <c r="G1343">
        <v>1293</v>
      </c>
      <c r="H1343" s="13">
        <f t="shared" si="168"/>
        <v>-1.0275684203264746E-2</v>
      </c>
      <c r="I1343">
        <f t="shared" si="169"/>
        <v>158.63295313711109</v>
      </c>
      <c r="J1343">
        <f t="shared" si="164"/>
        <v>695.68691838090001</v>
      </c>
      <c r="K1343" s="27">
        <f t="shared" si="165"/>
        <v>-4972.8967909815592</v>
      </c>
    </row>
    <row r="1344" spans="1:11" x14ac:dyDescent="0.25">
      <c r="A1344" s="26">
        <v>1294</v>
      </c>
      <c r="B1344" s="82">
        <f t="shared" si="166"/>
        <v>0</v>
      </c>
      <c r="C1344" s="58">
        <f t="shared" si="162"/>
        <v>171.9194128119324</v>
      </c>
      <c r="D1344" s="83">
        <f t="shared" si="167"/>
        <v>733.33333333333326</v>
      </c>
      <c r="E1344">
        <f t="shared" si="163"/>
        <v>0</v>
      </c>
      <c r="G1344">
        <v>1294</v>
      </c>
      <c r="H1344" s="13">
        <f t="shared" si="168"/>
        <v>-1.0275684203264746E-2</v>
      </c>
      <c r="I1344">
        <f t="shared" si="169"/>
        <v>158.62267745290782</v>
      </c>
      <c r="J1344">
        <f t="shared" si="164"/>
        <v>695.64050119091405</v>
      </c>
      <c r="K1344" s="27">
        <f t="shared" si="165"/>
        <v>-4972.2327400536487</v>
      </c>
    </row>
    <row r="1345" spans="1:11" x14ac:dyDescent="0.25">
      <c r="A1345" s="26">
        <v>1295</v>
      </c>
      <c r="B1345" s="82">
        <f t="shared" si="166"/>
        <v>0</v>
      </c>
      <c r="C1345" s="58">
        <f t="shared" si="162"/>
        <v>171.9194128119324</v>
      </c>
      <c r="D1345" s="83">
        <f t="shared" si="167"/>
        <v>733.33333333333326</v>
      </c>
      <c r="E1345">
        <f t="shared" si="163"/>
        <v>0</v>
      </c>
      <c r="G1345">
        <v>1295</v>
      </c>
      <c r="H1345" s="13">
        <f t="shared" si="168"/>
        <v>-1.0275684203264746E-2</v>
      </c>
      <c r="I1345">
        <f t="shared" si="169"/>
        <v>158.61240176870456</v>
      </c>
      <c r="J1345">
        <f t="shared" si="164"/>
        <v>695.5940205030945</v>
      </c>
      <c r="K1345" s="27">
        <f t="shared" si="165"/>
        <v>-4971.5678239879371</v>
      </c>
    </row>
    <row r="1346" spans="1:11" x14ac:dyDescent="0.25">
      <c r="A1346" s="26">
        <v>1296</v>
      </c>
      <c r="B1346" s="82">
        <f t="shared" si="166"/>
        <v>0</v>
      </c>
      <c r="C1346" s="58">
        <f t="shared" si="162"/>
        <v>171.9194128119324</v>
      </c>
      <c r="D1346" s="83">
        <f t="shared" si="167"/>
        <v>733.33333333333326</v>
      </c>
      <c r="E1346">
        <f t="shared" si="163"/>
        <v>0</v>
      </c>
      <c r="G1346">
        <v>1296</v>
      </c>
      <c r="H1346" s="13">
        <f t="shared" si="168"/>
        <v>-1.0275684203264746E-2</v>
      </c>
      <c r="I1346">
        <f t="shared" si="169"/>
        <v>158.60212608450129</v>
      </c>
      <c r="J1346">
        <f t="shared" si="164"/>
        <v>695.54747606835826</v>
      </c>
      <c r="K1346" s="27">
        <f t="shared" si="165"/>
        <v>-4970.9020393947058</v>
      </c>
    </row>
    <row r="1347" spans="1:11" x14ac:dyDescent="0.25">
      <c r="A1347" s="26">
        <v>1297</v>
      </c>
      <c r="B1347" s="82">
        <f t="shared" si="166"/>
        <v>0</v>
      </c>
      <c r="C1347" s="58">
        <f t="shared" si="162"/>
        <v>171.9194128119324</v>
      </c>
      <c r="D1347" s="83">
        <f t="shared" si="167"/>
        <v>733.33333333333326</v>
      </c>
      <c r="E1347">
        <f t="shared" si="163"/>
        <v>0</v>
      </c>
      <c r="G1347">
        <v>1297</v>
      </c>
      <c r="H1347" s="13">
        <f t="shared" si="168"/>
        <v>-1.0275684203264746E-2</v>
      </c>
      <c r="I1347">
        <f t="shared" si="169"/>
        <v>158.59185040029803</v>
      </c>
      <c r="J1347">
        <f t="shared" si="164"/>
        <v>695.50086763597369</v>
      </c>
      <c r="K1347" s="27">
        <f t="shared" si="165"/>
        <v>-4970.2353828617661</v>
      </c>
    </row>
    <row r="1348" spans="1:11" x14ac:dyDescent="0.25">
      <c r="A1348" s="26">
        <v>1298</v>
      </c>
      <c r="B1348" s="82">
        <f t="shared" si="166"/>
        <v>0</v>
      </c>
      <c r="C1348" s="58">
        <f t="shared" si="162"/>
        <v>171.9194128119324</v>
      </c>
      <c r="D1348" s="83">
        <f t="shared" si="167"/>
        <v>733.33333333333326</v>
      </c>
      <c r="E1348">
        <f t="shared" si="163"/>
        <v>0</v>
      </c>
      <c r="G1348">
        <v>1298</v>
      </c>
      <c r="H1348" s="13">
        <f t="shared" si="168"/>
        <v>-1.0275684203264746E-2</v>
      </c>
      <c r="I1348">
        <f t="shared" si="169"/>
        <v>158.58157471609476</v>
      </c>
      <c r="J1348">
        <f t="shared" si="164"/>
        <v>695.45419495354486</v>
      </c>
      <c r="K1348" s="27">
        <f t="shared" si="165"/>
        <v>-4969.5678509542568</v>
      </c>
    </row>
    <row r="1349" spans="1:11" x14ac:dyDescent="0.25">
      <c r="A1349" s="26">
        <v>1299</v>
      </c>
      <c r="B1349" s="82">
        <f t="shared" si="166"/>
        <v>0</v>
      </c>
      <c r="C1349" s="58">
        <f t="shared" si="162"/>
        <v>171.9194128119324</v>
      </c>
      <c r="D1349" s="83">
        <f t="shared" si="167"/>
        <v>733.33333333333326</v>
      </c>
      <c r="E1349">
        <f t="shared" si="163"/>
        <v>0</v>
      </c>
      <c r="G1349">
        <v>1299</v>
      </c>
      <c r="H1349" s="13">
        <f t="shared" si="168"/>
        <v>-1.0275684203264746E-2</v>
      </c>
      <c r="I1349">
        <f t="shared" si="169"/>
        <v>158.5712990318915</v>
      </c>
      <c r="J1349">
        <f t="shared" si="164"/>
        <v>695.40745776699657</v>
      </c>
      <c r="K1349" s="27">
        <f t="shared" si="165"/>
        <v>-4968.8994402144244</v>
      </c>
    </row>
    <row r="1350" spans="1:11" x14ac:dyDescent="0.25">
      <c r="A1350" s="26">
        <v>1300</v>
      </c>
      <c r="B1350" s="82">
        <f t="shared" si="166"/>
        <v>0</v>
      </c>
      <c r="C1350" s="58">
        <f t="shared" si="162"/>
        <v>171.9194128119324</v>
      </c>
      <c r="D1350" s="83">
        <f t="shared" si="167"/>
        <v>733.33333333333326</v>
      </c>
      <c r="E1350">
        <f t="shared" si="163"/>
        <v>0</v>
      </c>
      <c r="G1350">
        <v>1300</v>
      </c>
      <c r="H1350" s="13">
        <f t="shared" si="168"/>
        <v>-1.0275684203264746E-2</v>
      </c>
      <c r="I1350">
        <f t="shared" si="169"/>
        <v>158.56102334768823</v>
      </c>
      <c r="J1350">
        <f t="shared" si="164"/>
        <v>695.36065582055789</v>
      </c>
      <c r="K1350" s="27">
        <f t="shared" si="165"/>
        <v>-4968.2301471614101</v>
      </c>
    </row>
    <row r="1351" spans="1:11" x14ac:dyDescent="0.25">
      <c r="A1351" s="26">
        <v>1301</v>
      </c>
      <c r="B1351" s="82">
        <f t="shared" si="166"/>
        <v>0</v>
      </c>
      <c r="C1351" s="58">
        <f t="shared" si="162"/>
        <v>171.9194128119324</v>
      </c>
      <c r="D1351" s="83">
        <f t="shared" si="167"/>
        <v>733.33333333333326</v>
      </c>
      <c r="E1351">
        <f t="shared" si="163"/>
        <v>0</v>
      </c>
      <c r="G1351">
        <v>1301</v>
      </c>
      <c r="H1351" s="13">
        <f t="shared" si="168"/>
        <v>-1.0275684203264746E-2</v>
      </c>
      <c r="I1351">
        <f t="shared" si="169"/>
        <v>158.55074766348497</v>
      </c>
      <c r="J1351">
        <f t="shared" si="164"/>
        <v>695.31378885674656</v>
      </c>
      <c r="K1351" s="27">
        <f t="shared" si="165"/>
        <v>-4967.5599682910388</v>
      </c>
    </row>
    <row r="1352" spans="1:11" x14ac:dyDescent="0.25">
      <c r="A1352" s="26">
        <v>1302</v>
      </c>
      <c r="B1352" s="82">
        <f t="shared" si="166"/>
        <v>0</v>
      </c>
      <c r="C1352" s="58">
        <f t="shared" si="162"/>
        <v>171.9194128119324</v>
      </c>
      <c r="D1352" s="83">
        <f t="shared" si="167"/>
        <v>733.33333333333326</v>
      </c>
      <c r="E1352">
        <f t="shared" si="163"/>
        <v>0</v>
      </c>
      <c r="G1352">
        <v>1302</v>
      </c>
      <c r="H1352" s="13">
        <f t="shared" si="168"/>
        <v>-1.0275684203264746E-2</v>
      </c>
      <c r="I1352">
        <f t="shared" si="169"/>
        <v>158.5404719792817</v>
      </c>
      <c r="J1352">
        <f t="shared" si="164"/>
        <v>695.26685661635361</v>
      </c>
      <c r="K1352" s="27">
        <f t="shared" si="165"/>
        <v>-4966.8889000755944</v>
      </c>
    </row>
    <row r="1353" spans="1:11" x14ac:dyDescent="0.25">
      <c r="A1353" s="26">
        <v>1303</v>
      </c>
      <c r="B1353" s="82">
        <f t="shared" si="166"/>
        <v>0</v>
      </c>
      <c r="C1353" s="58">
        <f t="shared" si="162"/>
        <v>171.9194128119324</v>
      </c>
      <c r="D1353" s="83">
        <f t="shared" si="167"/>
        <v>733.33333333333326</v>
      </c>
      <c r="E1353">
        <f t="shared" si="163"/>
        <v>0</v>
      </c>
      <c r="G1353">
        <v>1303</v>
      </c>
      <c r="H1353" s="13">
        <f t="shared" si="168"/>
        <v>-1.0275684203264746E-2</v>
      </c>
      <c r="I1353">
        <f t="shared" si="169"/>
        <v>158.53019629507844</v>
      </c>
      <c r="J1353">
        <f t="shared" si="164"/>
        <v>695.21985883842569</v>
      </c>
      <c r="K1353" s="27">
        <f t="shared" si="165"/>
        <v>-4966.2169389635974</v>
      </c>
    </row>
    <row r="1354" spans="1:11" x14ac:dyDescent="0.25">
      <c r="A1354" s="26">
        <v>1304</v>
      </c>
      <c r="B1354" s="82">
        <f t="shared" si="166"/>
        <v>0</v>
      </c>
      <c r="C1354" s="58">
        <f t="shared" si="162"/>
        <v>171.9194128119324</v>
      </c>
      <c r="D1354" s="83">
        <f t="shared" si="167"/>
        <v>733.33333333333326</v>
      </c>
      <c r="E1354">
        <f t="shared" si="163"/>
        <v>0</v>
      </c>
      <c r="G1354">
        <v>1304</v>
      </c>
      <c r="H1354" s="13">
        <f t="shared" si="168"/>
        <v>-1.0275684203264746E-2</v>
      </c>
      <c r="I1354">
        <f t="shared" si="169"/>
        <v>158.51992061087518</v>
      </c>
      <c r="J1354">
        <f t="shared" si="164"/>
        <v>695.17279526024981</v>
      </c>
      <c r="K1354" s="27">
        <f t="shared" si="165"/>
        <v>-4965.5440813795803</v>
      </c>
    </row>
    <row r="1355" spans="1:11" x14ac:dyDescent="0.25">
      <c r="A1355" s="26">
        <v>1305</v>
      </c>
      <c r="B1355" s="82">
        <f t="shared" si="166"/>
        <v>0</v>
      </c>
      <c r="C1355" s="58">
        <f t="shared" si="162"/>
        <v>171.9194128119324</v>
      </c>
      <c r="D1355" s="83">
        <f t="shared" si="167"/>
        <v>733.33333333333326</v>
      </c>
      <c r="E1355">
        <f t="shared" si="163"/>
        <v>0</v>
      </c>
      <c r="G1355">
        <v>1305</v>
      </c>
      <c r="H1355" s="13">
        <f t="shared" si="168"/>
        <v>-1.0275684203264746E-2</v>
      </c>
      <c r="I1355">
        <f t="shared" si="169"/>
        <v>158.50964492667191</v>
      </c>
      <c r="J1355">
        <f t="shared" si="164"/>
        <v>695.12566561733593</v>
      </c>
      <c r="K1355" s="27">
        <f t="shared" si="165"/>
        <v>-4964.8703237238633</v>
      </c>
    </row>
    <row r="1356" spans="1:11" x14ac:dyDescent="0.25">
      <c r="A1356" s="26">
        <v>1306</v>
      </c>
      <c r="B1356" s="82">
        <f t="shared" si="166"/>
        <v>0</v>
      </c>
      <c r="C1356" s="58">
        <f t="shared" si="162"/>
        <v>171.9194128119324</v>
      </c>
      <c r="D1356" s="83">
        <f t="shared" si="167"/>
        <v>733.33333333333326</v>
      </c>
      <c r="E1356">
        <f t="shared" si="163"/>
        <v>0</v>
      </c>
      <c r="G1356">
        <v>1306</v>
      </c>
      <c r="H1356" s="13">
        <f t="shared" si="168"/>
        <v>-1.0275684203264746E-2</v>
      </c>
      <c r="I1356">
        <f t="shared" si="169"/>
        <v>158.49936924246865</v>
      </c>
      <c r="J1356">
        <f t="shared" si="164"/>
        <v>695.07846964340047</v>
      </c>
      <c r="K1356" s="27">
        <f t="shared" si="165"/>
        <v>-4964.1956623723181</v>
      </c>
    </row>
    <row r="1357" spans="1:11" x14ac:dyDescent="0.25">
      <c r="A1357" s="26">
        <v>1307</v>
      </c>
      <c r="B1357" s="82">
        <f t="shared" si="166"/>
        <v>0</v>
      </c>
      <c r="C1357" s="58">
        <f t="shared" si="162"/>
        <v>171.9194128119324</v>
      </c>
      <c r="D1357" s="83">
        <f t="shared" si="167"/>
        <v>733.33333333333326</v>
      </c>
      <c r="E1357">
        <f t="shared" si="163"/>
        <v>0</v>
      </c>
      <c r="G1357">
        <v>1307</v>
      </c>
      <c r="H1357" s="13">
        <f t="shared" si="168"/>
        <v>-1.0275684203264746E-2</v>
      </c>
      <c r="I1357">
        <f t="shared" si="169"/>
        <v>158.48909355826538</v>
      </c>
      <c r="J1357">
        <f t="shared" si="164"/>
        <v>695.03120707034896</v>
      </c>
      <c r="K1357" s="27">
        <f t="shared" si="165"/>
        <v>-4963.5200936761421</v>
      </c>
    </row>
    <row r="1358" spans="1:11" x14ac:dyDescent="0.25">
      <c r="A1358" s="26">
        <v>1308</v>
      </c>
      <c r="B1358" s="82">
        <f t="shared" si="166"/>
        <v>0</v>
      </c>
      <c r="C1358" s="58">
        <f t="shared" si="162"/>
        <v>171.9194128119324</v>
      </c>
      <c r="D1358" s="83">
        <f t="shared" si="167"/>
        <v>733.33333333333326</v>
      </c>
      <c r="E1358">
        <f t="shared" si="163"/>
        <v>0</v>
      </c>
      <c r="G1358">
        <v>1308</v>
      </c>
      <c r="H1358" s="13">
        <f t="shared" si="168"/>
        <v>-1.0275684203264746E-2</v>
      </c>
      <c r="I1358">
        <f t="shared" si="169"/>
        <v>158.47881787406212</v>
      </c>
      <c r="J1358">
        <f t="shared" si="164"/>
        <v>694.98387762825905</v>
      </c>
      <c r="K1358" s="27">
        <f t="shared" si="165"/>
        <v>-4962.8436139616133</v>
      </c>
    </row>
    <row r="1359" spans="1:11" x14ac:dyDescent="0.25">
      <c r="A1359" s="26">
        <v>1309</v>
      </c>
      <c r="B1359" s="82">
        <f t="shared" si="166"/>
        <v>0</v>
      </c>
      <c r="C1359" s="58">
        <f t="shared" si="162"/>
        <v>171.9194128119324</v>
      </c>
      <c r="D1359" s="83">
        <f t="shared" si="167"/>
        <v>733.33333333333326</v>
      </c>
      <c r="E1359">
        <f t="shared" si="163"/>
        <v>0</v>
      </c>
      <c r="G1359">
        <v>1309</v>
      </c>
      <c r="H1359" s="13">
        <f t="shared" si="168"/>
        <v>-1.0275684203264746E-2</v>
      </c>
      <c r="I1359">
        <f t="shared" si="169"/>
        <v>158.46854218985885</v>
      </c>
      <c r="J1359">
        <f t="shared" si="164"/>
        <v>694.93648104536237</v>
      </c>
      <c r="K1359" s="27">
        <f t="shared" si="165"/>
        <v>-4962.1662195298568</v>
      </c>
    </row>
    <row r="1360" spans="1:11" x14ac:dyDescent="0.25">
      <c r="A1360" s="26">
        <v>1310</v>
      </c>
      <c r="B1360" s="82">
        <f t="shared" si="166"/>
        <v>0</v>
      </c>
      <c r="C1360" s="58">
        <f t="shared" ref="C1360:C1423" si="170">($C$37-$C$36)/2000+C1359</f>
        <v>171.9194128119324</v>
      </c>
      <c r="D1360" s="83">
        <f t="shared" si="167"/>
        <v>733.33333333333326</v>
      </c>
      <c r="E1360">
        <f t="shared" si="163"/>
        <v>0</v>
      </c>
      <c r="G1360">
        <v>1310</v>
      </c>
      <c r="H1360" s="13">
        <f t="shared" si="168"/>
        <v>-1.0275684203264746E-2</v>
      </c>
      <c r="I1360">
        <f t="shared" si="169"/>
        <v>158.45826650565559</v>
      </c>
      <c r="J1360">
        <f t="shared" si="164"/>
        <v>694.88901704802743</v>
      </c>
      <c r="K1360" s="27">
        <f t="shared" si="165"/>
        <v>-4961.4879066566009</v>
      </c>
    </row>
    <row r="1361" spans="1:11" x14ac:dyDescent="0.25">
      <c r="A1361" s="26">
        <v>1311</v>
      </c>
      <c r="B1361" s="82">
        <f t="shared" si="166"/>
        <v>0</v>
      </c>
      <c r="C1361" s="58">
        <f t="shared" si="170"/>
        <v>171.9194128119324</v>
      </c>
      <c r="D1361" s="83">
        <f t="shared" si="167"/>
        <v>733.33333333333326</v>
      </c>
      <c r="E1361">
        <f t="shared" si="163"/>
        <v>0</v>
      </c>
      <c r="G1361">
        <v>1311</v>
      </c>
      <c r="H1361" s="13">
        <f t="shared" si="168"/>
        <v>-1.0275684203264746E-2</v>
      </c>
      <c r="I1361">
        <f t="shared" si="169"/>
        <v>158.44799082145232</v>
      </c>
      <c r="J1361">
        <f t="shared" si="164"/>
        <v>694.84148536074144</v>
      </c>
      <c r="K1361" s="27">
        <f t="shared" si="165"/>
        <v>-4960.8086715919353</v>
      </c>
    </row>
    <row r="1362" spans="1:11" x14ac:dyDescent="0.25">
      <c r="A1362" s="26">
        <v>1312</v>
      </c>
      <c r="B1362" s="82">
        <f t="shared" si="166"/>
        <v>0</v>
      </c>
      <c r="C1362" s="58">
        <f t="shared" si="170"/>
        <v>171.9194128119324</v>
      </c>
      <c r="D1362" s="83">
        <f t="shared" si="167"/>
        <v>733.33333333333326</v>
      </c>
      <c r="E1362">
        <f t="shared" si="163"/>
        <v>0</v>
      </c>
      <c r="G1362">
        <v>1312</v>
      </c>
      <c r="H1362" s="13">
        <f t="shared" si="168"/>
        <v>-1.0275684203264746E-2</v>
      </c>
      <c r="I1362">
        <f t="shared" si="169"/>
        <v>158.43771513724906</v>
      </c>
      <c r="J1362">
        <f t="shared" si="164"/>
        <v>694.79388570609217</v>
      </c>
      <c r="K1362" s="27">
        <f t="shared" si="165"/>
        <v>-4960.1285105600591</v>
      </c>
    </row>
    <row r="1363" spans="1:11" x14ac:dyDescent="0.25">
      <c r="A1363" s="26">
        <v>1313</v>
      </c>
      <c r="B1363" s="82">
        <f t="shared" si="166"/>
        <v>0</v>
      </c>
      <c r="C1363" s="58">
        <f t="shared" si="170"/>
        <v>171.9194128119324</v>
      </c>
      <c r="D1363" s="83">
        <f t="shared" si="167"/>
        <v>733.33333333333326</v>
      </c>
      <c r="E1363">
        <f t="shared" si="163"/>
        <v>0</v>
      </c>
      <c r="G1363">
        <v>1313</v>
      </c>
      <c r="H1363" s="13">
        <f t="shared" si="168"/>
        <v>-1.0275684203264746E-2</v>
      </c>
      <c r="I1363">
        <f t="shared" si="169"/>
        <v>158.42743945304579</v>
      </c>
      <c r="J1363">
        <f t="shared" si="164"/>
        <v>694.74621780474934</v>
      </c>
      <c r="K1363" s="27">
        <f t="shared" si="165"/>
        <v>-4959.447419759028</v>
      </c>
    </row>
    <row r="1364" spans="1:11" x14ac:dyDescent="0.25">
      <c r="A1364" s="26">
        <v>1314</v>
      </c>
      <c r="B1364" s="82">
        <f t="shared" si="166"/>
        <v>0</v>
      </c>
      <c r="C1364" s="58">
        <f t="shared" si="170"/>
        <v>171.9194128119324</v>
      </c>
      <c r="D1364" s="83">
        <f t="shared" si="167"/>
        <v>733.33333333333326</v>
      </c>
      <c r="E1364">
        <f t="shared" si="163"/>
        <v>0</v>
      </c>
      <c r="G1364">
        <v>1314</v>
      </c>
      <c r="H1364" s="13">
        <f t="shared" si="168"/>
        <v>-1.0275684203264746E-2</v>
      </c>
      <c r="I1364">
        <f t="shared" si="169"/>
        <v>158.41716376884253</v>
      </c>
      <c r="J1364">
        <f t="shared" si="164"/>
        <v>694.69848137544614</v>
      </c>
      <c r="K1364" s="27">
        <f t="shared" si="165"/>
        <v>-4958.765395360505</v>
      </c>
    </row>
    <row r="1365" spans="1:11" x14ac:dyDescent="0.25">
      <c r="A1365" s="26">
        <v>1315</v>
      </c>
      <c r="B1365" s="82">
        <f t="shared" si="166"/>
        <v>0</v>
      </c>
      <c r="C1365" s="58">
        <f t="shared" si="170"/>
        <v>171.9194128119324</v>
      </c>
      <c r="D1365" s="83">
        <f t="shared" si="167"/>
        <v>733.33333333333326</v>
      </c>
      <c r="E1365">
        <f t="shared" si="163"/>
        <v>0</v>
      </c>
      <c r="G1365">
        <v>1315</v>
      </c>
      <c r="H1365" s="13">
        <f t="shared" si="168"/>
        <v>-1.0275684203264746E-2</v>
      </c>
      <c r="I1365">
        <f t="shared" si="169"/>
        <v>158.40688808463926</v>
      </c>
      <c r="J1365">
        <f t="shared" si="164"/>
        <v>694.65067613496035</v>
      </c>
      <c r="K1365" s="27">
        <f t="shared" si="165"/>
        <v>-4958.0824335095012</v>
      </c>
    </row>
    <row r="1366" spans="1:11" x14ac:dyDescent="0.25">
      <c r="A1366" s="26">
        <v>1316</v>
      </c>
      <c r="B1366" s="82">
        <f t="shared" si="166"/>
        <v>0</v>
      </c>
      <c r="C1366" s="58">
        <f t="shared" si="170"/>
        <v>171.9194128119324</v>
      </c>
      <c r="D1366" s="83">
        <f t="shared" si="167"/>
        <v>733.33333333333326</v>
      </c>
      <c r="E1366">
        <f t="shared" si="163"/>
        <v>0</v>
      </c>
      <c r="G1366">
        <v>1316</v>
      </c>
      <c r="H1366" s="13">
        <f t="shared" si="168"/>
        <v>-1.0275684203264746E-2</v>
      </c>
      <c r="I1366">
        <f t="shared" si="169"/>
        <v>158.396612400436</v>
      </c>
      <c r="J1366">
        <f t="shared" si="164"/>
        <v>694.60280179809524</v>
      </c>
      <c r="K1366" s="27">
        <f t="shared" si="165"/>
        <v>-4957.3985303241116</v>
      </c>
    </row>
    <row r="1367" spans="1:11" x14ac:dyDescent="0.25">
      <c r="A1367" s="26">
        <v>1317</v>
      </c>
      <c r="B1367" s="82">
        <f t="shared" si="166"/>
        <v>0</v>
      </c>
      <c r="C1367" s="58">
        <f t="shared" si="170"/>
        <v>171.9194128119324</v>
      </c>
      <c r="D1367" s="83">
        <f t="shared" si="167"/>
        <v>733.33333333333326</v>
      </c>
      <c r="E1367">
        <f t="shared" si="163"/>
        <v>0</v>
      </c>
      <c r="G1367">
        <v>1317</v>
      </c>
      <c r="H1367" s="13">
        <f t="shared" si="168"/>
        <v>-1.0275684203264746E-2</v>
      </c>
      <c r="I1367">
        <f t="shared" si="169"/>
        <v>158.38633671623273</v>
      </c>
      <c r="J1367">
        <f t="shared" si="164"/>
        <v>694.55485807766036</v>
      </c>
      <c r="K1367" s="27">
        <f t="shared" si="165"/>
        <v>-4956.7136818952577</v>
      </c>
    </row>
    <row r="1368" spans="1:11" x14ac:dyDescent="0.25">
      <c r="A1368" s="26">
        <v>1318</v>
      </c>
      <c r="B1368" s="82">
        <f t="shared" si="166"/>
        <v>0</v>
      </c>
      <c r="C1368" s="58">
        <f t="shared" si="170"/>
        <v>171.9194128119324</v>
      </c>
      <c r="D1368" s="83">
        <f t="shared" si="167"/>
        <v>733.33333333333326</v>
      </c>
      <c r="E1368">
        <f t="shared" si="163"/>
        <v>0</v>
      </c>
      <c r="G1368">
        <v>1318</v>
      </c>
      <c r="H1368" s="13">
        <f t="shared" si="168"/>
        <v>-1.0275684203264746E-2</v>
      </c>
      <c r="I1368">
        <f t="shared" si="169"/>
        <v>158.37606103202947</v>
      </c>
      <c r="J1368">
        <f t="shared" si="164"/>
        <v>694.50684468445161</v>
      </c>
      <c r="K1368" s="27">
        <f t="shared" si="165"/>
        <v>-4956.0278842864109</v>
      </c>
    </row>
    <row r="1369" spans="1:11" x14ac:dyDescent="0.25">
      <c r="A1369" s="26">
        <v>1319</v>
      </c>
      <c r="B1369" s="82">
        <f t="shared" si="166"/>
        <v>0</v>
      </c>
      <c r="C1369" s="58">
        <f t="shared" si="170"/>
        <v>171.9194128119324</v>
      </c>
      <c r="D1369" s="83">
        <f t="shared" si="167"/>
        <v>733.33333333333326</v>
      </c>
      <c r="E1369">
        <f t="shared" si="163"/>
        <v>0</v>
      </c>
      <c r="G1369">
        <v>1319</v>
      </c>
      <c r="H1369" s="13">
        <f t="shared" si="168"/>
        <v>-1.0275684203264746E-2</v>
      </c>
      <c r="I1369">
        <f t="shared" si="169"/>
        <v>158.3657853478262</v>
      </c>
      <c r="J1369">
        <f t="shared" si="164"/>
        <v>694.45876132723151</v>
      </c>
      <c r="K1369" s="27">
        <f t="shared" si="165"/>
        <v>-4955.3411335333285</v>
      </c>
    </row>
    <row r="1370" spans="1:11" x14ac:dyDescent="0.25">
      <c r="A1370" s="26">
        <v>1320</v>
      </c>
      <c r="B1370" s="82">
        <f t="shared" si="166"/>
        <v>0</v>
      </c>
      <c r="C1370" s="58">
        <f t="shared" si="170"/>
        <v>171.9194128119324</v>
      </c>
      <c r="D1370" s="83">
        <f t="shared" si="167"/>
        <v>733.33333333333326</v>
      </c>
      <c r="E1370">
        <f t="shared" si="163"/>
        <v>0</v>
      </c>
      <c r="G1370">
        <v>1320</v>
      </c>
      <c r="H1370" s="13">
        <f t="shared" si="168"/>
        <v>-1.0275684203264746E-2</v>
      </c>
      <c r="I1370">
        <f t="shared" si="169"/>
        <v>158.35550966362294</v>
      </c>
      <c r="J1370">
        <f t="shared" si="164"/>
        <v>694.41060771270941</v>
      </c>
      <c r="K1370" s="27">
        <f t="shared" si="165"/>
        <v>-4954.6534256437808</v>
      </c>
    </row>
    <row r="1371" spans="1:11" x14ac:dyDescent="0.25">
      <c r="A1371" s="26">
        <v>1321</v>
      </c>
      <c r="B1371" s="82">
        <f t="shared" si="166"/>
        <v>0</v>
      </c>
      <c r="C1371" s="58">
        <f t="shared" si="170"/>
        <v>171.9194128119324</v>
      </c>
      <c r="D1371" s="83">
        <f t="shared" si="167"/>
        <v>733.33333333333326</v>
      </c>
      <c r="E1371">
        <f t="shared" si="163"/>
        <v>0</v>
      </c>
      <c r="G1371">
        <v>1321</v>
      </c>
      <c r="H1371" s="13">
        <f t="shared" si="168"/>
        <v>-1.0275684203264746E-2</v>
      </c>
      <c r="I1371">
        <f t="shared" si="169"/>
        <v>158.34523397941967</v>
      </c>
      <c r="J1371">
        <f t="shared" si="164"/>
        <v>694.36238354552074</v>
      </c>
      <c r="K1371" s="27">
        <f t="shared" si="165"/>
        <v>-4953.9647565972673</v>
      </c>
    </row>
    <row r="1372" spans="1:11" x14ac:dyDescent="0.25">
      <c r="A1372" s="26">
        <v>1322</v>
      </c>
      <c r="B1372" s="82">
        <f t="shared" si="166"/>
        <v>0</v>
      </c>
      <c r="C1372" s="58">
        <f t="shared" si="170"/>
        <v>171.9194128119324</v>
      </c>
      <c r="D1372" s="83">
        <f t="shared" si="167"/>
        <v>733.33333333333326</v>
      </c>
      <c r="E1372">
        <f t="shared" si="163"/>
        <v>0</v>
      </c>
      <c r="G1372">
        <v>1322</v>
      </c>
      <c r="H1372" s="13">
        <f t="shared" si="168"/>
        <v>-1.0275684203264746E-2</v>
      </c>
      <c r="I1372">
        <f t="shared" si="169"/>
        <v>158.33495829521641</v>
      </c>
      <c r="J1372">
        <f t="shared" si="164"/>
        <v>694.31408852820664</v>
      </c>
      <c r="K1372" s="27">
        <f t="shared" si="165"/>
        <v>-4953.2751223447367</v>
      </c>
    </row>
    <row r="1373" spans="1:11" x14ac:dyDescent="0.25">
      <c r="A1373" s="26">
        <v>1323</v>
      </c>
      <c r="B1373" s="82">
        <f t="shared" si="166"/>
        <v>0</v>
      </c>
      <c r="C1373" s="58">
        <f t="shared" si="170"/>
        <v>171.9194128119324</v>
      </c>
      <c r="D1373" s="83">
        <f t="shared" si="167"/>
        <v>733.33333333333326</v>
      </c>
      <c r="E1373">
        <f t="shared" si="163"/>
        <v>0</v>
      </c>
      <c r="G1373">
        <v>1323</v>
      </c>
      <c r="H1373" s="13">
        <f t="shared" si="168"/>
        <v>-1.0275684203264746E-2</v>
      </c>
      <c r="I1373">
        <f t="shared" si="169"/>
        <v>158.32468261101315</v>
      </c>
      <c r="J1373">
        <f t="shared" si="164"/>
        <v>694.26572236119296</v>
      </c>
      <c r="K1373" s="27">
        <f t="shared" si="165"/>
        <v>-4952.5845188083058</v>
      </c>
    </row>
    <row r="1374" spans="1:11" x14ac:dyDescent="0.25">
      <c r="A1374" s="26">
        <v>1324</v>
      </c>
      <c r="B1374" s="82">
        <f t="shared" si="166"/>
        <v>0</v>
      </c>
      <c r="C1374" s="58">
        <f t="shared" si="170"/>
        <v>171.9194128119324</v>
      </c>
      <c r="D1374" s="83">
        <f t="shared" si="167"/>
        <v>733.33333333333326</v>
      </c>
      <c r="E1374">
        <f t="shared" si="163"/>
        <v>0</v>
      </c>
      <c r="G1374">
        <v>1324</v>
      </c>
      <c r="H1374" s="13">
        <f t="shared" si="168"/>
        <v>-1.0275684203264746E-2</v>
      </c>
      <c r="I1374">
        <f t="shared" si="169"/>
        <v>158.31440692680988</v>
      </c>
      <c r="J1374">
        <f t="shared" si="164"/>
        <v>694.21728474276915</v>
      </c>
      <c r="K1374" s="27">
        <f t="shared" si="165"/>
        <v>-4951.8929418809666</v>
      </c>
    </row>
    <row r="1375" spans="1:11" x14ac:dyDescent="0.25">
      <c r="A1375" s="26">
        <v>1325</v>
      </c>
      <c r="B1375" s="82">
        <f t="shared" si="166"/>
        <v>0</v>
      </c>
      <c r="C1375" s="58">
        <f t="shared" si="170"/>
        <v>171.9194128119324</v>
      </c>
      <c r="D1375" s="83">
        <f t="shared" si="167"/>
        <v>733.33333333333326</v>
      </c>
      <c r="E1375">
        <f t="shared" si="163"/>
        <v>0</v>
      </c>
      <c r="G1375">
        <v>1325</v>
      </c>
      <c r="H1375" s="13">
        <f t="shared" si="168"/>
        <v>-1.0275684203264746E-2</v>
      </c>
      <c r="I1375">
        <f t="shared" si="169"/>
        <v>158.30413124260662</v>
      </c>
      <c r="J1375">
        <f t="shared" si="164"/>
        <v>694.16877536906691</v>
      </c>
      <c r="K1375" s="27">
        <f t="shared" si="165"/>
        <v>-4951.2003874262991</v>
      </c>
    </row>
    <row r="1376" spans="1:11" x14ac:dyDescent="0.25">
      <c r="A1376" s="26">
        <v>1326</v>
      </c>
      <c r="B1376" s="82">
        <f t="shared" si="166"/>
        <v>0</v>
      </c>
      <c r="C1376" s="58">
        <f t="shared" si="170"/>
        <v>171.9194128119324</v>
      </c>
      <c r="D1376" s="83">
        <f t="shared" si="167"/>
        <v>733.33333333333326</v>
      </c>
      <c r="E1376">
        <f t="shared" si="163"/>
        <v>0</v>
      </c>
      <c r="G1376">
        <v>1326</v>
      </c>
      <c r="H1376" s="13">
        <f t="shared" si="168"/>
        <v>-1.0275684203264746E-2</v>
      </c>
      <c r="I1376">
        <f t="shared" si="169"/>
        <v>158.29385555840335</v>
      </c>
      <c r="J1376">
        <f t="shared" si="164"/>
        <v>694.12019393403841</v>
      </c>
      <c r="K1376" s="27">
        <f t="shared" si="165"/>
        <v>-4950.5068512781681</v>
      </c>
    </row>
    <row r="1377" spans="1:11" x14ac:dyDescent="0.25">
      <c r="A1377" s="26">
        <v>1327</v>
      </c>
      <c r="B1377" s="82">
        <f t="shared" si="166"/>
        <v>0</v>
      </c>
      <c r="C1377" s="58">
        <f t="shared" si="170"/>
        <v>171.9194128119324</v>
      </c>
      <c r="D1377" s="83">
        <f t="shared" si="167"/>
        <v>733.33333333333326</v>
      </c>
      <c r="E1377">
        <f t="shared" si="163"/>
        <v>0</v>
      </c>
      <c r="G1377">
        <v>1327</v>
      </c>
      <c r="H1377" s="13">
        <f t="shared" si="168"/>
        <v>-1.0275684203264746E-2</v>
      </c>
      <c r="I1377">
        <f t="shared" si="169"/>
        <v>158.28357987420009</v>
      </c>
      <c r="J1377">
        <f t="shared" si="164"/>
        <v>694.07154012943442</v>
      </c>
      <c r="K1377" s="27">
        <f t="shared" si="165"/>
        <v>-4949.812329240428</v>
      </c>
    </row>
    <row r="1378" spans="1:11" x14ac:dyDescent="0.25">
      <c r="A1378" s="26">
        <v>1328</v>
      </c>
      <c r="B1378" s="82">
        <f t="shared" si="166"/>
        <v>0</v>
      </c>
      <c r="C1378" s="58">
        <f t="shared" si="170"/>
        <v>171.9194128119324</v>
      </c>
      <c r="D1378" s="83">
        <f t="shared" si="167"/>
        <v>733.33333333333326</v>
      </c>
      <c r="E1378">
        <f t="shared" si="163"/>
        <v>0</v>
      </c>
      <c r="G1378">
        <v>1328</v>
      </c>
      <c r="H1378" s="13">
        <f t="shared" si="168"/>
        <v>-1.0275684203264746E-2</v>
      </c>
      <c r="I1378">
        <f t="shared" si="169"/>
        <v>158.27330418999682</v>
      </c>
      <c r="J1378">
        <f t="shared" si="164"/>
        <v>694.02281364478188</v>
      </c>
      <c r="K1378" s="27">
        <f t="shared" si="165"/>
        <v>-4949.1168170866204</v>
      </c>
    </row>
    <row r="1379" spans="1:11" x14ac:dyDescent="0.25">
      <c r="A1379" s="26">
        <v>1329</v>
      </c>
      <c r="B1379" s="82">
        <f t="shared" si="166"/>
        <v>0</v>
      </c>
      <c r="C1379" s="58">
        <f t="shared" si="170"/>
        <v>171.9194128119324</v>
      </c>
      <c r="D1379" s="83">
        <f t="shared" si="167"/>
        <v>733.33333333333326</v>
      </c>
      <c r="E1379">
        <f t="shared" si="163"/>
        <v>0</v>
      </c>
      <c r="G1379">
        <v>1329</v>
      </c>
      <c r="H1379" s="13">
        <f t="shared" si="168"/>
        <v>-1.0275684203264746E-2</v>
      </c>
      <c r="I1379">
        <f t="shared" si="169"/>
        <v>158.26302850579356</v>
      </c>
      <c r="J1379">
        <f t="shared" si="164"/>
        <v>693.97401416736159</v>
      </c>
      <c r="K1379" s="27">
        <f t="shared" si="165"/>
        <v>-4948.4203105596598</v>
      </c>
    </row>
    <row r="1380" spans="1:11" x14ac:dyDescent="0.25">
      <c r="A1380" s="26">
        <v>1330</v>
      </c>
      <c r="B1380" s="82">
        <f t="shared" si="166"/>
        <v>0</v>
      </c>
      <c r="C1380" s="58">
        <f t="shared" si="170"/>
        <v>171.9194128119324</v>
      </c>
      <c r="D1380" s="83">
        <f t="shared" si="167"/>
        <v>733.33333333333326</v>
      </c>
      <c r="E1380">
        <f t="shared" si="163"/>
        <v>0</v>
      </c>
      <c r="G1380">
        <v>1330</v>
      </c>
      <c r="H1380" s="13">
        <f t="shared" si="168"/>
        <v>-1.0275684203264746E-2</v>
      </c>
      <c r="I1380">
        <f t="shared" si="169"/>
        <v>158.25275282159029</v>
      </c>
      <c r="J1380">
        <f t="shared" si="164"/>
        <v>693.92514138218496</v>
      </c>
      <c r="K1380" s="27">
        <f t="shared" si="165"/>
        <v>-4947.7228053715244</v>
      </c>
    </row>
    <row r="1381" spans="1:11" x14ac:dyDescent="0.25">
      <c r="A1381" s="26">
        <v>1331</v>
      </c>
      <c r="B1381" s="82">
        <f t="shared" si="166"/>
        <v>0</v>
      </c>
      <c r="C1381" s="58">
        <f t="shared" si="170"/>
        <v>171.9194128119324</v>
      </c>
      <c r="D1381" s="83">
        <f t="shared" si="167"/>
        <v>733.33333333333326</v>
      </c>
      <c r="E1381">
        <f t="shared" si="163"/>
        <v>0</v>
      </c>
      <c r="G1381">
        <v>1331</v>
      </c>
      <c r="H1381" s="13">
        <f t="shared" si="168"/>
        <v>-1.0275684203264746E-2</v>
      </c>
      <c r="I1381">
        <f t="shared" si="169"/>
        <v>158.24247713738703</v>
      </c>
      <c r="J1381">
        <f t="shared" si="164"/>
        <v>693.87619497197136</v>
      </c>
      <c r="K1381" s="27">
        <f t="shared" si="165"/>
        <v>-4947.0242972029482</v>
      </c>
    </row>
    <row r="1382" spans="1:11" x14ac:dyDescent="0.25">
      <c r="A1382" s="26">
        <v>1332</v>
      </c>
      <c r="B1382" s="82">
        <f t="shared" si="166"/>
        <v>0</v>
      </c>
      <c r="C1382" s="58">
        <f t="shared" si="170"/>
        <v>171.9194128119324</v>
      </c>
      <c r="D1382" s="83">
        <f t="shared" si="167"/>
        <v>733.33333333333326</v>
      </c>
      <c r="E1382">
        <f t="shared" si="163"/>
        <v>0</v>
      </c>
      <c r="G1382">
        <v>1332</v>
      </c>
      <c r="H1382" s="13">
        <f t="shared" si="168"/>
        <v>-1.0275684203264746E-2</v>
      </c>
      <c r="I1382">
        <f t="shared" si="169"/>
        <v>158.23220145318376</v>
      </c>
      <c r="J1382">
        <f t="shared" si="164"/>
        <v>693.82717461712446</v>
      </c>
      <c r="K1382" s="27">
        <f t="shared" si="165"/>
        <v>-4946.324781703087</v>
      </c>
    </row>
    <row r="1383" spans="1:11" x14ac:dyDescent="0.25">
      <c r="A1383" s="26">
        <v>1333</v>
      </c>
      <c r="B1383" s="82">
        <f t="shared" si="166"/>
        <v>0</v>
      </c>
      <c r="C1383" s="58">
        <f t="shared" si="170"/>
        <v>171.9194128119324</v>
      </c>
      <c r="D1383" s="83">
        <f t="shared" si="167"/>
        <v>733.33333333333326</v>
      </c>
      <c r="E1383">
        <f t="shared" si="163"/>
        <v>0</v>
      </c>
      <c r="G1383">
        <v>1333</v>
      </c>
      <c r="H1383" s="13">
        <f t="shared" si="168"/>
        <v>-1.0275684203264746E-2</v>
      </c>
      <c r="I1383">
        <f t="shared" si="169"/>
        <v>158.2219257689805</v>
      </c>
      <c r="J1383">
        <f t="shared" si="164"/>
        <v>693.77807999570825</v>
      </c>
      <c r="K1383" s="27">
        <f t="shared" si="165"/>
        <v>-4945.6242544892038</v>
      </c>
    </row>
    <row r="1384" spans="1:11" x14ac:dyDescent="0.25">
      <c r="A1384" s="26">
        <v>1334</v>
      </c>
      <c r="B1384" s="82">
        <f t="shared" si="166"/>
        <v>0</v>
      </c>
      <c r="C1384" s="58">
        <f t="shared" si="170"/>
        <v>171.9194128119324</v>
      </c>
      <c r="D1384" s="83">
        <f t="shared" si="167"/>
        <v>733.33333333333326</v>
      </c>
      <c r="E1384">
        <f t="shared" si="163"/>
        <v>0</v>
      </c>
      <c r="G1384">
        <v>1334</v>
      </c>
      <c r="H1384" s="13">
        <f t="shared" si="168"/>
        <v>-1.0275684203264746E-2</v>
      </c>
      <c r="I1384">
        <f t="shared" si="169"/>
        <v>158.21165008477723</v>
      </c>
      <c r="J1384">
        <f t="shared" si="164"/>
        <v>693.72891078342332</v>
      </c>
      <c r="K1384" s="27">
        <f t="shared" si="165"/>
        <v>-4944.9227111463379</v>
      </c>
    </row>
    <row r="1385" spans="1:11" x14ac:dyDescent="0.25">
      <c r="A1385" s="26">
        <v>1335</v>
      </c>
      <c r="B1385" s="82">
        <f t="shared" si="166"/>
        <v>0</v>
      </c>
      <c r="C1385" s="58">
        <f t="shared" si="170"/>
        <v>171.9194128119324</v>
      </c>
      <c r="D1385" s="83">
        <f t="shared" si="167"/>
        <v>733.33333333333326</v>
      </c>
      <c r="E1385">
        <f t="shared" si="163"/>
        <v>0</v>
      </c>
      <c r="G1385">
        <v>1335</v>
      </c>
      <c r="H1385" s="13">
        <f t="shared" si="168"/>
        <v>-1.0275684203264746E-2</v>
      </c>
      <c r="I1385">
        <f t="shared" si="169"/>
        <v>158.20137440057397</v>
      </c>
      <c r="J1385">
        <f t="shared" si="164"/>
        <v>693.67966665358244</v>
      </c>
      <c r="K1385" s="27">
        <f t="shared" si="165"/>
        <v>-4944.2201472269689</v>
      </c>
    </row>
    <row r="1386" spans="1:11" x14ac:dyDescent="0.25">
      <c r="A1386" s="26">
        <v>1336</v>
      </c>
      <c r="B1386" s="82">
        <f t="shared" si="166"/>
        <v>0</v>
      </c>
      <c r="C1386" s="58">
        <f t="shared" si="170"/>
        <v>171.9194128119324</v>
      </c>
      <c r="D1386" s="83">
        <f t="shared" si="167"/>
        <v>733.33333333333326</v>
      </c>
      <c r="E1386">
        <f t="shared" si="163"/>
        <v>0</v>
      </c>
      <c r="G1386">
        <v>1336</v>
      </c>
      <c r="H1386" s="13">
        <f t="shared" si="168"/>
        <v>-1.0275684203264746E-2</v>
      </c>
      <c r="I1386">
        <f t="shared" si="169"/>
        <v>158.1910987163707</v>
      </c>
      <c r="J1386">
        <f t="shared" si="164"/>
        <v>693.63034727708521</v>
      </c>
      <c r="K1386" s="27">
        <f t="shared" si="165"/>
        <v>-4943.5165582506806</v>
      </c>
    </row>
    <row r="1387" spans="1:11" x14ac:dyDescent="0.25">
      <c r="A1387" s="26">
        <v>1337</v>
      </c>
      <c r="B1387" s="82">
        <f t="shared" si="166"/>
        <v>0</v>
      </c>
      <c r="C1387" s="58">
        <f t="shared" si="170"/>
        <v>171.9194128119324</v>
      </c>
      <c r="D1387" s="83">
        <f t="shared" si="167"/>
        <v>733.33333333333326</v>
      </c>
      <c r="E1387">
        <f t="shared" si="163"/>
        <v>0</v>
      </c>
      <c r="G1387">
        <v>1337</v>
      </c>
      <c r="H1387" s="13">
        <f t="shared" si="168"/>
        <v>-1.0275684203264746E-2</v>
      </c>
      <c r="I1387">
        <f t="shared" si="169"/>
        <v>158.18082303216744</v>
      </c>
      <c r="J1387">
        <f t="shared" si="164"/>
        <v>693.58095232239407</v>
      </c>
      <c r="K1387" s="27">
        <f t="shared" si="165"/>
        <v>-4942.8119397038236</v>
      </c>
    </row>
    <row r="1388" spans="1:11" x14ac:dyDescent="0.25">
      <c r="A1388" s="26">
        <v>1338</v>
      </c>
      <c r="B1388" s="82">
        <f t="shared" si="166"/>
        <v>0</v>
      </c>
      <c r="C1388" s="58">
        <f t="shared" si="170"/>
        <v>171.9194128119324</v>
      </c>
      <c r="D1388" s="83">
        <f t="shared" si="167"/>
        <v>733.33333333333326</v>
      </c>
      <c r="E1388">
        <f t="shared" si="163"/>
        <v>0</v>
      </c>
      <c r="G1388">
        <v>1338</v>
      </c>
      <c r="H1388" s="13">
        <f t="shared" si="168"/>
        <v>-1.0275684203264746E-2</v>
      </c>
      <c r="I1388">
        <f t="shared" si="169"/>
        <v>158.17054734796417</v>
      </c>
      <c r="J1388">
        <f t="shared" si="164"/>
        <v>693.53148145550813</v>
      </c>
      <c r="K1388" s="27">
        <f t="shared" si="165"/>
        <v>-4942.1062870391625</v>
      </c>
    </row>
    <row r="1389" spans="1:11" x14ac:dyDescent="0.25">
      <c r="A1389" s="26">
        <v>1339</v>
      </c>
      <c r="B1389" s="82">
        <f t="shared" si="166"/>
        <v>0</v>
      </c>
      <c r="C1389" s="58">
        <f t="shared" si="170"/>
        <v>171.9194128119324</v>
      </c>
      <c r="D1389" s="83">
        <f t="shared" si="167"/>
        <v>733.33333333333326</v>
      </c>
      <c r="E1389">
        <f t="shared" si="163"/>
        <v>0</v>
      </c>
      <c r="G1389">
        <v>1339</v>
      </c>
      <c r="H1389" s="13">
        <f t="shared" si="168"/>
        <v>-1.0275684203264746E-2</v>
      </c>
      <c r="I1389">
        <f t="shared" si="169"/>
        <v>158.16027166376091</v>
      </c>
      <c r="J1389">
        <f t="shared" si="164"/>
        <v>693.48193433993754</v>
      </c>
      <c r="K1389" s="27">
        <f t="shared" si="165"/>
        <v>-4941.3995956755252</v>
      </c>
    </row>
    <row r="1390" spans="1:11" x14ac:dyDescent="0.25">
      <c r="A1390" s="26">
        <v>1340</v>
      </c>
      <c r="B1390" s="82">
        <f t="shared" si="166"/>
        <v>0</v>
      </c>
      <c r="C1390" s="58">
        <f t="shared" si="170"/>
        <v>171.9194128119324</v>
      </c>
      <c r="D1390" s="83">
        <f t="shared" si="167"/>
        <v>733.33333333333326</v>
      </c>
      <c r="E1390">
        <f t="shared" si="163"/>
        <v>0</v>
      </c>
      <c r="G1390">
        <v>1340</v>
      </c>
      <c r="H1390" s="13">
        <f t="shared" si="168"/>
        <v>-1.0275684203264746E-2</v>
      </c>
      <c r="I1390">
        <f t="shared" si="169"/>
        <v>158.14999597955764</v>
      </c>
      <c r="J1390">
        <f t="shared" si="164"/>
        <v>693.43231063667793</v>
      </c>
      <c r="K1390" s="27">
        <f t="shared" si="165"/>
        <v>-4940.6918609974518</v>
      </c>
    </row>
    <row r="1391" spans="1:11" x14ac:dyDescent="0.25">
      <c r="A1391" s="26">
        <v>1341</v>
      </c>
      <c r="B1391" s="82">
        <f t="shared" si="166"/>
        <v>0</v>
      </c>
      <c r="C1391" s="58">
        <f t="shared" si="170"/>
        <v>171.9194128119324</v>
      </c>
      <c r="D1391" s="83">
        <f t="shared" si="167"/>
        <v>733.33333333333326</v>
      </c>
      <c r="E1391">
        <f t="shared" si="163"/>
        <v>0</v>
      </c>
      <c r="G1391">
        <v>1341</v>
      </c>
      <c r="H1391" s="13">
        <f t="shared" si="168"/>
        <v>-1.0275684203264746E-2</v>
      </c>
      <c r="I1391">
        <f t="shared" si="169"/>
        <v>158.13972029535438</v>
      </c>
      <c r="J1391">
        <f t="shared" si="164"/>
        <v>693.38261000418322</v>
      </c>
      <c r="K1391" s="27">
        <f t="shared" si="165"/>
        <v>-4939.9830783548286</v>
      </c>
    </row>
    <row r="1392" spans="1:11" x14ac:dyDescent="0.25">
      <c r="A1392" s="26">
        <v>1342</v>
      </c>
      <c r="B1392" s="82">
        <f t="shared" si="166"/>
        <v>0</v>
      </c>
      <c r="C1392" s="58">
        <f t="shared" si="170"/>
        <v>171.9194128119324</v>
      </c>
      <c r="D1392" s="83">
        <f t="shared" si="167"/>
        <v>733.33333333333326</v>
      </c>
      <c r="E1392">
        <f t="shared" si="163"/>
        <v>0</v>
      </c>
      <c r="G1392">
        <v>1342</v>
      </c>
      <c r="H1392" s="13">
        <f t="shared" si="168"/>
        <v>-1.0275684203264746E-2</v>
      </c>
      <c r="I1392">
        <f t="shared" si="169"/>
        <v>158.12944461115111</v>
      </c>
      <c r="J1392">
        <f t="shared" si="164"/>
        <v>693.3328320983394</v>
      </c>
      <c r="K1392" s="27">
        <f t="shared" si="165"/>
        <v>-4939.2732430625247</v>
      </c>
    </row>
    <row r="1393" spans="1:11" x14ac:dyDescent="0.25">
      <c r="A1393" s="26">
        <v>1343</v>
      </c>
      <c r="B1393" s="82">
        <f t="shared" si="166"/>
        <v>0</v>
      </c>
      <c r="C1393" s="58">
        <f t="shared" si="170"/>
        <v>171.9194128119324</v>
      </c>
      <c r="D1393" s="83">
        <f t="shared" si="167"/>
        <v>733.33333333333326</v>
      </c>
      <c r="E1393">
        <f t="shared" si="163"/>
        <v>0</v>
      </c>
      <c r="G1393">
        <v>1343</v>
      </c>
      <c r="H1393" s="13">
        <f t="shared" si="168"/>
        <v>-1.0275684203264746E-2</v>
      </c>
      <c r="I1393">
        <f t="shared" si="169"/>
        <v>158.11916892694785</v>
      </c>
      <c r="J1393">
        <f t="shared" si="164"/>
        <v>693.28297657243729</v>
      </c>
      <c r="K1393" s="27">
        <f t="shared" si="165"/>
        <v>-4938.5623504000214</v>
      </c>
    </row>
    <row r="1394" spans="1:11" x14ac:dyDescent="0.25">
      <c r="A1394" s="26">
        <v>1344</v>
      </c>
      <c r="B1394" s="82">
        <f t="shared" si="166"/>
        <v>0</v>
      </c>
      <c r="C1394" s="58">
        <f t="shared" si="170"/>
        <v>171.9194128119324</v>
      </c>
      <c r="D1394" s="83">
        <f t="shared" si="167"/>
        <v>733.33333333333326</v>
      </c>
      <c r="E1394">
        <f t="shared" si="163"/>
        <v>0</v>
      </c>
      <c r="G1394">
        <v>1344</v>
      </c>
      <c r="H1394" s="13">
        <f t="shared" si="168"/>
        <v>-1.0275684203264746E-2</v>
      </c>
      <c r="I1394">
        <f t="shared" si="169"/>
        <v>158.10889324274459</v>
      </c>
      <c r="J1394">
        <f t="shared" si="164"/>
        <v>693.23304307714466</v>
      </c>
      <c r="K1394" s="27">
        <f t="shared" si="165"/>
        <v>-4937.8503956110344</v>
      </c>
    </row>
    <row r="1395" spans="1:11" x14ac:dyDescent="0.25">
      <c r="A1395" s="26">
        <v>1345</v>
      </c>
      <c r="B1395" s="82">
        <f t="shared" si="166"/>
        <v>0</v>
      </c>
      <c r="C1395" s="58">
        <f t="shared" si="170"/>
        <v>171.9194128119324</v>
      </c>
      <c r="D1395" s="83">
        <f t="shared" si="167"/>
        <v>733.33333333333326</v>
      </c>
      <c r="E1395">
        <f t="shared" ref="E1395:E1458" si="171">((D1395^2)+(D1395*D1396)+(D1396^2))*B1396/3</f>
        <v>0</v>
      </c>
      <c r="G1395">
        <v>1345</v>
      </c>
      <c r="H1395" s="13">
        <f t="shared" si="168"/>
        <v>-1.0275684203264746E-2</v>
      </c>
      <c r="I1395">
        <f t="shared" si="169"/>
        <v>158.09861755854132</v>
      </c>
      <c r="J1395">
        <f t="shared" ref="J1395:J1458" si="172">IF($G$28&lt;$C$14,0,((($C$11^2)-((I1395-$C$13)^2))^0.5)+$C$16)</f>
        <v>693.18303126047908</v>
      </c>
      <c r="K1395" s="27">
        <f t="shared" ref="K1395:K1458" si="173">((J1395^2)+(J1395*J1396)+(J1396^2))*H1396/3</f>
        <v>-4937.1373739031369</v>
      </c>
    </row>
    <row r="1396" spans="1:11" x14ac:dyDescent="0.25">
      <c r="A1396" s="26">
        <v>1346</v>
      </c>
      <c r="B1396" s="82">
        <f t="shared" ref="B1396:B1459" si="174">C1396-C1395</f>
        <v>0</v>
      </c>
      <c r="C1396" s="58">
        <f t="shared" si="170"/>
        <v>171.9194128119324</v>
      </c>
      <c r="D1396" s="83">
        <f t="shared" ref="D1396:D1459" si="175">IF($G$28&lt;$C$14,0,((($C$11^2)-((C1396-$C$13)^2))^0.5)+$C$16)</f>
        <v>733.33333333333326</v>
      </c>
      <c r="E1396">
        <f t="shared" si="171"/>
        <v>0</v>
      </c>
      <c r="G1396">
        <v>1346</v>
      </c>
      <c r="H1396" s="13">
        <f t="shared" ref="H1396:H1459" si="176">I1396-I1395</f>
        <v>-1.0275684203264746E-2</v>
      </c>
      <c r="I1396">
        <f t="shared" ref="I1396:I1459" si="177">($G$27-$C$14)/2000+I1395</f>
        <v>158.08834187433806</v>
      </c>
      <c r="J1396">
        <f t="shared" si="172"/>
        <v>693.13294076777879</v>
      </c>
      <c r="K1396" s="27">
        <f t="shared" si="173"/>
        <v>-4936.4232804473695</v>
      </c>
    </row>
    <row r="1397" spans="1:11" x14ac:dyDescent="0.25">
      <c r="A1397" s="26">
        <v>1347</v>
      </c>
      <c r="B1397" s="82">
        <f t="shared" si="174"/>
        <v>0</v>
      </c>
      <c r="C1397" s="58">
        <f t="shared" si="170"/>
        <v>171.9194128119324</v>
      </c>
      <c r="D1397" s="83">
        <f t="shared" si="175"/>
        <v>733.33333333333326</v>
      </c>
      <c r="E1397">
        <f t="shared" si="171"/>
        <v>0</v>
      </c>
      <c r="G1397">
        <v>1347</v>
      </c>
      <c r="H1397" s="13">
        <f t="shared" si="176"/>
        <v>-1.0275684203264746E-2</v>
      </c>
      <c r="I1397">
        <f t="shared" si="177"/>
        <v>158.07806619013479</v>
      </c>
      <c r="J1397">
        <f t="shared" si="172"/>
        <v>693.08277124167466</v>
      </c>
      <c r="K1397" s="27">
        <f t="shared" si="173"/>
        <v>-4935.7081103778492</v>
      </c>
    </row>
    <row r="1398" spans="1:11" x14ac:dyDescent="0.25">
      <c r="A1398" s="26">
        <v>1348</v>
      </c>
      <c r="B1398" s="82">
        <f t="shared" si="174"/>
        <v>0</v>
      </c>
      <c r="C1398" s="58">
        <f t="shared" si="170"/>
        <v>171.9194128119324</v>
      </c>
      <c r="D1398" s="83">
        <f t="shared" si="175"/>
        <v>733.33333333333326</v>
      </c>
      <c r="E1398">
        <f t="shared" si="171"/>
        <v>0</v>
      </c>
      <c r="G1398">
        <v>1348</v>
      </c>
      <c r="H1398" s="13">
        <f t="shared" si="176"/>
        <v>-1.0275684203264746E-2</v>
      </c>
      <c r="I1398">
        <f t="shared" si="177"/>
        <v>158.06779050593153</v>
      </c>
      <c r="J1398">
        <f t="shared" si="172"/>
        <v>693.03252232206069</v>
      </c>
      <c r="K1398" s="27">
        <f t="shared" si="173"/>
        <v>-4934.9918587913753</v>
      </c>
    </row>
    <row r="1399" spans="1:11" x14ac:dyDescent="0.25">
      <c r="A1399" s="26">
        <v>1349</v>
      </c>
      <c r="B1399" s="82">
        <f t="shared" si="174"/>
        <v>0</v>
      </c>
      <c r="C1399" s="58">
        <f t="shared" si="170"/>
        <v>171.9194128119324</v>
      </c>
      <c r="D1399" s="83">
        <f t="shared" si="175"/>
        <v>733.33333333333326</v>
      </c>
      <c r="E1399">
        <f t="shared" si="171"/>
        <v>0</v>
      </c>
      <c r="G1399">
        <v>1349</v>
      </c>
      <c r="H1399" s="13">
        <f t="shared" si="176"/>
        <v>-1.0275684203264746E-2</v>
      </c>
      <c r="I1399">
        <f t="shared" si="177"/>
        <v>158.05751482172826</v>
      </c>
      <c r="J1399">
        <f t="shared" si="172"/>
        <v>692.98219364606507</v>
      </c>
      <c r="K1399" s="27">
        <f t="shared" si="173"/>
        <v>-4934.2745207470243</v>
      </c>
    </row>
    <row r="1400" spans="1:11" x14ac:dyDescent="0.25">
      <c r="A1400" s="26">
        <v>1350</v>
      </c>
      <c r="B1400" s="82">
        <f t="shared" si="174"/>
        <v>0</v>
      </c>
      <c r="C1400" s="58">
        <f t="shared" si="170"/>
        <v>171.9194128119324</v>
      </c>
      <c r="D1400" s="83">
        <f t="shared" si="175"/>
        <v>733.33333333333326</v>
      </c>
      <c r="E1400">
        <f t="shared" si="171"/>
        <v>0</v>
      </c>
      <c r="G1400">
        <v>1350</v>
      </c>
      <c r="H1400" s="13">
        <f t="shared" si="176"/>
        <v>-1.0275684203264746E-2</v>
      </c>
      <c r="I1400">
        <f t="shared" si="177"/>
        <v>158.047239137525</v>
      </c>
      <c r="J1400">
        <f t="shared" si="172"/>
        <v>692.93178484801956</v>
      </c>
      <c r="K1400" s="27">
        <f t="shared" si="173"/>
        <v>-4933.5560912657411</v>
      </c>
    </row>
    <row r="1401" spans="1:11" x14ac:dyDescent="0.25">
      <c r="A1401" s="26">
        <v>1351</v>
      </c>
      <c r="B1401" s="82">
        <f t="shared" si="174"/>
        <v>0</v>
      </c>
      <c r="C1401" s="58">
        <f t="shared" si="170"/>
        <v>171.9194128119324</v>
      </c>
      <c r="D1401" s="83">
        <f t="shared" si="175"/>
        <v>733.33333333333326</v>
      </c>
      <c r="E1401">
        <f t="shared" si="171"/>
        <v>0</v>
      </c>
      <c r="G1401">
        <v>1351</v>
      </c>
      <c r="H1401" s="13">
        <f t="shared" si="176"/>
        <v>-1.0275684203264746E-2</v>
      </c>
      <c r="I1401">
        <f t="shared" si="177"/>
        <v>158.03696345332173</v>
      </c>
      <c r="J1401">
        <f t="shared" si="172"/>
        <v>692.8812955594301</v>
      </c>
      <c r="K1401" s="27">
        <f t="shared" si="173"/>
        <v>-4932.8365653299288</v>
      </c>
    </row>
    <row r="1402" spans="1:11" x14ac:dyDescent="0.25">
      <c r="A1402" s="26">
        <v>1352</v>
      </c>
      <c r="B1402" s="82">
        <f t="shared" si="174"/>
        <v>0</v>
      </c>
      <c r="C1402" s="58">
        <f t="shared" si="170"/>
        <v>171.9194128119324</v>
      </c>
      <c r="D1402" s="83">
        <f t="shared" si="175"/>
        <v>733.33333333333326</v>
      </c>
      <c r="E1402">
        <f t="shared" si="171"/>
        <v>0</v>
      </c>
      <c r="G1402">
        <v>1352</v>
      </c>
      <c r="H1402" s="13">
        <f t="shared" si="176"/>
        <v>-1.0275684203264746E-2</v>
      </c>
      <c r="I1402">
        <f t="shared" si="177"/>
        <v>158.02668776911847</v>
      </c>
      <c r="J1402">
        <f t="shared" si="172"/>
        <v>692.83072540894545</v>
      </c>
      <c r="K1402" s="27">
        <f t="shared" si="173"/>
        <v>-4932.1159378830298</v>
      </c>
    </row>
    <row r="1403" spans="1:11" x14ac:dyDescent="0.25">
      <c r="A1403" s="26">
        <v>1353</v>
      </c>
      <c r="B1403" s="82">
        <f t="shared" si="174"/>
        <v>0</v>
      </c>
      <c r="C1403" s="58">
        <f t="shared" si="170"/>
        <v>171.9194128119324</v>
      </c>
      <c r="D1403" s="83">
        <f t="shared" si="175"/>
        <v>733.33333333333326</v>
      </c>
      <c r="E1403">
        <f t="shared" si="171"/>
        <v>0</v>
      </c>
      <c r="G1403">
        <v>1353</v>
      </c>
      <c r="H1403" s="13">
        <f t="shared" si="176"/>
        <v>-1.0275684203264746E-2</v>
      </c>
      <c r="I1403">
        <f t="shared" si="177"/>
        <v>158.0164120849152</v>
      </c>
      <c r="J1403">
        <f t="shared" si="172"/>
        <v>692.78007402232606</v>
      </c>
      <c r="K1403" s="27">
        <f t="shared" si="173"/>
        <v>-4931.3942038290916</v>
      </c>
    </row>
    <row r="1404" spans="1:11" x14ac:dyDescent="0.25">
      <c r="A1404" s="26">
        <v>1354</v>
      </c>
      <c r="B1404" s="82">
        <f t="shared" si="174"/>
        <v>0</v>
      </c>
      <c r="C1404" s="58">
        <f t="shared" si="170"/>
        <v>171.9194128119324</v>
      </c>
      <c r="D1404" s="83">
        <f t="shared" si="175"/>
        <v>733.33333333333326</v>
      </c>
      <c r="E1404">
        <f t="shared" si="171"/>
        <v>0</v>
      </c>
      <c r="G1404">
        <v>1354</v>
      </c>
      <c r="H1404" s="13">
        <f t="shared" si="176"/>
        <v>-1.0275684203264746E-2</v>
      </c>
      <c r="I1404">
        <f t="shared" si="177"/>
        <v>158.00613640071194</v>
      </c>
      <c r="J1404">
        <f t="shared" si="172"/>
        <v>692.72934102241311</v>
      </c>
      <c r="K1404" s="27">
        <f t="shared" si="173"/>
        <v>-4930.6713580323485</v>
      </c>
    </row>
    <row r="1405" spans="1:11" x14ac:dyDescent="0.25">
      <c r="A1405" s="26">
        <v>1355</v>
      </c>
      <c r="B1405" s="82">
        <f t="shared" si="174"/>
        <v>0</v>
      </c>
      <c r="C1405" s="58">
        <f t="shared" si="170"/>
        <v>171.9194128119324</v>
      </c>
      <c r="D1405" s="83">
        <f t="shared" si="175"/>
        <v>733.33333333333326</v>
      </c>
      <c r="E1405">
        <f t="shared" si="171"/>
        <v>0</v>
      </c>
      <c r="G1405">
        <v>1355</v>
      </c>
      <c r="H1405" s="13">
        <f t="shared" si="176"/>
        <v>-1.0275684203264746E-2</v>
      </c>
      <c r="I1405">
        <f t="shared" si="177"/>
        <v>157.99586071650867</v>
      </c>
      <c r="J1405">
        <f t="shared" si="172"/>
        <v>692.67852602909556</v>
      </c>
      <c r="K1405" s="27">
        <f t="shared" si="173"/>
        <v>-4929.9473953167717</v>
      </c>
    </row>
    <row r="1406" spans="1:11" x14ac:dyDescent="0.25">
      <c r="A1406" s="26">
        <v>1356</v>
      </c>
      <c r="B1406" s="82">
        <f t="shared" si="174"/>
        <v>0</v>
      </c>
      <c r="C1406" s="58">
        <f t="shared" si="170"/>
        <v>171.9194128119324</v>
      </c>
      <c r="D1406" s="83">
        <f t="shared" si="175"/>
        <v>733.33333333333326</v>
      </c>
      <c r="E1406">
        <f t="shared" si="171"/>
        <v>0</v>
      </c>
      <c r="G1406">
        <v>1356</v>
      </c>
      <c r="H1406" s="13">
        <f t="shared" si="176"/>
        <v>-1.0275684203264746E-2</v>
      </c>
      <c r="I1406">
        <f t="shared" si="177"/>
        <v>157.98558503230541</v>
      </c>
      <c r="J1406">
        <f t="shared" si="172"/>
        <v>692.62762865927834</v>
      </c>
      <c r="K1406" s="27">
        <f t="shared" si="173"/>
        <v>-4929.2223104656359</v>
      </c>
    </row>
    <row r="1407" spans="1:11" x14ac:dyDescent="0.25">
      <c r="A1407" s="26">
        <v>1357</v>
      </c>
      <c r="B1407" s="82">
        <f t="shared" si="174"/>
        <v>0</v>
      </c>
      <c r="C1407" s="58">
        <f t="shared" si="170"/>
        <v>171.9194128119324</v>
      </c>
      <c r="D1407" s="83">
        <f t="shared" si="175"/>
        <v>733.33333333333326</v>
      </c>
      <c r="E1407">
        <f t="shared" si="171"/>
        <v>0</v>
      </c>
      <c r="G1407">
        <v>1357</v>
      </c>
      <c r="H1407" s="13">
        <f t="shared" si="176"/>
        <v>-1.0275684203264746E-2</v>
      </c>
      <c r="I1407">
        <f t="shared" si="177"/>
        <v>157.97530934810214</v>
      </c>
      <c r="J1407">
        <f t="shared" si="172"/>
        <v>692.57664852684945</v>
      </c>
      <c r="K1407" s="27">
        <f t="shared" si="173"/>
        <v>-4928.4960982210623</v>
      </c>
    </row>
    <row r="1408" spans="1:11" x14ac:dyDescent="0.25">
      <c r="A1408" s="26">
        <v>1358</v>
      </c>
      <c r="B1408" s="82">
        <f t="shared" si="174"/>
        <v>0</v>
      </c>
      <c r="C1408" s="58">
        <f t="shared" si="170"/>
        <v>171.9194128119324</v>
      </c>
      <c r="D1408" s="83">
        <f t="shared" si="175"/>
        <v>733.33333333333326</v>
      </c>
      <c r="E1408">
        <f t="shared" si="171"/>
        <v>0</v>
      </c>
      <c r="G1408">
        <v>1358</v>
      </c>
      <c r="H1408" s="13">
        <f t="shared" si="176"/>
        <v>-1.0275684203264746E-2</v>
      </c>
      <c r="I1408">
        <f t="shared" si="177"/>
        <v>157.96503366389888</v>
      </c>
      <c r="J1408">
        <f t="shared" si="172"/>
        <v>692.52558524264589</v>
      </c>
      <c r="K1408" s="27">
        <f t="shared" si="173"/>
        <v>-4927.7687532835653</v>
      </c>
    </row>
    <row r="1409" spans="1:11" x14ac:dyDescent="0.25">
      <c r="A1409" s="26">
        <v>1359</v>
      </c>
      <c r="B1409" s="82">
        <f t="shared" si="174"/>
        <v>0</v>
      </c>
      <c r="C1409" s="58">
        <f t="shared" si="170"/>
        <v>171.9194128119324</v>
      </c>
      <c r="D1409" s="83">
        <f t="shared" si="175"/>
        <v>733.33333333333326</v>
      </c>
      <c r="E1409">
        <f t="shared" si="171"/>
        <v>0</v>
      </c>
      <c r="G1409">
        <v>1359</v>
      </c>
      <c r="H1409" s="13">
        <f t="shared" si="176"/>
        <v>-1.0275684203264746E-2</v>
      </c>
      <c r="I1409">
        <f t="shared" si="177"/>
        <v>157.95475797969561</v>
      </c>
      <c r="J1409">
        <f t="shared" si="172"/>
        <v>692.47443841442066</v>
      </c>
      <c r="K1409" s="27">
        <f t="shared" si="173"/>
        <v>-4927.0402703115897</v>
      </c>
    </row>
    <row r="1410" spans="1:11" x14ac:dyDescent="0.25">
      <c r="A1410" s="26">
        <v>1360</v>
      </c>
      <c r="B1410" s="82">
        <f t="shared" si="174"/>
        <v>0</v>
      </c>
      <c r="C1410" s="58">
        <f t="shared" si="170"/>
        <v>171.9194128119324</v>
      </c>
      <c r="D1410" s="83">
        <f t="shared" si="175"/>
        <v>733.33333333333326</v>
      </c>
      <c r="E1410">
        <f t="shared" si="171"/>
        <v>0</v>
      </c>
      <c r="G1410">
        <v>1360</v>
      </c>
      <c r="H1410" s="13">
        <f t="shared" si="176"/>
        <v>-1.0275684203264746E-2</v>
      </c>
      <c r="I1410">
        <f t="shared" si="177"/>
        <v>157.94448229549235</v>
      </c>
      <c r="J1410">
        <f t="shared" si="172"/>
        <v>692.42320764680755</v>
      </c>
      <c r="K1410" s="27">
        <f t="shared" si="173"/>
        <v>-4926.3106439210396</v>
      </c>
    </row>
    <row r="1411" spans="1:11" x14ac:dyDescent="0.25">
      <c r="A1411" s="26">
        <v>1361</v>
      </c>
      <c r="B1411" s="82">
        <f t="shared" si="174"/>
        <v>0</v>
      </c>
      <c r="C1411" s="58">
        <f t="shared" si="170"/>
        <v>171.9194128119324</v>
      </c>
      <c r="D1411" s="83">
        <f t="shared" si="175"/>
        <v>733.33333333333326</v>
      </c>
      <c r="E1411">
        <f t="shared" si="171"/>
        <v>0</v>
      </c>
      <c r="G1411">
        <v>1361</v>
      </c>
      <c r="H1411" s="13">
        <f t="shared" si="176"/>
        <v>-1.0275684203264746E-2</v>
      </c>
      <c r="I1411">
        <f t="shared" si="177"/>
        <v>157.93420661128908</v>
      </c>
      <c r="J1411">
        <f t="shared" si="172"/>
        <v>692.37189254128702</v>
      </c>
      <c r="K1411" s="27">
        <f t="shared" si="173"/>
        <v>-4925.5798686848029</v>
      </c>
    </row>
    <row r="1412" spans="1:11" x14ac:dyDescent="0.25">
      <c r="A1412" s="26">
        <v>1362</v>
      </c>
      <c r="B1412" s="82">
        <f t="shared" si="174"/>
        <v>0</v>
      </c>
      <c r="C1412" s="58">
        <f t="shared" si="170"/>
        <v>171.9194128119324</v>
      </c>
      <c r="D1412" s="83">
        <f t="shared" si="175"/>
        <v>733.33333333333326</v>
      </c>
      <c r="E1412">
        <f t="shared" si="171"/>
        <v>0</v>
      </c>
      <c r="G1412">
        <v>1362</v>
      </c>
      <c r="H1412" s="13">
        <f t="shared" si="176"/>
        <v>-1.0275684203264746E-2</v>
      </c>
      <c r="I1412">
        <f t="shared" si="177"/>
        <v>157.92393092708582</v>
      </c>
      <c r="J1412">
        <f t="shared" si="172"/>
        <v>692.32049269615015</v>
      </c>
      <c r="K1412" s="27">
        <f t="shared" si="173"/>
        <v>-4924.8479391322689</v>
      </c>
    </row>
    <row r="1413" spans="1:11" x14ac:dyDescent="0.25">
      <c r="A1413" s="26">
        <v>1363</v>
      </c>
      <c r="B1413" s="82">
        <f t="shared" si="174"/>
        <v>0</v>
      </c>
      <c r="C1413" s="58">
        <f t="shared" si="170"/>
        <v>171.9194128119324</v>
      </c>
      <c r="D1413" s="83">
        <f t="shared" si="175"/>
        <v>733.33333333333326</v>
      </c>
      <c r="E1413">
        <f t="shared" si="171"/>
        <v>0</v>
      </c>
      <c r="G1413">
        <v>1363</v>
      </c>
      <c r="H1413" s="13">
        <f t="shared" si="176"/>
        <v>-1.0275684203264746E-2</v>
      </c>
      <c r="I1413">
        <f t="shared" si="177"/>
        <v>157.91365524288256</v>
      </c>
      <c r="J1413">
        <f t="shared" si="172"/>
        <v>692.26900770646319</v>
      </c>
      <c r="K1413" s="27">
        <f t="shared" si="173"/>
        <v>-4924.1148497488348</v>
      </c>
    </row>
    <row r="1414" spans="1:11" x14ac:dyDescent="0.25">
      <c r="A1414" s="26">
        <v>1364</v>
      </c>
      <c r="B1414" s="82">
        <f t="shared" si="174"/>
        <v>0</v>
      </c>
      <c r="C1414" s="58">
        <f t="shared" si="170"/>
        <v>171.9194128119324</v>
      </c>
      <c r="D1414" s="83">
        <f t="shared" si="175"/>
        <v>733.33333333333326</v>
      </c>
      <c r="E1414">
        <f t="shared" si="171"/>
        <v>0</v>
      </c>
      <c r="G1414">
        <v>1364</v>
      </c>
      <c r="H1414" s="13">
        <f t="shared" si="176"/>
        <v>-1.0275684203264746E-2</v>
      </c>
      <c r="I1414">
        <f t="shared" si="177"/>
        <v>157.90337955867929</v>
      </c>
      <c r="J1414">
        <f t="shared" si="172"/>
        <v>692.21743716403114</v>
      </c>
      <c r="K1414" s="27">
        <f t="shared" si="173"/>
        <v>-4923.3805949754142</v>
      </c>
    </row>
    <row r="1415" spans="1:11" x14ac:dyDescent="0.25">
      <c r="A1415" s="26">
        <v>1365</v>
      </c>
      <c r="B1415" s="82">
        <f t="shared" si="174"/>
        <v>0</v>
      </c>
      <c r="C1415" s="58">
        <f t="shared" si="170"/>
        <v>171.9194128119324</v>
      </c>
      <c r="D1415" s="83">
        <f t="shared" si="175"/>
        <v>733.33333333333326</v>
      </c>
      <c r="E1415">
        <f t="shared" si="171"/>
        <v>0</v>
      </c>
      <c r="G1415">
        <v>1365</v>
      </c>
      <c r="H1415" s="13">
        <f t="shared" si="176"/>
        <v>-1.0275684203264746E-2</v>
      </c>
      <c r="I1415">
        <f t="shared" si="177"/>
        <v>157.89310387447603</v>
      </c>
      <c r="J1415">
        <f t="shared" si="172"/>
        <v>692.16578065736076</v>
      </c>
      <c r="K1415" s="27">
        <f t="shared" si="173"/>
        <v>-4922.6451692079272</v>
      </c>
    </row>
    <row r="1416" spans="1:11" x14ac:dyDescent="0.25">
      <c r="A1416" s="26">
        <v>1366</v>
      </c>
      <c r="B1416" s="82">
        <f t="shared" si="174"/>
        <v>0</v>
      </c>
      <c r="C1416" s="58">
        <f t="shared" si="170"/>
        <v>171.9194128119324</v>
      </c>
      <c r="D1416" s="83">
        <f t="shared" si="175"/>
        <v>733.33333333333326</v>
      </c>
      <c r="E1416">
        <f t="shared" si="171"/>
        <v>0</v>
      </c>
      <c r="G1416">
        <v>1366</v>
      </c>
      <c r="H1416" s="13">
        <f t="shared" si="176"/>
        <v>-1.0275684203264746E-2</v>
      </c>
      <c r="I1416">
        <f t="shared" si="177"/>
        <v>157.88282819027276</v>
      </c>
      <c r="J1416">
        <f t="shared" si="172"/>
        <v>692.11403777162275</v>
      </c>
      <c r="K1416" s="27">
        <f t="shared" si="173"/>
        <v>-4921.9085667967911</v>
      </c>
    </row>
    <row r="1417" spans="1:11" x14ac:dyDescent="0.25">
      <c r="A1417" s="26">
        <v>1367</v>
      </c>
      <c r="B1417" s="82">
        <f t="shared" si="174"/>
        <v>0</v>
      </c>
      <c r="C1417" s="58">
        <f t="shared" si="170"/>
        <v>171.9194128119324</v>
      </c>
      <c r="D1417" s="83">
        <f t="shared" si="175"/>
        <v>733.33333333333326</v>
      </c>
      <c r="E1417">
        <f t="shared" si="171"/>
        <v>0</v>
      </c>
      <c r="G1417">
        <v>1367</v>
      </c>
      <c r="H1417" s="13">
        <f t="shared" si="176"/>
        <v>-1.0275684203264746E-2</v>
      </c>
      <c r="I1417">
        <f t="shared" si="177"/>
        <v>157.8725525060695</v>
      </c>
      <c r="J1417">
        <f t="shared" si="172"/>
        <v>692.0622080886144</v>
      </c>
      <c r="K1417" s="27">
        <f t="shared" si="173"/>
        <v>-4921.1707820464007</v>
      </c>
    </row>
    <row r="1418" spans="1:11" x14ac:dyDescent="0.25">
      <c r="A1418" s="26">
        <v>1368</v>
      </c>
      <c r="B1418" s="82">
        <f t="shared" si="174"/>
        <v>0</v>
      </c>
      <c r="C1418" s="58">
        <f t="shared" si="170"/>
        <v>171.9194128119324</v>
      </c>
      <c r="D1418" s="83">
        <f t="shared" si="175"/>
        <v>733.33333333333326</v>
      </c>
      <c r="E1418">
        <f t="shared" si="171"/>
        <v>0</v>
      </c>
      <c r="G1418">
        <v>1368</v>
      </c>
      <c r="H1418" s="13">
        <f t="shared" si="176"/>
        <v>-1.0275684203264746E-2</v>
      </c>
      <c r="I1418">
        <f t="shared" si="177"/>
        <v>157.86227682186623</v>
      </c>
      <c r="J1418">
        <f t="shared" si="172"/>
        <v>692.01029118672068</v>
      </c>
      <c r="K1418" s="27">
        <f t="shared" si="173"/>
        <v>-4920.4318092145959</v>
      </c>
    </row>
    <row r="1419" spans="1:11" x14ac:dyDescent="0.25">
      <c r="A1419" s="26">
        <v>1369</v>
      </c>
      <c r="B1419" s="82">
        <f t="shared" si="174"/>
        <v>0</v>
      </c>
      <c r="C1419" s="58">
        <f t="shared" si="170"/>
        <v>171.9194128119324</v>
      </c>
      <c r="D1419" s="83">
        <f t="shared" si="175"/>
        <v>733.33333333333326</v>
      </c>
      <c r="E1419">
        <f t="shared" si="171"/>
        <v>0</v>
      </c>
      <c r="G1419">
        <v>1369</v>
      </c>
      <c r="H1419" s="13">
        <f t="shared" si="176"/>
        <v>-1.0275684203264746E-2</v>
      </c>
      <c r="I1419">
        <f t="shared" si="177"/>
        <v>157.85200113766297</v>
      </c>
      <c r="J1419">
        <f t="shared" si="172"/>
        <v>691.95828664087458</v>
      </c>
      <c r="K1419" s="27">
        <f t="shared" si="173"/>
        <v>-4919.691642512139</v>
      </c>
    </row>
    <row r="1420" spans="1:11" x14ac:dyDescent="0.25">
      <c r="A1420" s="26">
        <v>1370</v>
      </c>
      <c r="B1420" s="82">
        <f t="shared" si="174"/>
        <v>0</v>
      </c>
      <c r="C1420" s="58">
        <f t="shared" si="170"/>
        <v>171.9194128119324</v>
      </c>
      <c r="D1420" s="83">
        <f t="shared" si="175"/>
        <v>733.33333333333326</v>
      </c>
      <c r="E1420">
        <f t="shared" si="171"/>
        <v>0</v>
      </c>
      <c r="G1420">
        <v>1370</v>
      </c>
      <c r="H1420" s="13">
        <f t="shared" si="176"/>
        <v>-1.0275684203264746E-2</v>
      </c>
      <c r="I1420">
        <f t="shared" si="177"/>
        <v>157.8417254534597</v>
      </c>
      <c r="J1420">
        <f t="shared" si="172"/>
        <v>691.90619402251843</v>
      </c>
      <c r="K1420" s="27">
        <f t="shared" si="173"/>
        <v>-4918.9502761021586</v>
      </c>
    </row>
    <row r="1421" spans="1:11" x14ac:dyDescent="0.25">
      <c r="A1421" s="26">
        <v>1371</v>
      </c>
      <c r="B1421" s="82">
        <f t="shared" si="174"/>
        <v>0</v>
      </c>
      <c r="C1421" s="58">
        <f t="shared" si="170"/>
        <v>171.9194128119324</v>
      </c>
      <c r="D1421" s="83">
        <f t="shared" si="175"/>
        <v>733.33333333333326</v>
      </c>
      <c r="E1421">
        <f t="shared" si="171"/>
        <v>0</v>
      </c>
      <c r="G1421">
        <v>1371</v>
      </c>
      <c r="H1421" s="13">
        <f t="shared" si="176"/>
        <v>-1.0275684203264746E-2</v>
      </c>
      <c r="I1421">
        <f t="shared" si="177"/>
        <v>157.83144976925644</v>
      </c>
      <c r="J1421">
        <f t="shared" si="172"/>
        <v>691.85401289956258</v>
      </c>
      <c r="K1421" s="27">
        <f t="shared" si="173"/>
        <v>-4918.2077040996037</v>
      </c>
    </row>
    <row r="1422" spans="1:11" x14ac:dyDescent="0.25">
      <c r="A1422" s="26">
        <v>1372</v>
      </c>
      <c r="B1422" s="82">
        <f t="shared" si="174"/>
        <v>0</v>
      </c>
      <c r="C1422" s="58">
        <f t="shared" si="170"/>
        <v>171.9194128119324</v>
      </c>
      <c r="D1422" s="83">
        <f t="shared" si="175"/>
        <v>733.33333333333326</v>
      </c>
      <c r="E1422">
        <f t="shared" si="171"/>
        <v>0</v>
      </c>
      <c r="G1422">
        <v>1372</v>
      </c>
      <c r="H1422" s="13">
        <f t="shared" si="176"/>
        <v>-1.0275684203264746E-2</v>
      </c>
      <c r="I1422">
        <f t="shared" si="177"/>
        <v>157.82117408505317</v>
      </c>
      <c r="J1422">
        <f t="shared" si="172"/>
        <v>691.8017428363454</v>
      </c>
      <c r="K1422" s="27">
        <f t="shared" si="173"/>
        <v>-4917.4639205706926</v>
      </c>
    </row>
    <row r="1423" spans="1:11" x14ac:dyDescent="0.25">
      <c r="A1423" s="26">
        <v>1373</v>
      </c>
      <c r="B1423" s="82">
        <f t="shared" si="174"/>
        <v>0</v>
      </c>
      <c r="C1423" s="58">
        <f t="shared" si="170"/>
        <v>171.9194128119324</v>
      </c>
      <c r="D1423" s="83">
        <f t="shared" si="175"/>
        <v>733.33333333333326</v>
      </c>
      <c r="E1423">
        <f t="shared" si="171"/>
        <v>0</v>
      </c>
      <c r="G1423">
        <v>1373</v>
      </c>
      <c r="H1423" s="13">
        <f t="shared" si="176"/>
        <v>-1.0275684203264746E-2</v>
      </c>
      <c r="I1423">
        <f t="shared" si="177"/>
        <v>157.81089840084991</v>
      </c>
      <c r="J1423">
        <f t="shared" si="172"/>
        <v>691.74938339359073</v>
      </c>
      <c r="K1423" s="27">
        <f t="shared" si="173"/>
        <v>-4916.7189195323281</v>
      </c>
    </row>
    <row r="1424" spans="1:11" x14ac:dyDescent="0.25">
      <c r="A1424" s="26">
        <v>1374</v>
      </c>
      <c r="B1424" s="82">
        <f t="shared" si="174"/>
        <v>0</v>
      </c>
      <c r="C1424" s="58">
        <f t="shared" ref="C1424:C1487" si="178">($C$37-$C$36)/2000+C1423</f>
        <v>171.9194128119324</v>
      </c>
      <c r="D1424" s="83">
        <f t="shared" si="175"/>
        <v>733.33333333333326</v>
      </c>
      <c r="E1424">
        <f t="shared" si="171"/>
        <v>0</v>
      </c>
      <c r="G1424">
        <v>1374</v>
      </c>
      <c r="H1424" s="13">
        <f t="shared" si="176"/>
        <v>-1.0275684203264746E-2</v>
      </c>
      <c r="I1424">
        <f t="shared" si="177"/>
        <v>157.80062271664664</v>
      </c>
      <c r="J1424">
        <f t="shared" si="172"/>
        <v>691.69693412836659</v>
      </c>
      <c r="K1424" s="27">
        <f t="shared" si="173"/>
        <v>-4915.9726949515371</v>
      </c>
    </row>
    <row r="1425" spans="1:11" x14ac:dyDescent="0.25">
      <c r="A1425" s="26">
        <v>1375</v>
      </c>
      <c r="B1425" s="82">
        <f t="shared" si="174"/>
        <v>0</v>
      </c>
      <c r="C1425" s="58">
        <f t="shared" si="178"/>
        <v>171.9194128119324</v>
      </c>
      <c r="D1425" s="83">
        <f t="shared" si="175"/>
        <v>733.33333333333326</v>
      </c>
      <c r="E1425">
        <f t="shared" si="171"/>
        <v>0</v>
      </c>
      <c r="G1425">
        <v>1375</v>
      </c>
      <c r="H1425" s="13">
        <f t="shared" si="176"/>
        <v>-1.0275684203264746E-2</v>
      </c>
      <c r="I1425">
        <f t="shared" si="177"/>
        <v>157.79034703244338</v>
      </c>
      <c r="J1425">
        <f t="shared" si="172"/>
        <v>691.64439459404207</v>
      </c>
      <c r="K1425" s="27">
        <f t="shared" si="173"/>
        <v>-4915.2252407448786</v>
      </c>
    </row>
    <row r="1426" spans="1:11" x14ac:dyDescent="0.25">
      <c r="A1426" s="26">
        <v>1376</v>
      </c>
      <c r="B1426" s="82">
        <f t="shared" si="174"/>
        <v>0</v>
      </c>
      <c r="C1426" s="58">
        <f t="shared" si="178"/>
        <v>171.9194128119324</v>
      </c>
      <c r="D1426" s="83">
        <f t="shared" si="175"/>
        <v>733.33333333333326</v>
      </c>
      <c r="E1426">
        <f t="shared" si="171"/>
        <v>0</v>
      </c>
      <c r="G1426">
        <v>1376</v>
      </c>
      <c r="H1426" s="13">
        <f t="shared" si="176"/>
        <v>-1.0275684203264746E-2</v>
      </c>
      <c r="I1426">
        <f t="shared" si="177"/>
        <v>157.78007134824011</v>
      </c>
      <c r="J1426">
        <f t="shared" si="172"/>
        <v>691.5917643402438</v>
      </c>
      <c r="K1426" s="27">
        <f t="shared" si="173"/>
        <v>-4914.4765507778511</v>
      </c>
    </row>
    <row r="1427" spans="1:11" x14ac:dyDescent="0.25">
      <c r="A1427" s="26">
        <v>1377</v>
      </c>
      <c r="B1427" s="82">
        <f t="shared" si="174"/>
        <v>0</v>
      </c>
      <c r="C1427" s="58">
        <f t="shared" si="178"/>
        <v>171.9194128119324</v>
      </c>
      <c r="D1427" s="83">
        <f t="shared" si="175"/>
        <v>733.33333333333326</v>
      </c>
      <c r="E1427">
        <f t="shared" si="171"/>
        <v>0</v>
      </c>
      <c r="G1427">
        <v>1377</v>
      </c>
      <c r="H1427" s="13">
        <f t="shared" si="176"/>
        <v>-1.0275684203264746E-2</v>
      </c>
      <c r="I1427">
        <f t="shared" si="177"/>
        <v>157.76979566403685</v>
      </c>
      <c r="J1427">
        <f t="shared" si="172"/>
        <v>691.53904291281174</v>
      </c>
      <c r="K1427" s="27">
        <f t="shared" si="173"/>
        <v>-4913.7266188642898</v>
      </c>
    </row>
    <row r="1428" spans="1:11" x14ac:dyDescent="0.25">
      <c r="A1428" s="26">
        <v>1378</v>
      </c>
      <c r="B1428" s="82">
        <f t="shared" si="174"/>
        <v>0</v>
      </c>
      <c r="C1428" s="58">
        <f t="shared" si="178"/>
        <v>171.9194128119324</v>
      </c>
      <c r="D1428" s="83">
        <f t="shared" si="175"/>
        <v>733.33333333333326</v>
      </c>
      <c r="E1428">
        <f t="shared" si="171"/>
        <v>0</v>
      </c>
      <c r="G1428">
        <v>1378</v>
      </c>
      <c r="H1428" s="13">
        <f t="shared" si="176"/>
        <v>-1.0275684203264746E-2</v>
      </c>
      <c r="I1428">
        <f t="shared" si="177"/>
        <v>157.75951997983358</v>
      </c>
      <c r="J1428">
        <f t="shared" si="172"/>
        <v>691.48622985375505</v>
      </c>
      <c r="K1428" s="27">
        <f t="shared" si="173"/>
        <v>-4912.9754387657549</v>
      </c>
    </row>
    <row r="1429" spans="1:11" x14ac:dyDescent="0.25">
      <c r="A1429" s="26">
        <v>1379</v>
      </c>
      <c r="B1429" s="82">
        <f t="shared" si="174"/>
        <v>0</v>
      </c>
      <c r="C1429" s="58">
        <f t="shared" si="178"/>
        <v>171.9194128119324</v>
      </c>
      <c r="D1429" s="83">
        <f t="shared" si="175"/>
        <v>733.33333333333326</v>
      </c>
      <c r="E1429">
        <f t="shared" si="171"/>
        <v>0</v>
      </c>
      <c r="G1429">
        <v>1379</v>
      </c>
      <c r="H1429" s="13">
        <f t="shared" si="176"/>
        <v>-1.0275684203264746E-2</v>
      </c>
      <c r="I1429">
        <f t="shared" si="177"/>
        <v>157.74924429563032</v>
      </c>
      <c r="J1429">
        <f t="shared" si="172"/>
        <v>691.43332470120572</v>
      </c>
      <c r="K1429" s="27">
        <f t="shared" si="173"/>
        <v>-4912.2230041909124</v>
      </c>
    </row>
    <row r="1430" spans="1:11" x14ac:dyDescent="0.25">
      <c r="A1430" s="26">
        <v>1380</v>
      </c>
      <c r="B1430" s="82">
        <f t="shared" si="174"/>
        <v>0</v>
      </c>
      <c r="C1430" s="58">
        <f t="shared" si="178"/>
        <v>171.9194128119324</v>
      </c>
      <c r="D1430" s="83">
        <f t="shared" si="175"/>
        <v>733.33333333333326</v>
      </c>
      <c r="E1430">
        <f t="shared" si="171"/>
        <v>0</v>
      </c>
      <c r="G1430">
        <v>1380</v>
      </c>
      <c r="H1430" s="13">
        <f t="shared" si="176"/>
        <v>-1.0275684203264746E-2</v>
      </c>
      <c r="I1430">
        <f t="shared" si="177"/>
        <v>157.73896861142705</v>
      </c>
      <c r="J1430">
        <f t="shared" si="172"/>
        <v>691.38032698937343</v>
      </c>
      <c r="K1430" s="27">
        <f t="shared" si="173"/>
        <v>-4911.4693087948999</v>
      </c>
    </row>
    <row r="1431" spans="1:11" x14ac:dyDescent="0.25">
      <c r="A1431" s="26">
        <v>1381</v>
      </c>
      <c r="B1431" s="82">
        <f t="shared" si="174"/>
        <v>0</v>
      </c>
      <c r="C1431" s="58">
        <f t="shared" si="178"/>
        <v>171.9194128119324</v>
      </c>
      <c r="D1431" s="83">
        <f t="shared" si="175"/>
        <v>733.33333333333326</v>
      </c>
      <c r="E1431">
        <f t="shared" si="171"/>
        <v>0</v>
      </c>
      <c r="G1431">
        <v>1381</v>
      </c>
      <c r="H1431" s="13">
        <f t="shared" si="176"/>
        <v>-1.0275684203264746E-2</v>
      </c>
      <c r="I1431">
        <f t="shared" si="177"/>
        <v>157.72869292722379</v>
      </c>
      <c r="J1431">
        <f t="shared" si="172"/>
        <v>691.3272362484978</v>
      </c>
      <c r="K1431" s="27">
        <f t="shared" si="173"/>
        <v>-4910.71434617869</v>
      </c>
    </row>
    <row r="1432" spans="1:11" x14ac:dyDescent="0.25">
      <c r="A1432" s="26">
        <v>1382</v>
      </c>
      <c r="B1432" s="82">
        <f t="shared" si="174"/>
        <v>0</v>
      </c>
      <c r="C1432" s="58">
        <f t="shared" si="178"/>
        <v>171.9194128119324</v>
      </c>
      <c r="D1432" s="83">
        <f t="shared" si="175"/>
        <v>733.33333333333326</v>
      </c>
      <c r="E1432">
        <f t="shared" si="171"/>
        <v>0</v>
      </c>
      <c r="G1432">
        <v>1382</v>
      </c>
      <c r="H1432" s="13">
        <f t="shared" si="176"/>
        <v>-1.0275684203264746E-2</v>
      </c>
      <c r="I1432">
        <f t="shared" si="177"/>
        <v>157.71841724302053</v>
      </c>
      <c r="J1432">
        <f t="shared" si="172"/>
        <v>691.27405200480143</v>
      </c>
      <c r="K1432" s="27">
        <f t="shared" si="173"/>
        <v>-4909.9581098884364</v>
      </c>
    </row>
    <row r="1433" spans="1:11" x14ac:dyDescent="0.25">
      <c r="A1433" s="26">
        <v>1383</v>
      </c>
      <c r="B1433" s="82">
        <f t="shared" si="174"/>
        <v>0</v>
      </c>
      <c r="C1433" s="58">
        <f t="shared" si="178"/>
        <v>171.9194128119324</v>
      </c>
      <c r="D1433" s="83">
        <f t="shared" si="175"/>
        <v>733.33333333333326</v>
      </c>
      <c r="E1433">
        <f t="shared" si="171"/>
        <v>0</v>
      </c>
      <c r="G1433">
        <v>1383</v>
      </c>
      <c r="H1433" s="13">
        <f t="shared" si="176"/>
        <v>-1.0275684203264746E-2</v>
      </c>
      <c r="I1433">
        <f t="shared" si="177"/>
        <v>157.70814155881726</v>
      </c>
      <c r="J1433">
        <f t="shared" si="172"/>
        <v>691.22077378044105</v>
      </c>
      <c r="K1433" s="27">
        <f t="shared" si="173"/>
        <v>-4909.2005934148146</v>
      </c>
    </row>
    <row r="1434" spans="1:11" x14ac:dyDescent="0.25">
      <c r="A1434" s="26">
        <v>1384</v>
      </c>
      <c r="B1434" s="82">
        <f t="shared" si="174"/>
        <v>0</v>
      </c>
      <c r="C1434" s="58">
        <f t="shared" si="178"/>
        <v>171.9194128119324</v>
      </c>
      <c r="D1434" s="83">
        <f t="shared" si="175"/>
        <v>733.33333333333326</v>
      </c>
      <c r="E1434">
        <f t="shared" si="171"/>
        <v>0</v>
      </c>
      <c r="G1434">
        <v>1384</v>
      </c>
      <c r="H1434" s="13">
        <f t="shared" si="176"/>
        <v>-1.0275684203264746E-2</v>
      </c>
      <c r="I1434">
        <f t="shared" si="177"/>
        <v>157.697865874614</v>
      </c>
      <c r="J1434">
        <f t="shared" si="172"/>
        <v>691.16740109345915</v>
      </c>
      <c r="K1434" s="27">
        <f t="shared" si="173"/>
        <v>-4908.4417901923543</v>
      </c>
    </row>
    <row r="1435" spans="1:11" x14ac:dyDescent="0.25">
      <c r="A1435" s="26">
        <v>1385</v>
      </c>
      <c r="B1435" s="82">
        <f t="shared" si="174"/>
        <v>0</v>
      </c>
      <c r="C1435" s="58">
        <f t="shared" si="178"/>
        <v>171.9194128119324</v>
      </c>
      <c r="D1435" s="83">
        <f t="shared" si="175"/>
        <v>733.33333333333326</v>
      </c>
      <c r="E1435">
        <f t="shared" si="171"/>
        <v>0</v>
      </c>
      <c r="G1435">
        <v>1385</v>
      </c>
      <c r="H1435" s="13">
        <f t="shared" si="176"/>
        <v>-1.0275684203264746E-2</v>
      </c>
      <c r="I1435">
        <f t="shared" si="177"/>
        <v>157.68759019041073</v>
      </c>
      <c r="J1435">
        <f t="shared" si="172"/>
        <v>691.11393345773354</v>
      </c>
      <c r="K1435" s="27">
        <f t="shared" si="173"/>
        <v>-4907.6816935987536</v>
      </c>
    </row>
    <row r="1436" spans="1:11" x14ac:dyDescent="0.25">
      <c r="A1436" s="26">
        <v>1386</v>
      </c>
      <c r="B1436" s="82">
        <f t="shared" si="174"/>
        <v>0</v>
      </c>
      <c r="C1436" s="58">
        <f t="shared" si="178"/>
        <v>171.9194128119324</v>
      </c>
      <c r="D1436" s="83">
        <f t="shared" si="175"/>
        <v>733.33333333333326</v>
      </c>
      <c r="E1436">
        <f t="shared" si="171"/>
        <v>0</v>
      </c>
      <c r="G1436">
        <v>1386</v>
      </c>
      <c r="H1436" s="13">
        <f t="shared" si="176"/>
        <v>-1.0275684203264746E-2</v>
      </c>
      <c r="I1436">
        <f t="shared" si="177"/>
        <v>157.67731450620747</v>
      </c>
      <c r="J1436">
        <f t="shared" si="172"/>
        <v>691.06037038292698</v>
      </c>
      <c r="K1436" s="27">
        <f t="shared" si="173"/>
        <v>-4906.9202969541902</v>
      </c>
    </row>
    <row r="1437" spans="1:11" x14ac:dyDescent="0.25">
      <c r="A1437" s="26">
        <v>1387</v>
      </c>
      <c r="B1437" s="82">
        <f t="shared" si="174"/>
        <v>0</v>
      </c>
      <c r="C1437" s="58">
        <f t="shared" si="178"/>
        <v>171.9194128119324</v>
      </c>
      <c r="D1437" s="83">
        <f t="shared" si="175"/>
        <v>733.33333333333326</v>
      </c>
      <c r="E1437">
        <f t="shared" si="171"/>
        <v>0</v>
      </c>
      <c r="G1437">
        <v>1387</v>
      </c>
      <c r="H1437" s="13">
        <f t="shared" si="176"/>
        <v>-1.0275684203264746E-2</v>
      </c>
      <c r="I1437">
        <f t="shared" si="177"/>
        <v>157.6670388220042</v>
      </c>
      <c r="J1437">
        <f t="shared" si="172"/>
        <v>691.00671137443601</v>
      </c>
      <c r="K1437" s="27">
        <f t="shared" si="173"/>
        <v>-4906.1575935206192</v>
      </c>
    </row>
    <row r="1438" spans="1:11" x14ac:dyDescent="0.25">
      <c r="A1438" s="26">
        <v>1388</v>
      </c>
      <c r="B1438" s="82">
        <f t="shared" si="174"/>
        <v>0</v>
      </c>
      <c r="C1438" s="58">
        <f t="shared" si="178"/>
        <v>171.9194128119324</v>
      </c>
      <c r="D1438" s="83">
        <f t="shared" si="175"/>
        <v>733.33333333333326</v>
      </c>
      <c r="E1438">
        <f t="shared" si="171"/>
        <v>0</v>
      </c>
      <c r="G1438">
        <v>1388</v>
      </c>
      <c r="H1438" s="13">
        <f t="shared" si="176"/>
        <v>-1.0275684203264746E-2</v>
      </c>
      <c r="I1438">
        <f t="shared" si="177"/>
        <v>157.65676313780094</v>
      </c>
      <c r="J1438">
        <f t="shared" si="172"/>
        <v>690.95295593333822</v>
      </c>
      <c r="K1438" s="27">
        <f t="shared" si="173"/>
        <v>-4905.3935765010565</v>
      </c>
    </row>
    <row r="1439" spans="1:11" x14ac:dyDescent="0.25">
      <c r="A1439" s="26">
        <v>1389</v>
      </c>
      <c r="B1439" s="82">
        <f t="shared" si="174"/>
        <v>0</v>
      </c>
      <c r="C1439" s="58">
        <f t="shared" si="178"/>
        <v>171.9194128119324</v>
      </c>
      <c r="D1439" s="83">
        <f t="shared" si="175"/>
        <v>733.33333333333326</v>
      </c>
      <c r="E1439">
        <f t="shared" si="171"/>
        <v>0</v>
      </c>
      <c r="G1439">
        <v>1389</v>
      </c>
      <c r="H1439" s="13">
        <f t="shared" si="176"/>
        <v>-1.0275684203264746E-2</v>
      </c>
      <c r="I1439">
        <f t="shared" si="177"/>
        <v>157.64648745359767</v>
      </c>
      <c r="J1439">
        <f t="shared" si="172"/>
        <v>690.89910355633958</v>
      </c>
      <c r="K1439" s="27">
        <f t="shared" si="173"/>
        <v>-4904.6282390388578</v>
      </c>
    </row>
    <row r="1440" spans="1:11" x14ac:dyDescent="0.25">
      <c r="A1440" s="26">
        <v>1390</v>
      </c>
      <c r="B1440" s="82">
        <f t="shared" si="174"/>
        <v>0</v>
      </c>
      <c r="C1440" s="58">
        <f t="shared" si="178"/>
        <v>171.9194128119324</v>
      </c>
      <c r="D1440" s="83">
        <f t="shared" si="175"/>
        <v>733.33333333333326</v>
      </c>
      <c r="E1440">
        <f t="shared" si="171"/>
        <v>0</v>
      </c>
      <c r="G1440">
        <v>1390</v>
      </c>
      <c r="H1440" s="13">
        <f t="shared" si="176"/>
        <v>-1.0275684203264746E-2</v>
      </c>
      <c r="I1440">
        <f t="shared" si="177"/>
        <v>157.63621176939441</v>
      </c>
      <c r="J1440">
        <f t="shared" si="172"/>
        <v>690.84515373572083</v>
      </c>
      <c r="K1440" s="27">
        <f t="shared" si="173"/>
        <v>-4903.8615742169777</v>
      </c>
    </row>
    <row r="1441" spans="1:11" x14ac:dyDescent="0.25">
      <c r="A1441" s="26">
        <v>1391</v>
      </c>
      <c r="B1441" s="82">
        <f t="shared" si="174"/>
        <v>0</v>
      </c>
      <c r="C1441" s="58">
        <f t="shared" si="178"/>
        <v>171.9194128119324</v>
      </c>
      <c r="D1441" s="83">
        <f t="shared" si="175"/>
        <v>733.33333333333326</v>
      </c>
      <c r="E1441">
        <f t="shared" si="171"/>
        <v>0</v>
      </c>
      <c r="G1441">
        <v>1391</v>
      </c>
      <c r="H1441" s="13">
        <f t="shared" si="176"/>
        <v>-1.0275684203264746E-2</v>
      </c>
      <c r="I1441">
        <f t="shared" si="177"/>
        <v>157.62593608519114</v>
      </c>
      <c r="J1441">
        <f t="shared" si="172"/>
        <v>690.79110595928194</v>
      </c>
      <c r="K1441" s="27">
        <f t="shared" si="173"/>
        <v>-4903.0935750572235</v>
      </c>
    </row>
    <row r="1442" spans="1:11" x14ac:dyDescent="0.25">
      <c r="A1442" s="26">
        <v>1392</v>
      </c>
      <c r="B1442" s="82">
        <f t="shared" si="174"/>
        <v>0</v>
      </c>
      <c r="C1442" s="58">
        <f t="shared" si="178"/>
        <v>171.9194128119324</v>
      </c>
      <c r="D1442" s="83">
        <f t="shared" si="175"/>
        <v>733.33333333333326</v>
      </c>
      <c r="E1442">
        <f t="shared" si="171"/>
        <v>0</v>
      </c>
      <c r="G1442">
        <v>1392</v>
      </c>
      <c r="H1442" s="13">
        <f t="shared" si="176"/>
        <v>-1.0275684203264746E-2</v>
      </c>
      <c r="I1442">
        <f t="shared" si="177"/>
        <v>157.61566040098788</v>
      </c>
      <c r="J1442">
        <f t="shared" si="172"/>
        <v>690.73695971028746</v>
      </c>
      <c r="K1442" s="27">
        <f t="shared" si="173"/>
        <v>-4902.3242345194985</v>
      </c>
    </row>
    <row r="1443" spans="1:11" x14ac:dyDescent="0.25">
      <c r="A1443" s="26">
        <v>1393</v>
      </c>
      <c r="B1443" s="82">
        <f t="shared" si="174"/>
        <v>0</v>
      </c>
      <c r="C1443" s="58">
        <f t="shared" si="178"/>
        <v>171.9194128119324</v>
      </c>
      <c r="D1443" s="83">
        <f t="shared" si="175"/>
        <v>733.33333333333326</v>
      </c>
      <c r="E1443">
        <f t="shared" si="171"/>
        <v>0</v>
      </c>
      <c r="G1443">
        <v>1393</v>
      </c>
      <c r="H1443" s="13">
        <f t="shared" si="176"/>
        <v>-1.0275684203264746E-2</v>
      </c>
      <c r="I1443">
        <f t="shared" si="177"/>
        <v>157.60538471678461</v>
      </c>
      <c r="J1443">
        <f t="shared" si="172"/>
        <v>690.68271446740937</v>
      </c>
      <c r="K1443" s="27">
        <f t="shared" si="173"/>
        <v>-4901.553545501024</v>
      </c>
    </row>
    <row r="1444" spans="1:11" x14ac:dyDescent="0.25">
      <c r="A1444" s="26">
        <v>1394</v>
      </c>
      <c r="B1444" s="82">
        <f t="shared" si="174"/>
        <v>0</v>
      </c>
      <c r="C1444" s="58">
        <f t="shared" si="178"/>
        <v>171.9194128119324</v>
      </c>
      <c r="D1444" s="83">
        <f t="shared" si="175"/>
        <v>733.33333333333326</v>
      </c>
      <c r="E1444">
        <f t="shared" si="171"/>
        <v>0</v>
      </c>
      <c r="G1444">
        <v>1394</v>
      </c>
      <c r="H1444" s="13">
        <f t="shared" si="176"/>
        <v>-1.0275684203264746E-2</v>
      </c>
      <c r="I1444">
        <f t="shared" si="177"/>
        <v>157.59510903258135</v>
      </c>
      <c r="J1444">
        <f t="shared" si="172"/>
        <v>690.62836970466992</v>
      </c>
      <c r="K1444" s="27">
        <f t="shared" si="173"/>
        <v>-4900.7815008355583</v>
      </c>
    </row>
    <row r="1445" spans="1:11" x14ac:dyDescent="0.25">
      <c r="A1445" s="26">
        <v>1395</v>
      </c>
      <c r="B1445" s="82">
        <f t="shared" si="174"/>
        <v>0</v>
      </c>
      <c r="C1445" s="58">
        <f t="shared" si="178"/>
        <v>171.9194128119324</v>
      </c>
      <c r="D1445" s="83">
        <f t="shared" si="175"/>
        <v>733.33333333333326</v>
      </c>
      <c r="E1445">
        <f t="shared" si="171"/>
        <v>0</v>
      </c>
      <c r="G1445">
        <v>1395</v>
      </c>
      <c r="H1445" s="13">
        <f t="shared" si="176"/>
        <v>-1.0275684203264746E-2</v>
      </c>
      <c r="I1445">
        <f t="shared" si="177"/>
        <v>157.58483334837808</v>
      </c>
      <c r="J1445">
        <f t="shared" si="172"/>
        <v>690.57392489138306</v>
      </c>
      <c r="K1445" s="27">
        <f t="shared" si="173"/>
        <v>-4900.0080932925921</v>
      </c>
    </row>
    <row r="1446" spans="1:11" x14ac:dyDescent="0.25">
      <c r="A1446" s="26">
        <v>1396</v>
      </c>
      <c r="B1446" s="82">
        <f t="shared" si="174"/>
        <v>0</v>
      </c>
      <c r="C1446" s="58">
        <f t="shared" si="178"/>
        <v>171.9194128119324</v>
      </c>
      <c r="D1446" s="83">
        <f t="shared" si="175"/>
        <v>733.33333333333326</v>
      </c>
      <c r="E1446">
        <f t="shared" si="171"/>
        <v>0</v>
      </c>
      <c r="G1446">
        <v>1396</v>
      </c>
      <c r="H1446" s="13">
        <f t="shared" si="176"/>
        <v>-1.0275684203264746E-2</v>
      </c>
      <c r="I1446">
        <f t="shared" si="177"/>
        <v>157.57455766417482</v>
      </c>
      <c r="J1446">
        <f t="shared" si="172"/>
        <v>690.51937949209571</v>
      </c>
      <c r="K1446" s="27">
        <f t="shared" si="173"/>
        <v>-4899.2333155765509</v>
      </c>
    </row>
    <row r="1447" spans="1:11" x14ac:dyDescent="0.25">
      <c r="A1447" s="26">
        <v>1397</v>
      </c>
      <c r="B1447" s="82">
        <f t="shared" si="174"/>
        <v>0</v>
      </c>
      <c r="C1447" s="58">
        <f t="shared" si="178"/>
        <v>171.9194128119324</v>
      </c>
      <c r="D1447" s="83">
        <f t="shared" si="175"/>
        <v>733.33333333333326</v>
      </c>
      <c r="E1447">
        <f t="shared" si="171"/>
        <v>0</v>
      </c>
      <c r="G1447">
        <v>1397</v>
      </c>
      <c r="H1447" s="13">
        <f t="shared" si="176"/>
        <v>-1.0275684203264746E-2</v>
      </c>
      <c r="I1447">
        <f t="shared" si="177"/>
        <v>157.56428197997155</v>
      </c>
      <c r="J1447">
        <f t="shared" si="172"/>
        <v>690.46473296652709</v>
      </c>
      <c r="K1447" s="27">
        <f t="shared" si="173"/>
        <v>-4898.457160325961</v>
      </c>
    </row>
    <row r="1448" spans="1:11" x14ac:dyDescent="0.25">
      <c r="A1448" s="26">
        <v>1398</v>
      </c>
      <c r="B1448" s="82">
        <f t="shared" si="174"/>
        <v>0</v>
      </c>
      <c r="C1448" s="58">
        <f t="shared" si="178"/>
        <v>171.9194128119324</v>
      </c>
      <c r="D1448" s="83">
        <f t="shared" si="175"/>
        <v>733.33333333333326</v>
      </c>
      <c r="E1448">
        <f t="shared" si="171"/>
        <v>0</v>
      </c>
      <c r="G1448">
        <v>1398</v>
      </c>
      <c r="H1448" s="13">
        <f t="shared" si="176"/>
        <v>-1.0275684203264746E-2</v>
      </c>
      <c r="I1448">
        <f t="shared" si="177"/>
        <v>157.55400629576829</v>
      </c>
      <c r="J1448">
        <f t="shared" si="172"/>
        <v>690.40998476950756</v>
      </c>
      <c r="K1448" s="27">
        <f t="shared" si="173"/>
        <v>-4897.6796201126162</v>
      </c>
    </row>
    <row r="1449" spans="1:11" x14ac:dyDescent="0.25">
      <c r="A1449" s="26">
        <v>1399</v>
      </c>
      <c r="B1449" s="82">
        <f t="shared" si="174"/>
        <v>0</v>
      </c>
      <c r="C1449" s="58">
        <f t="shared" si="178"/>
        <v>171.9194128119324</v>
      </c>
      <c r="D1449" s="83">
        <f t="shared" si="175"/>
        <v>733.33333333333326</v>
      </c>
      <c r="E1449">
        <f t="shared" si="171"/>
        <v>0</v>
      </c>
      <c r="G1449">
        <v>1399</v>
      </c>
      <c r="H1449" s="13">
        <f t="shared" si="176"/>
        <v>-1.0275684203264746E-2</v>
      </c>
      <c r="I1449">
        <f t="shared" si="177"/>
        <v>157.54373061156502</v>
      </c>
      <c r="J1449">
        <f t="shared" si="172"/>
        <v>690.3551343509165</v>
      </c>
      <c r="K1449" s="27">
        <f t="shared" si="173"/>
        <v>-4896.9006874407223</v>
      </c>
    </row>
    <row r="1450" spans="1:11" x14ac:dyDescent="0.25">
      <c r="A1450" s="26">
        <v>1400</v>
      </c>
      <c r="B1450" s="82">
        <f t="shared" si="174"/>
        <v>0</v>
      </c>
      <c r="C1450" s="58">
        <f t="shared" si="178"/>
        <v>171.9194128119324</v>
      </c>
      <c r="D1450" s="83">
        <f t="shared" si="175"/>
        <v>733.33333333333326</v>
      </c>
      <c r="E1450">
        <f t="shared" si="171"/>
        <v>0</v>
      </c>
      <c r="G1450">
        <v>1400</v>
      </c>
      <c r="H1450" s="13">
        <f t="shared" si="176"/>
        <v>-1.0275684203264746E-2</v>
      </c>
      <c r="I1450">
        <f t="shared" si="177"/>
        <v>157.53345492736176</v>
      </c>
      <c r="J1450">
        <f t="shared" si="172"/>
        <v>690.30018115561893</v>
      </c>
      <c r="K1450" s="27">
        <f t="shared" si="173"/>
        <v>-4896.1203547460436</v>
      </c>
    </row>
    <row r="1451" spans="1:11" x14ac:dyDescent="0.25">
      <c r="A1451" s="26">
        <v>1401</v>
      </c>
      <c r="B1451" s="82">
        <f t="shared" si="174"/>
        <v>0</v>
      </c>
      <c r="C1451" s="58">
        <f t="shared" si="178"/>
        <v>171.9194128119324</v>
      </c>
      <c r="D1451" s="83">
        <f t="shared" si="175"/>
        <v>733.33333333333326</v>
      </c>
      <c r="E1451">
        <f t="shared" si="171"/>
        <v>0</v>
      </c>
      <c r="G1451">
        <v>1401</v>
      </c>
      <c r="H1451" s="13">
        <f t="shared" si="176"/>
        <v>-1.0275684203264746E-2</v>
      </c>
      <c r="I1451">
        <f t="shared" si="177"/>
        <v>157.52317924315849</v>
      </c>
      <c r="J1451">
        <f t="shared" si="172"/>
        <v>690.24512462340158</v>
      </c>
      <c r="K1451" s="27">
        <f t="shared" si="173"/>
        <v>-4895.3386143950074</v>
      </c>
    </row>
    <row r="1452" spans="1:11" x14ac:dyDescent="0.25">
      <c r="A1452" s="26">
        <v>1402</v>
      </c>
      <c r="B1452" s="82">
        <f t="shared" si="174"/>
        <v>0</v>
      </c>
      <c r="C1452" s="58">
        <f t="shared" si="178"/>
        <v>171.9194128119324</v>
      </c>
      <c r="D1452" s="83">
        <f t="shared" si="175"/>
        <v>733.33333333333326</v>
      </c>
      <c r="E1452">
        <f t="shared" si="171"/>
        <v>0</v>
      </c>
      <c r="G1452">
        <v>1402</v>
      </c>
      <c r="H1452" s="13">
        <f t="shared" si="176"/>
        <v>-1.0275684203264746E-2</v>
      </c>
      <c r="I1452">
        <f t="shared" si="177"/>
        <v>157.51290355895523</v>
      </c>
      <c r="J1452">
        <f t="shared" si="172"/>
        <v>690.18996418890686</v>
      </c>
      <c r="K1452" s="27">
        <f t="shared" si="173"/>
        <v>-4894.5554586838289</v>
      </c>
    </row>
    <row r="1453" spans="1:11" x14ac:dyDescent="0.25">
      <c r="A1453" s="26">
        <v>1403</v>
      </c>
      <c r="B1453" s="82">
        <f t="shared" si="174"/>
        <v>0</v>
      </c>
      <c r="C1453" s="58">
        <f t="shared" si="178"/>
        <v>171.9194128119324</v>
      </c>
      <c r="D1453" s="83">
        <f t="shared" si="175"/>
        <v>733.33333333333326</v>
      </c>
      <c r="E1453">
        <f t="shared" si="171"/>
        <v>0</v>
      </c>
      <c r="G1453">
        <v>1403</v>
      </c>
      <c r="H1453" s="13">
        <f t="shared" si="176"/>
        <v>-1.0275684203264746E-2</v>
      </c>
      <c r="I1453">
        <f t="shared" si="177"/>
        <v>157.50262787475197</v>
      </c>
      <c r="J1453">
        <f t="shared" si="172"/>
        <v>690.13469928156746</v>
      </c>
      <c r="K1453" s="27">
        <f t="shared" si="173"/>
        <v>-4893.7708798375852</v>
      </c>
    </row>
    <row r="1454" spans="1:11" x14ac:dyDescent="0.25">
      <c r="A1454" s="26">
        <v>1404</v>
      </c>
      <c r="B1454" s="82">
        <f t="shared" si="174"/>
        <v>0</v>
      </c>
      <c r="C1454" s="58">
        <f t="shared" si="178"/>
        <v>171.9194128119324</v>
      </c>
      <c r="D1454" s="83">
        <f t="shared" si="175"/>
        <v>733.33333333333326</v>
      </c>
      <c r="E1454">
        <f t="shared" si="171"/>
        <v>0</v>
      </c>
      <c r="G1454">
        <v>1404</v>
      </c>
      <c r="H1454" s="13">
        <f t="shared" si="176"/>
        <v>-1.0275684203264746E-2</v>
      </c>
      <c r="I1454">
        <f t="shared" si="177"/>
        <v>157.4923521905487</v>
      </c>
      <c r="J1454">
        <f t="shared" si="172"/>
        <v>690.07932932553763</v>
      </c>
      <c r="K1454" s="27">
        <f t="shared" si="173"/>
        <v>-4892.9848700093034</v>
      </c>
    </row>
    <row r="1455" spans="1:11" x14ac:dyDescent="0.25">
      <c r="A1455" s="26">
        <v>1405</v>
      </c>
      <c r="B1455" s="82">
        <f t="shared" si="174"/>
        <v>0</v>
      </c>
      <c r="C1455" s="58">
        <f t="shared" si="178"/>
        <v>171.9194128119324</v>
      </c>
      <c r="D1455" s="83">
        <f t="shared" si="175"/>
        <v>733.33333333333326</v>
      </c>
      <c r="E1455">
        <f t="shared" si="171"/>
        <v>0</v>
      </c>
      <c r="G1455">
        <v>1405</v>
      </c>
      <c r="H1455" s="13">
        <f t="shared" si="176"/>
        <v>-1.0275684203264746E-2</v>
      </c>
      <c r="I1455">
        <f t="shared" si="177"/>
        <v>157.48207650634544</v>
      </c>
      <c r="J1455">
        <f t="shared" si="172"/>
        <v>690.02385373962557</v>
      </c>
      <c r="K1455" s="27">
        <f t="shared" si="173"/>
        <v>-4892.1974212790165</v>
      </c>
    </row>
    <row r="1456" spans="1:11" x14ac:dyDescent="0.25">
      <c r="A1456" s="26">
        <v>1406</v>
      </c>
      <c r="B1456" s="82">
        <f t="shared" si="174"/>
        <v>0</v>
      </c>
      <c r="C1456" s="58">
        <f t="shared" si="178"/>
        <v>171.9194128119324</v>
      </c>
      <c r="D1456" s="83">
        <f t="shared" si="175"/>
        <v>733.33333333333326</v>
      </c>
      <c r="E1456">
        <f t="shared" si="171"/>
        <v>0</v>
      </c>
      <c r="G1456">
        <v>1406</v>
      </c>
      <c r="H1456" s="13">
        <f t="shared" si="176"/>
        <v>-1.0275684203264746E-2</v>
      </c>
      <c r="I1456">
        <f t="shared" si="177"/>
        <v>157.47180082214217</v>
      </c>
      <c r="J1456">
        <f t="shared" si="172"/>
        <v>689.96827193722265</v>
      </c>
      <c r="K1456" s="27">
        <f t="shared" si="173"/>
        <v>-4891.4085256528078</v>
      </c>
    </row>
    <row r="1457" spans="1:11" x14ac:dyDescent="0.25">
      <c r="A1457" s="26">
        <v>1407</v>
      </c>
      <c r="B1457" s="82">
        <f t="shared" si="174"/>
        <v>0</v>
      </c>
      <c r="C1457" s="58">
        <f t="shared" si="178"/>
        <v>171.9194128119324</v>
      </c>
      <c r="D1457" s="83">
        <f t="shared" si="175"/>
        <v>733.33333333333326</v>
      </c>
      <c r="E1457">
        <f t="shared" si="171"/>
        <v>0</v>
      </c>
      <c r="G1457">
        <v>1407</v>
      </c>
      <c r="H1457" s="13">
        <f t="shared" si="176"/>
        <v>-1.0275684203264746E-2</v>
      </c>
      <c r="I1457">
        <f t="shared" si="177"/>
        <v>157.46152513793891</v>
      </c>
      <c r="J1457">
        <f t="shared" si="172"/>
        <v>689.91258332623352</v>
      </c>
      <c r="K1457" s="27">
        <f t="shared" si="173"/>
        <v>-4890.6181750618443</v>
      </c>
    </row>
    <row r="1458" spans="1:11" x14ac:dyDescent="0.25">
      <c r="A1458" s="26">
        <v>1408</v>
      </c>
      <c r="B1458" s="82">
        <f t="shared" si="174"/>
        <v>0</v>
      </c>
      <c r="C1458" s="58">
        <f t="shared" si="178"/>
        <v>171.9194128119324</v>
      </c>
      <c r="D1458" s="83">
        <f t="shared" si="175"/>
        <v>733.33333333333326</v>
      </c>
      <c r="E1458">
        <f t="shared" si="171"/>
        <v>0</v>
      </c>
      <c r="G1458">
        <v>1408</v>
      </c>
      <c r="H1458" s="13">
        <f t="shared" si="176"/>
        <v>-1.0275684203264746E-2</v>
      </c>
      <c r="I1458">
        <f t="shared" si="177"/>
        <v>157.45124945373564</v>
      </c>
      <c r="J1458">
        <f t="shared" si="172"/>
        <v>689.8567873090027</v>
      </c>
      <c r="K1458" s="27">
        <f t="shared" si="173"/>
        <v>-4889.8263613613835</v>
      </c>
    </row>
    <row r="1459" spans="1:11" x14ac:dyDescent="0.25">
      <c r="A1459" s="26">
        <v>1409</v>
      </c>
      <c r="B1459" s="82">
        <f t="shared" si="174"/>
        <v>0</v>
      </c>
      <c r="C1459" s="58">
        <f t="shared" si="178"/>
        <v>171.9194128119324</v>
      </c>
      <c r="D1459" s="83">
        <f t="shared" si="175"/>
        <v>733.33333333333326</v>
      </c>
      <c r="E1459">
        <f t="shared" ref="E1459:E1522" si="179">((D1459^2)+(D1459*D1460)+(D1460^2))*B1460/3</f>
        <v>0</v>
      </c>
      <c r="G1459">
        <v>1409</v>
      </c>
      <c r="H1459" s="13">
        <f t="shared" si="176"/>
        <v>-1.0275684203264746E-2</v>
      </c>
      <c r="I1459">
        <f t="shared" si="177"/>
        <v>157.44097376953238</v>
      </c>
      <c r="J1459">
        <f t="shared" ref="J1459:J1522" si="180">IF($G$28&lt;$C$14,0,((($C$11^2)-((I1459-$C$13)^2))^0.5)+$C$16)</f>
        <v>689.80088328224213</v>
      </c>
      <c r="K1459" s="27">
        <f t="shared" ref="K1459:K1522" si="181">((J1459^2)+(J1459*J1460)+(J1460^2))*H1460/3</f>
        <v>-4889.0330763297707</v>
      </c>
    </row>
    <row r="1460" spans="1:11" x14ac:dyDescent="0.25">
      <c r="A1460" s="26">
        <v>1410</v>
      </c>
      <c r="B1460" s="82">
        <f t="shared" ref="B1460:B1523" si="182">C1460-C1459</f>
        <v>0</v>
      </c>
      <c r="C1460" s="58">
        <f t="shared" si="178"/>
        <v>171.9194128119324</v>
      </c>
      <c r="D1460" s="83">
        <f t="shared" ref="D1460:D1523" si="183">IF($G$28&lt;$C$14,0,((($C$11^2)-((C1460-$C$13)^2))^0.5)+$C$16)</f>
        <v>733.33333333333326</v>
      </c>
      <c r="E1460">
        <f t="shared" si="179"/>
        <v>0</v>
      </c>
      <c r="G1460">
        <v>1410</v>
      </c>
      <c r="H1460" s="13">
        <f t="shared" ref="H1460:H1523" si="184">I1460-I1459</f>
        <v>-1.0275684203264746E-2</v>
      </c>
      <c r="I1460">
        <f t="shared" ref="I1460:I1523" si="185">($G$27-$C$14)/2000+I1459</f>
        <v>157.43069808532911</v>
      </c>
      <c r="J1460">
        <f t="shared" si="180"/>
        <v>689.74487063695574</v>
      </c>
      <c r="K1460" s="27">
        <f t="shared" si="181"/>
        <v>-4888.2383116674191</v>
      </c>
    </row>
    <row r="1461" spans="1:11" x14ac:dyDescent="0.25">
      <c r="A1461" s="26">
        <v>1411</v>
      </c>
      <c r="B1461" s="82">
        <f t="shared" si="182"/>
        <v>0</v>
      </c>
      <c r="C1461" s="58">
        <f t="shared" si="178"/>
        <v>171.9194128119324</v>
      </c>
      <c r="D1461" s="83">
        <f t="shared" si="183"/>
        <v>733.33333333333326</v>
      </c>
      <c r="E1461">
        <f t="shared" si="179"/>
        <v>0</v>
      </c>
      <c r="G1461">
        <v>1411</v>
      </c>
      <c r="H1461" s="13">
        <f t="shared" si="184"/>
        <v>-1.0275684203264746E-2</v>
      </c>
      <c r="I1461">
        <f t="shared" si="185"/>
        <v>157.42042240112585</v>
      </c>
      <c r="J1461">
        <f t="shared" si="180"/>
        <v>689.68874875836434</v>
      </c>
      <c r="K1461" s="27">
        <f t="shared" si="181"/>
        <v>-4887.4420589957726</v>
      </c>
    </row>
    <row r="1462" spans="1:11" x14ac:dyDescent="0.25">
      <c r="A1462" s="26">
        <v>1412</v>
      </c>
      <c r="B1462" s="82">
        <f t="shared" si="182"/>
        <v>0</v>
      </c>
      <c r="C1462" s="58">
        <f t="shared" si="178"/>
        <v>171.9194128119324</v>
      </c>
      <c r="D1462" s="83">
        <f t="shared" si="183"/>
        <v>733.33333333333326</v>
      </c>
      <c r="E1462">
        <f t="shared" si="179"/>
        <v>0</v>
      </c>
      <c r="G1462">
        <v>1412</v>
      </c>
      <c r="H1462" s="13">
        <f t="shared" si="184"/>
        <v>-1.0275684203264746E-2</v>
      </c>
      <c r="I1462">
        <f t="shared" si="185"/>
        <v>157.41014671692258</v>
      </c>
      <c r="J1462">
        <f t="shared" si="180"/>
        <v>689.6325170258275</v>
      </c>
      <c r="K1462" s="27">
        <f t="shared" si="181"/>
        <v>-4886.6443098562395</v>
      </c>
    </row>
    <row r="1463" spans="1:11" x14ac:dyDescent="0.25">
      <c r="A1463" s="26">
        <v>1413</v>
      </c>
      <c r="B1463" s="82">
        <f t="shared" si="182"/>
        <v>0</v>
      </c>
      <c r="C1463" s="58">
        <f t="shared" si="178"/>
        <v>171.9194128119324</v>
      </c>
      <c r="D1463" s="83">
        <f t="shared" si="183"/>
        <v>733.33333333333326</v>
      </c>
      <c r="E1463">
        <f t="shared" si="179"/>
        <v>0</v>
      </c>
      <c r="G1463">
        <v>1413</v>
      </c>
      <c r="H1463" s="13">
        <f t="shared" si="184"/>
        <v>-1.0275684203264746E-2</v>
      </c>
      <c r="I1463">
        <f t="shared" si="185"/>
        <v>157.39987103271932</v>
      </c>
      <c r="J1463">
        <f t="shared" si="180"/>
        <v>689.57617481276532</v>
      </c>
      <c r="K1463" s="27">
        <f t="shared" si="181"/>
        <v>-4885.8450557091301</v>
      </c>
    </row>
    <row r="1464" spans="1:11" x14ac:dyDescent="0.25">
      <c r="A1464" s="26">
        <v>1414</v>
      </c>
      <c r="B1464" s="82">
        <f t="shared" si="182"/>
        <v>0</v>
      </c>
      <c r="C1464" s="58">
        <f t="shared" si="178"/>
        <v>171.9194128119324</v>
      </c>
      <c r="D1464" s="83">
        <f t="shared" si="183"/>
        <v>733.33333333333326</v>
      </c>
      <c r="E1464">
        <f t="shared" si="179"/>
        <v>0</v>
      </c>
      <c r="G1464">
        <v>1414</v>
      </c>
      <c r="H1464" s="13">
        <f t="shared" si="184"/>
        <v>-1.0275684203264746E-2</v>
      </c>
      <c r="I1464">
        <f t="shared" si="185"/>
        <v>157.38959534851605</v>
      </c>
      <c r="J1464">
        <f t="shared" si="180"/>
        <v>689.51972148657887</v>
      </c>
      <c r="K1464" s="27">
        <f t="shared" si="181"/>
        <v>-4885.0442879325519</v>
      </c>
    </row>
    <row r="1465" spans="1:11" x14ac:dyDescent="0.25">
      <c r="A1465" s="26">
        <v>1415</v>
      </c>
      <c r="B1465" s="82">
        <f t="shared" si="182"/>
        <v>0</v>
      </c>
      <c r="C1465" s="58">
        <f t="shared" si="178"/>
        <v>171.9194128119324</v>
      </c>
      <c r="D1465" s="83">
        <f t="shared" si="183"/>
        <v>733.33333333333326</v>
      </c>
      <c r="E1465">
        <f t="shared" si="179"/>
        <v>0</v>
      </c>
      <c r="G1465">
        <v>1415</v>
      </c>
      <c r="H1465" s="13">
        <f t="shared" si="184"/>
        <v>-1.0275684203264746E-2</v>
      </c>
      <c r="I1465">
        <f t="shared" si="185"/>
        <v>157.37931966431279</v>
      </c>
      <c r="J1465">
        <f t="shared" si="180"/>
        <v>689.46315640856812</v>
      </c>
      <c r="K1465" s="27">
        <f t="shared" si="181"/>
        <v>-4884.2419978213029</v>
      </c>
    </row>
    <row r="1466" spans="1:11" x14ac:dyDescent="0.25">
      <c r="A1466" s="26">
        <v>1416</v>
      </c>
      <c r="B1466" s="82">
        <f t="shared" si="182"/>
        <v>0</v>
      </c>
      <c r="C1466" s="58">
        <f t="shared" si="178"/>
        <v>171.9194128119324</v>
      </c>
      <c r="D1466" s="83">
        <f t="shared" si="183"/>
        <v>733.33333333333326</v>
      </c>
      <c r="E1466">
        <f t="shared" si="179"/>
        <v>0</v>
      </c>
      <c r="G1466">
        <v>1416</v>
      </c>
      <c r="H1466" s="13">
        <f t="shared" si="184"/>
        <v>-1.0275684203264746E-2</v>
      </c>
      <c r="I1466">
        <f t="shared" si="185"/>
        <v>157.36904398010952</v>
      </c>
      <c r="J1466">
        <f t="shared" si="180"/>
        <v>689.4064789338496</v>
      </c>
      <c r="K1466" s="27">
        <f t="shared" si="181"/>
        <v>-4883.4381765857379</v>
      </c>
    </row>
    <row r="1467" spans="1:11" x14ac:dyDescent="0.25">
      <c r="A1467" s="26">
        <v>1417</v>
      </c>
      <c r="B1467" s="82">
        <f t="shared" si="182"/>
        <v>0</v>
      </c>
      <c r="C1467" s="58">
        <f t="shared" si="178"/>
        <v>171.9194128119324</v>
      </c>
      <c r="D1467" s="83">
        <f t="shared" si="183"/>
        <v>733.33333333333326</v>
      </c>
      <c r="E1467">
        <f t="shared" si="179"/>
        <v>0</v>
      </c>
      <c r="G1467">
        <v>1417</v>
      </c>
      <c r="H1467" s="13">
        <f t="shared" si="184"/>
        <v>-1.0275684203264746E-2</v>
      </c>
      <c r="I1467">
        <f t="shared" si="185"/>
        <v>157.35876829590626</v>
      </c>
      <c r="J1467">
        <f t="shared" si="180"/>
        <v>689.34968841127204</v>
      </c>
      <c r="K1467" s="27">
        <f t="shared" si="181"/>
        <v>-4882.632815350612</v>
      </c>
    </row>
    <row r="1468" spans="1:11" x14ac:dyDescent="0.25">
      <c r="A1468" s="26">
        <v>1418</v>
      </c>
      <c r="B1468" s="82">
        <f t="shared" si="182"/>
        <v>0</v>
      </c>
      <c r="C1468" s="58">
        <f t="shared" si="178"/>
        <v>171.9194128119324</v>
      </c>
      <c r="D1468" s="83">
        <f t="shared" si="183"/>
        <v>733.33333333333326</v>
      </c>
      <c r="E1468">
        <f t="shared" si="179"/>
        <v>0</v>
      </c>
      <c r="G1468">
        <v>1418</v>
      </c>
      <c r="H1468" s="13">
        <f t="shared" si="184"/>
        <v>-1.0275684203264746E-2</v>
      </c>
      <c r="I1468">
        <f t="shared" si="185"/>
        <v>157.34849261170299</v>
      </c>
      <c r="J1468">
        <f t="shared" si="180"/>
        <v>689.29278418333081</v>
      </c>
      <c r="K1468" s="27">
        <f t="shared" si="181"/>
        <v>-4881.825905153918</v>
      </c>
    </row>
    <row r="1469" spans="1:11" x14ac:dyDescent="0.25">
      <c r="A1469" s="26">
        <v>1419</v>
      </c>
      <c r="B1469" s="82">
        <f t="shared" si="182"/>
        <v>0</v>
      </c>
      <c r="C1469" s="58">
        <f t="shared" si="178"/>
        <v>171.9194128119324</v>
      </c>
      <c r="D1469" s="83">
        <f t="shared" si="183"/>
        <v>733.33333333333326</v>
      </c>
      <c r="E1469">
        <f t="shared" si="179"/>
        <v>0</v>
      </c>
      <c r="G1469">
        <v>1419</v>
      </c>
      <c r="H1469" s="13">
        <f t="shared" si="184"/>
        <v>-1.0275684203264746E-2</v>
      </c>
      <c r="I1469">
        <f t="shared" si="185"/>
        <v>157.33821692749973</v>
      </c>
      <c r="J1469">
        <f t="shared" si="180"/>
        <v>689.2357655860809</v>
      </c>
      <c r="K1469" s="27">
        <f t="shared" si="181"/>
        <v>-4881.017436945679</v>
      </c>
    </row>
    <row r="1470" spans="1:11" x14ac:dyDescent="0.25">
      <c r="A1470" s="26">
        <v>1420</v>
      </c>
      <c r="B1470" s="82">
        <f t="shared" si="182"/>
        <v>0</v>
      </c>
      <c r="C1470" s="58">
        <f t="shared" si="178"/>
        <v>171.9194128119324</v>
      </c>
      <c r="D1470" s="83">
        <f t="shared" si="183"/>
        <v>733.33333333333326</v>
      </c>
      <c r="E1470">
        <f t="shared" si="179"/>
        <v>0</v>
      </c>
      <c r="G1470">
        <v>1420</v>
      </c>
      <c r="H1470" s="13">
        <f t="shared" si="184"/>
        <v>-1.0275684203264746E-2</v>
      </c>
      <c r="I1470">
        <f t="shared" si="185"/>
        <v>157.32794124329646</v>
      </c>
      <c r="J1470">
        <f t="shared" si="180"/>
        <v>689.17863194904749</v>
      </c>
      <c r="K1470" s="27">
        <f t="shared" si="181"/>
        <v>-4880.2074015867483</v>
      </c>
    </row>
    <row r="1471" spans="1:11" x14ac:dyDescent="0.25">
      <c r="A1471" s="26">
        <v>1421</v>
      </c>
      <c r="B1471" s="82">
        <f t="shared" si="182"/>
        <v>0</v>
      </c>
      <c r="C1471" s="58">
        <f t="shared" si="178"/>
        <v>171.9194128119324</v>
      </c>
      <c r="D1471" s="83">
        <f t="shared" si="183"/>
        <v>733.33333333333326</v>
      </c>
      <c r="E1471">
        <f t="shared" si="179"/>
        <v>0</v>
      </c>
      <c r="G1471">
        <v>1421</v>
      </c>
      <c r="H1471" s="13">
        <f t="shared" si="184"/>
        <v>-1.0275684203264746E-2</v>
      </c>
      <c r="I1471">
        <f t="shared" si="185"/>
        <v>157.3176655590932</v>
      </c>
      <c r="J1471">
        <f t="shared" si="180"/>
        <v>689.1213825951362</v>
      </c>
      <c r="K1471" s="27">
        <f t="shared" si="181"/>
        <v>-4879.3957898475628</v>
      </c>
    </row>
    <row r="1472" spans="1:11" x14ac:dyDescent="0.25">
      <c r="A1472" s="26">
        <v>1422</v>
      </c>
      <c r="B1472" s="82">
        <f t="shared" si="182"/>
        <v>0</v>
      </c>
      <c r="C1472" s="58">
        <f t="shared" si="178"/>
        <v>171.9194128119324</v>
      </c>
      <c r="D1472" s="83">
        <f t="shared" si="183"/>
        <v>733.33333333333326</v>
      </c>
      <c r="E1472">
        <f t="shared" si="179"/>
        <v>0</v>
      </c>
      <c r="G1472">
        <v>1422</v>
      </c>
      <c r="H1472" s="13">
        <f t="shared" si="184"/>
        <v>-1.0275684203264746E-2</v>
      </c>
      <c r="I1472">
        <f t="shared" si="185"/>
        <v>157.30738987488994</v>
      </c>
      <c r="J1472">
        <f t="shared" si="180"/>
        <v>689.06401684054117</v>
      </c>
      <c r="K1472" s="27">
        <f t="shared" si="181"/>
        <v>-4878.5825924068877</v>
      </c>
    </row>
    <row r="1473" spans="1:11" x14ac:dyDescent="0.25">
      <c r="A1473" s="26">
        <v>1423</v>
      </c>
      <c r="B1473" s="82">
        <f t="shared" si="182"/>
        <v>0</v>
      </c>
      <c r="C1473" s="58">
        <f t="shared" si="178"/>
        <v>171.9194128119324</v>
      </c>
      <c r="D1473" s="83">
        <f t="shared" si="183"/>
        <v>733.33333333333326</v>
      </c>
      <c r="E1473">
        <f t="shared" si="179"/>
        <v>0</v>
      </c>
      <c r="G1473">
        <v>1423</v>
      </c>
      <c r="H1473" s="13">
        <f t="shared" si="184"/>
        <v>-1.0275684203264746E-2</v>
      </c>
      <c r="I1473">
        <f t="shared" si="185"/>
        <v>157.29711419068667</v>
      </c>
      <c r="J1473">
        <f t="shared" si="180"/>
        <v>689.00653399465102</v>
      </c>
      <c r="K1473" s="27">
        <f t="shared" si="181"/>
        <v>-4877.7677998505387</v>
      </c>
    </row>
    <row r="1474" spans="1:11" x14ac:dyDescent="0.25">
      <c r="A1474" s="26">
        <v>1424</v>
      </c>
      <c r="B1474" s="82">
        <f t="shared" si="182"/>
        <v>0</v>
      </c>
      <c r="C1474" s="58">
        <f t="shared" si="178"/>
        <v>171.9194128119324</v>
      </c>
      <c r="D1474" s="83">
        <f t="shared" si="183"/>
        <v>733.33333333333326</v>
      </c>
      <c r="E1474">
        <f t="shared" si="179"/>
        <v>0</v>
      </c>
      <c r="G1474">
        <v>1424</v>
      </c>
      <c r="H1474" s="13">
        <f t="shared" si="184"/>
        <v>-1.0275684203264746E-2</v>
      </c>
      <c r="I1474">
        <f t="shared" si="185"/>
        <v>157.28683850648341</v>
      </c>
      <c r="J1474">
        <f t="shared" si="180"/>
        <v>688.94893335995403</v>
      </c>
      <c r="K1474" s="27">
        <f t="shared" si="181"/>
        <v>-4876.9514026700735</v>
      </c>
    </row>
    <row r="1475" spans="1:11" x14ac:dyDescent="0.25">
      <c r="A1475" s="26">
        <v>1425</v>
      </c>
      <c r="B1475" s="82">
        <f t="shared" si="182"/>
        <v>0</v>
      </c>
      <c r="C1475" s="58">
        <f t="shared" si="178"/>
        <v>171.9194128119324</v>
      </c>
      <c r="D1475" s="83">
        <f t="shared" si="183"/>
        <v>733.33333333333326</v>
      </c>
      <c r="E1475">
        <f t="shared" si="179"/>
        <v>0</v>
      </c>
      <c r="G1475">
        <v>1425</v>
      </c>
      <c r="H1475" s="13">
        <f t="shared" si="184"/>
        <v>-1.0275684203264746E-2</v>
      </c>
      <c r="I1475">
        <f t="shared" si="185"/>
        <v>157.27656282228014</v>
      </c>
      <c r="J1475">
        <f t="shared" si="180"/>
        <v>688.89121423194092</v>
      </c>
      <c r="K1475" s="27">
        <f t="shared" si="181"/>
        <v>-4876.1333912614691</v>
      </c>
    </row>
    <row r="1476" spans="1:11" x14ac:dyDescent="0.25">
      <c r="A1476" s="26">
        <v>1426</v>
      </c>
      <c r="B1476" s="82">
        <f t="shared" si="182"/>
        <v>0</v>
      </c>
      <c r="C1476" s="58">
        <f t="shared" si="178"/>
        <v>171.9194128119324</v>
      </c>
      <c r="D1476" s="83">
        <f t="shared" si="183"/>
        <v>733.33333333333326</v>
      </c>
      <c r="E1476">
        <f t="shared" si="179"/>
        <v>0</v>
      </c>
      <c r="G1476">
        <v>1426</v>
      </c>
      <c r="H1476" s="13">
        <f t="shared" si="184"/>
        <v>-1.0275684203264746E-2</v>
      </c>
      <c r="I1476">
        <f t="shared" si="185"/>
        <v>157.26628713807688</v>
      </c>
      <c r="J1476">
        <f t="shared" si="180"/>
        <v>688.83337589900589</v>
      </c>
      <c r="K1476" s="27">
        <f t="shared" si="181"/>
        <v>-4875.3137559237612</v>
      </c>
    </row>
    <row r="1477" spans="1:11" x14ac:dyDescent="0.25">
      <c r="A1477" s="26">
        <v>1427</v>
      </c>
      <c r="B1477" s="82">
        <f t="shared" si="182"/>
        <v>0</v>
      </c>
      <c r="C1477" s="58">
        <f t="shared" si="178"/>
        <v>171.9194128119324</v>
      </c>
      <c r="D1477" s="83">
        <f t="shared" si="183"/>
        <v>733.33333333333326</v>
      </c>
      <c r="E1477">
        <f t="shared" si="179"/>
        <v>0</v>
      </c>
      <c r="G1477">
        <v>1427</v>
      </c>
      <c r="H1477" s="13">
        <f t="shared" si="184"/>
        <v>-1.0275684203264746E-2</v>
      </c>
      <c r="I1477">
        <f t="shared" si="185"/>
        <v>157.25601145387361</v>
      </c>
      <c r="J1477">
        <f t="shared" si="180"/>
        <v>688.77541764234661</v>
      </c>
      <c r="K1477" s="27">
        <f t="shared" si="181"/>
        <v>-4874.4924868576791</v>
      </c>
    </row>
    <row r="1478" spans="1:11" x14ac:dyDescent="0.25">
      <c r="A1478" s="26">
        <v>1428</v>
      </c>
      <c r="B1478" s="82">
        <f t="shared" si="182"/>
        <v>0</v>
      </c>
      <c r="C1478" s="58">
        <f t="shared" si="178"/>
        <v>171.9194128119324</v>
      </c>
      <c r="D1478" s="83">
        <f t="shared" si="183"/>
        <v>733.33333333333326</v>
      </c>
      <c r="E1478">
        <f t="shared" si="179"/>
        <v>0</v>
      </c>
      <c r="G1478">
        <v>1428</v>
      </c>
      <c r="H1478" s="13">
        <f t="shared" si="184"/>
        <v>-1.0275684203264746E-2</v>
      </c>
      <c r="I1478">
        <f t="shared" si="185"/>
        <v>157.24573576967035</v>
      </c>
      <c r="J1478">
        <f t="shared" si="180"/>
        <v>688.71733873586129</v>
      </c>
      <c r="K1478" s="27">
        <f t="shared" si="181"/>
        <v>-4873.6695741642361</v>
      </c>
    </row>
    <row r="1479" spans="1:11" x14ac:dyDescent="0.25">
      <c r="A1479" s="26">
        <v>1429</v>
      </c>
      <c r="B1479" s="82">
        <f t="shared" si="182"/>
        <v>0</v>
      </c>
      <c r="C1479" s="58">
        <f t="shared" si="178"/>
        <v>171.9194128119324</v>
      </c>
      <c r="D1479" s="83">
        <f t="shared" si="183"/>
        <v>733.33333333333326</v>
      </c>
      <c r="E1479">
        <f t="shared" si="179"/>
        <v>0</v>
      </c>
      <c r="G1479">
        <v>1429</v>
      </c>
      <c r="H1479" s="13">
        <f t="shared" si="184"/>
        <v>-1.0275684203264746E-2</v>
      </c>
      <c r="I1479">
        <f t="shared" si="185"/>
        <v>157.23546008546708</v>
      </c>
      <c r="J1479">
        <f t="shared" si="180"/>
        <v>688.65913844604472</v>
      </c>
      <c r="K1479" s="27">
        <f t="shared" si="181"/>
        <v>-4872.8450078433043</v>
      </c>
    </row>
    <row r="1480" spans="1:11" x14ac:dyDescent="0.25">
      <c r="A1480" s="26">
        <v>1430</v>
      </c>
      <c r="B1480" s="82">
        <f t="shared" si="182"/>
        <v>0</v>
      </c>
      <c r="C1480" s="58">
        <f t="shared" si="178"/>
        <v>171.9194128119324</v>
      </c>
      <c r="D1480" s="83">
        <f t="shared" si="183"/>
        <v>733.33333333333326</v>
      </c>
      <c r="E1480">
        <f t="shared" si="179"/>
        <v>0</v>
      </c>
      <c r="G1480">
        <v>1430</v>
      </c>
      <c r="H1480" s="13">
        <f t="shared" si="184"/>
        <v>-1.0275684203264746E-2</v>
      </c>
      <c r="I1480">
        <f t="shared" si="185"/>
        <v>157.22518440126382</v>
      </c>
      <c r="J1480">
        <f t="shared" si="180"/>
        <v>688.60081603188166</v>
      </c>
      <c r="K1480" s="27">
        <f t="shared" si="181"/>
        <v>-4872.0187777921601</v>
      </c>
    </row>
    <row r="1481" spans="1:11" x14ac:dyDescent="0.25">
      <c r="A1481" s="26">
        <v>1431</v>
      </c>
      <c r="B1481" s="82">
        <f t="shared" si="182"/>
        <v>0</v>
      </c>
      <c r="C1481" s="58">
        <f t="shared" si="178"/>
        <v>171.9194128119324</v>
      </c>
      <c r="D1481" s="83">
        <f t="shared" si="183"/>
        <v>733.33333333333326</v>
      </c>
      <c r="E1481">
        <f t="shared" si="179"/>
        <v>0</v>
      </c>
      <c r="G1481">
        <v>1431</v>
      </c>
      <c r="H1481" s="13">
        <f t="shared" si="184"/>
        <v>-1.0275684203264746E-2</v>
      </c>
      <c r="I1481">
        <f t="shared" si="185"/>
        <v>157.21490871706055</v>
      </c>
      <c r="J1481">
        <f t="shared" si="180"/>
        <v>688.5423707447394</v>
      </c>
      <c r="K1481" s="27">
        <f t="shared" si="181"/>
        <v>-4871.1908738040038</v>
      </c>
    </row>
    <row r="1482" spans="1:11" x14ac:dyDescent="0.25">
      <c r="A1482" s="26">
        <v>1432</v>
      </c>
      <c r="B1482" s="82">
        <f t="shared" si="182"/>
        <v>0</v>
      </c>
      <c r="C1482" s="58">
        <f t="shared" si="178"/>
        <v>171.9194128119324</v>
      </c>
      <c r="D1482" s="83">
        <f t="shared" si="183"/>
        <v>733.33333333333326</v>
      </c>
      <c r="E1482">
        <f t="shared" si="179"/>
        <v>0</v>
      </c>
      <c r="G1482">
        <v>1432</v>
      </c>
      <c r="H1482" s="13">
        <f t="shared" si="184"/>
        <v>-1.0275684203264746E-2</v>
      </c>
      <c r="I1482">
        <f t="shared" si="185"/>
        <v>157.20463303285729</v>
      </c>
      <c r="J1482">
        <f t="shared" si="180"/>
        <v>688.48380182825656</v>
      </c>
      <c r="K1482" s="27">
        <f t="shared" si="181"/>
        <v>-4870.3612855664524</v>
      </c>
    </row>
    <row r="1483" spans="1:11" x14ac:dyDescent="0.25">
      <c r="A1483" s="26">
        <v>1433</v>
      </c>
      <c r="B1483" s="82">
        <f t="shared" si="182"/>
        <v>0</v>
      </c>
      <c r="C1483" s="58">
        <f t="shared" si="178"/>
        <v>171.9194128119324</v>
      </c>
      <c r="D1483" s="83">
        <f t="shared" si="183"/>
        <v>733.33333333333326</v>
      </c>
      <c r="E1483">
        <f t="shared" si="179"/>
        <v>0</v>
      </c>
      <c r="G1483">
        <v>1433</v>
      </c>
      <c r="H1483" s="13">
        <f t="shared" si="184"/>
        <v>-1.0275684203264746E-2</v>
      </c>
      <c r="I1483">
        <f t="shared" si="185"/>
        <v>157.19435734865402</v>
      </c>
      <c r="J1483">
        <f t="shared" si="180"/>
        <v>688.42510851823192</v>
      </c>
      <c r="K1483" s="27">
        <f t="shared" si="181"/>
        <v>-4869.5300026599998</v>
      </c>
    </row>
    <row r="1484" spans="1:11" x14ac:dyDescent="0.25">
      <c r="A1484" s="26">
        <v>1434</v>
      </c>
      <c r="B1484" s="82">
        <f t="shared" si="182"/>
        <v>0</v>
      </c>
      <c r="C1484" s="58">
        <f t="shared" si="178"/>
        <v>171.9194128119324</v>
      </c>
      <c r="D1484" s="83">
        <f t="shared" si="183"/>
        <v>733.33333333333326</v>
      </c>
      <c r="E1484">
        <f t="shared" si="179"/>
        <v>0</v>
      </c>
      <c r="G1484">
        <v>1434</v>
      </c>
      <c r="H1484" s="13">
        <f t="shared" si="184"/>
        <v>-1.0275684203264746E-2</v>
      </c>
      <c r="I1484">
        <f t="shared" si="185"/>
        <v>157.18408166445076</v>
      </c>
      <c r="J1484">
        <f t="shared" si="180"/>
        <v>688.36629004250926</v>
      </c>
      <c r="K1484" s="27">
        <f t="shared" si="181"/>
        <v>-4868.6970145564528</v>
      </c>
    </row>
    <row r="1485" spans="1:11" x14ac:dyDescent="0.25">
      <c r="A1485" s="26">
        <v>1435</v>
      </c>
      <c r="B1485" s="82">
        <f t="shared" si="182"/>
        <v>0</v>
      </c>
      <c r="C1485" s="58">
        <f t="shared" si="178"/>
        <v>171.9194128119324</v>
      </c>
      <c r="D1485" s="83">
        <f t="shared" si="183"/>
        <v>733.33333333333326</v>
      </c>
      <c r="E1485">
        <f t="shared" si="179"/>
        <v>0</v>
      </c>
      <c r="G1485">
        <v>1435</v>
      </c>
      <c r="H1485" s="13">
        <f t="shared" si="184"/>
        <v>-1.0275684203264746E-2</v>
      </c>
      <c r="I1485">
        <f t="shared" si="185"/>
        <v>157.17380598024749</v>
      </c>
      <c r="J1485">
        <f t="shared" si="180"/>
        <v>688.30734562086116</v>
      </c>
      <c r="K1485" s="27">
        <f t="shared" si="181"/>
        <v>-4867.8623106173382</v>
      </c>
    </row>
    <row r="1486" spans="1:11" x14ac:dyDescent="0.25">
      <c r="A1486" s="26">
        <v>1436</v>
      </c>
      <c r="B1486" s="82">
        <f t="shared" si="182"/>
        <v>0</v>
      </c>
      <c r="C1486" s="58">
        <f t="shared" si="178"/>
        <v>171.9194128119324</v>
      </c>
      <c r="D1486" s="83">
        <f t="shared" si="183"/>
        <v>733.33333333333326</v>
      </c>
      <c r="E1486">
        <f t="shared" si="179"/>
        <v>0</v>
      </c>
      <c r="G1486">
        <v>1436</v>
      </c>
      <c r="H1486" s="13">
        <f t="shared" si="184"/>
        <v>-1.0275684203264746E-2</v>
      </c>
      <c r="I1486">
        <f t="shared" si="185"/>
        <v>157.16353029604423</v>
      </c>
      <c r="J1486">
        <f t="shared" si="180"/>
        <v>688.24827446487029</v>
      </c>
      <c r="K1486" s="27">
        <f t="shared" si="181"/>
        <v>-4867.0258800922702</v>
      </c>
    </row>
    <row r="1487" spans="1:11" x14ac:dyDescent="0.25">
      <c r="A1487" s="26">
        <v>1437</v>
      </c>
      <c r="B1487" s="82">
        <f t="shared" si="182"/>
        <v>0</v>
      </c>
      <c r="C1487" s="58">
        <f t="shared" si="178"/>
        <v>171.9194128119324</v>
      </c>
      <c r="D1487" s="83">
        <f t="shared" si="183"/>
        <v>733.33333333333326</v>
      </c>
      <c r="E1487">
        <f t="shared" si="179"/>
        <v>0</v>
      </c>
      <c r="G1487">
        <v>1437</v>
      </c>
      <c r="H1487" s="13">
        <f t="shared" si="184"/>
        <v>-1.0275684203264746E-2</v>
      </c>
      <c r="I1487">
        <f t="shared" si="185"/>
        <v>157.15325461184096</v>
      </c>
      <c r="J1487">
        <f t="shared" si="180"/>
        <v>688.1890757778084</v>
      </c>
      <c r="K1487" s="27">
        <f t="shared" si="181"/>
        <v>-4866.1877121173038</v>
      </c>
    </row>
    <row r="1488" spans="1:11" x14ac:dyDescent="0.25">
      <c r="A1488" s="26">
        <v>1438</v>
      </c>
      <c r="B1488" s="82">
        <f t="shared" si="182"/>
        <v>0</v>
      </c>
      <c r="C1488" s="58">
        <f t="shared" ref="C1488:C1551" si="186">($C$37-$C$36)/2000+C1487</f>
        <v>171.9194128119324</v>
      </c>
      <c r="D1488" s="83">
        <f t="shared" si="183"/>
        <v>733.33333333333326</v>
      </c>
      <c r="E1488">
        <f t="shared" si="179"/>
        <v>0</v>
      </c>
      <c r="G1488">
        <v>1438</v>
      </c>
      <c r="H1488" s="13">
        <f t="shared" si="184"/>
        <v>-1.0275684203264746E-2</v>
      </c>
      <c r="I1488">
        <f t="shared" si="185"/>
        <v>157.1429789276377</v>
      </c>
      <c r="J1488">
        <f t="shared" si="180"/>
        <v>688.12974875451323</v>
      </c>
      <c r="K1488" s="27">
        <f t="shared" si="181"/>
        <v>-4865.3477957132391</v>
      </c>
    </row>
    <row r="1489" spans="1:11" x14ac:dyDescent="0.25">
      <c r="A1489" s="26">
        <v>1439</v>
      </c>
      <c r="B1489" s="82">
        <f t="shared" si="182"/>
        <v>0</v>
      </c>
      <c r="C1489" s="58">
        <f t="shared" si="186"/>
        <v>171.9194128119324</v>
      </c>
      <c r="D1489" s="83">
        <f t="shared" si="183"/>
        <v>733.33333333333326</v>
      </c>
      <c r="E1489">
        <f t="shared" si="179"/>
        <v>0</v>
      </c>
      <c r="G1489">
        <v>1439</v>
      </c>
      <c r="H1489" s="13">
        <f t="shared" si="184"/>
        <v>-1.0275684203264746E-2</v>
      </c>
      <c r="I1489">
        <f t="shared" si="185"/>
        <v>157.13270324343443</v>
      </c>
      <c r="J1489">
        <f t="shared" si="180"/>
        <v>688.07029258126238</v>
      </c>
      <c r="K1489" s="27">
        <f t="shared" si="181"/>
        <v>-4864.5061197839013</v>
      </c>
    </row>
    <row r="1490" spans="1:11" x14ac:dyDescent="0.25">
      <c r="A1490" s="26">
        <v>1440</v>
      </c>
      <c r="B1490" s="82">
        <f t="shared" si="182"/>
        <v>0</v>
      </c>
      <c r="C1490" s="58">
        <f t="shared" si="186"/>
        <v>171.9194128119324</v>
      </c>
      <c r="D1490" s="83">
        <f t="shared" si="183"/>
        <v>733.33333333333326</v>
      </c>
      <c r="E1490">
        <f t="shared" si="179"/>
        <v>0</v>
      </c>
      <c r="G1490">
        <v>1440</v>
      </c>
      <c r="H1490" s="13">
        <f t="shared" si="184"/>
        <v>-1.0275684203264746E-2</v>
      </c>
      <c r="I1490">
        <f t="shared" si="185"/>
        <v>157.12242755923117</v>
      </c>
      <c r="J1490">
        <f t="shared" si="180"/>
        <v>688.01070643564606</v>
      </c>
      <c r="K1490" s="27">
        <f t="shared" si="181"/>
        <v>-4863.6626731143942</v>
      </c>
    </row>
    <row r="1491" spans="1:11" x14ac:dyDescent="0.25">
      <c r="A1491" s="26">
        <v>1441</v>
      </c>
      <c r="B1491" s="82">
        <f t="shared" si="182"/>
        <v>0</v>
      </c>
      <c r="C1491" s="58">
        <f t="shared" si="186"/>
        <v>171.9194128119324</v>
      </c>
      <c r="D1491" s="83">
        <f t="shared" si="183"/>
        <v>733.33333333333326</v>
      </c>
      <c r="E1491">
        <f t="shared" si="179"/>
        <v>0</v>
      </c>
      <c r="G1491">
        <v>1441</v>
      </c>
      <c r="H1491" s="13">
        <f t="shared" si="184"/>
        <v>-1.0275684203264746E-2</v>
      </c>
      <c r="I1491">
        <f t="shared" si="185"/>
        <v>157.11215187502791</v>
      </c>
      <c r="J1491">
        <f t="shared" si="180"/>
        <v>687.95098948643567</v>
      </c>
      <c r="K1491" s="27">
        <f t="shared" si="181"/>
        <v>-4862.8174443693051</v>
      </c>
    </row>
    <row r="1492" spans="1:11" x14ac:dyDescent="0.25">
      <c r="A1492" s="26">
        <v>1442</v>
      </c>
      <c r="B1492" s="82">
        <f t="shared" si="182"/>
        <v>0</v>
      </c>
      <c r="C1492" s="58">
        <f t="shared" si="186"/>
        <v>171.9194128119324</v>
      </c>
      <c r="D1492" s="83">
        <f t="shared" si="183"/>
        <v>733.33333333333326</v>
      </c>
      <c r="E1492">
        <f t="shared" si="179"/>
        <v>0</v>
      </c>
      <c r="G1492">
        <v>1442</v>
      </c>
      <c r="H1492" s="13">
        <f t="shared" si="184"/>
        <v>-1.0275684203264746E-2</v>
      </c>
      <c r="I1492">
        <f t="shared" si="185"/>
        <v>157.10187619082464</v>
      </c>
      <c r="J1492">
        <f t="shared" si="180"/>
        <v>687.89114089345151</v>
      </c>
      <c r="K1492" s="27">
        <f t="shared" si="181"/>
        <v>-4861.9704220908825</v>
      </c>
    </row>
    <row r="1493" spans="1:11" x14ac:dyDescent="0.25">
      <c r="A1493" s="26">
        <v>1443</v>
      </c>
      <c r="B1493" s="82">
        <f t="shared" si="182"/>
        <v>0</v>
      </c>
      <c r="C1493" s="58">
        <f t="shared" si="186"/>
        <v>171.9194128119324</v>
      </c>
      <c r="D1493" s="83">
        <f t="shared" si="183"/>
        <v>733.33333333333326</v>
      </c>
      <c r="E1493">
        <f t="shared" si="179"/>
        <v>0</v>
      </c>
      <c r="G1493">
        <v>1443</v>
      </c>
      <c r="H1493" s="13">
        <f t="shared" si="184"/>
        <v>-1.0275684203264746E-2</v>
      </c>
      <c r="I1493">
        <f t="shared" si="185"/>
        <v>157.09160050662138</v>
      </c>
      <c r="J1493">
        <f t="shared" si="180"/>
        <v>687.8311598074265</v>
      </c>
      <c r="K1493" s="27">
        <f t="shared" si="181"/>
        <v>-4861.1215946971852</v>
      </c>
    </row>
    <row r="1494" spans="1:11" x14ac:dyDescent="0.25">
      <c r="A1494" s="26">
        <v>1444</v>
      </c>
      <c r="B1494" s="82">
        <f t="shared" si="182"/>
        <v>0</v>
      </c>
      <c r="C1494" s="58">
        <f t="shared" si="186"/>
        <v>171.9194128119324</v>
      </c>
      <c r="D1494" s="83">
        <f t="shared" si="183"/>
        <v>733.33333333333326</v>
      </c>
      <c r="E1494">
        <f t="shared" si="179"/>
        <v>0</v>
      </c>
      <c r="G1494">
        <v>1444</v>
      </c>
      <c r="H1494" s="13">
        <f t="shared" si="184"/>
        <v>-1.0275684203264746E-2</v>
      </c>
      <c r="I1494">
        <f t="shared" si="185"/>
        <v>157.08132482241811</v>
      </c>
      <c r="J1494">
        <f t="shared" si="180"/>
        <v>687.77104536986849</v>
      </c>
      <c r="K1494" s="27">
        <f t="shared" si="181"/>
        <v>-4860.2709504801796</v>
      </c>
    </row>
    <row r="1495" spans="1:11" x14ac:dyDescent="0.25">
      <c r="A1495" s="26">
        <v>1445</v>
      </c>
      <c r="B1495" s="82">
        <f t="shared" si="182"/>
        <v>0</v>
      </c>
      <c r="C1495" s="58">
        <f t="shared" si="186"/>
        <v>171.9194128119324</v>
      </c>
      <c r="D1495" s="83">
        <f t="shared" si="183"/>
        <v>733.33333333333326</v>
      </c>
      <c r="E1495">
        <f t="shared" si="179"/>
        <v>0</v>
      </c>
      <c r="G1495">
        <v>1445</v>
      </c>
      <c r="H1495" s="13">
        <f t="shared" si="184"/>
        <v>-1.0275684203264746E-2</v>
      </c>
      <c r="I1495">
        <f t="shared" si="185"/>
        <v>157.07104913821485</v>
      </c>
      <c r="J1495">
        <f t="shared" si="180"/>
        <v>687.71079671291864</v>
      </c>
      <c r="K1495" s="27">
        <f t="shared" si="181"/>
        <v>-4859.4184776038146</v>
      </c>
    </row>
    <row r="1496" spans="1:11" x14ac:dyDescent="0.25">
      <c r="A1496" s="26">
        <v>1446</v>
      </c>
      <c r="B1496" s="82">
        <f t="shared" si="182"/>
        <v>0</v>
      </c>
      <c r="C1496" s="58">
        <f t="shared" si="186"/>
        <v>171.9194128119324</v>
      </c>
      <c r="D1496" s="83">
        <f t="shared" si="183"/>
        <v>733.33333333333326</v>
      </c>
      <c r="E1496">
        <f t="shared" si="179"/>
        <v>0</v>
      </c>
      <c r="G1496">
        <v>1446</v>
      </c>
      <c r="H1496" s="13">
        <f t="shared" si="184"/>
        <v>-1.0275684203264746E-2</v>
      </c>
      <c r="I1496">
        <f t="shared" si="185"/>
        <v>157.06077345401158</v>
      </c>
      <c r="J1496">
        <f t="shared" si="180"/>
        <v>687.6504129592081</v>
      </c>
      <c r="K1496" s="27">
        <f t="shared" si="181"/>
        <v>-4858.5641641020457</v>
      </c>
    </row>
    <row r="1497" spans="1:11" x14ac:dyDescent="0.25">
      <c r="A1497" s="26">
        <v>1447</v>
      </c>
      <c r="B1497" s="82">
        <f t="shared" si="182"/>
        <v>0</v>
      </c>
      <c r="C1497" s="58">
        <f t="shared" si="186"/>
        <v>171.9194128119324</v>
      </c>
      <c r="D1497" s="83">
        <f t="shared" si="183"/>
        <v>733.33333333333326</v>
      </c>
      <c r="E1497">
        <f t="shared" si="179"/>
        <v>0</v>
      </c>
      <c r="G1497">
        <v>1447</v>
      </c>
      <c r="H1497" s="13">
        <f t="shared" si="184"/>
        <v>-1.0275684203264746E-2</v>
      </c>
      <c r="I1497">
        <f t="shared" si="185"/>
        <v>157.05049776980832</v>
      </c>
      <c r="J1497">
        <f t="shared" si="180"/>
        <v>687.58989322171089</v>
      </c>
      <c r="K1497" s="27">
        <f t="shared" si="181"/>
        <v>-4857.7079978768297</v>
      </c>
    </row>
    <row r="1498" spans="1:11" x14ac:dyDescent="0.25">
      <c r="A1498" s="26">
        <v>1448</v>
      </c>
      <c r="B1498" s="82">
        <f t="shared" si="182"/>
        <v>0</v>
      </c>
      <c r="C1498" s="58">
        <f t="shared" si="186"/>
        <v>171.9194128119324</v>
      </c>
      <c r="D1498" s="83">
        <f t="shared" si="183"/>
        <v>733.33333333333326</v>
      </c>
      <c r="E1498">
        <f t="shared" si="179"/>
        <v>0</v>
      </c>
      <c r="G1498">
        <v>1448</v>
      </c>
      <c r="H1498" s="13">
        <f t="shared" si="184"/>
        <v>-1.0275684203264746E-2</v>
      </c>
      <c r="I1498">
        <f t="shared" si="185"/>
        <v>157.04022208560505</v>
      </c>
      <c r="J1498">
        <f t="shared" si="180"/>
        <v>687.52923660359477</v>
      </c>
      <c r="K1498" s="27">
        <f t="shared" si="181"/>
        <v>-4856.8499666960752</v>
      </c>
    </row>
    <row r="1499" spans="1:11" x14ac:dyDescent="0.25">
      <c r="A1499" s="26">
        <v>1449</v>
      </c>
      <c r="B1499" s="82">
        <f t="shared" si="182"/>
        <v>0</v>
      </c>
      <c r="C1499" s="58">
        <f t="shared" si="186"/>
        <v>171.9194128119324</v>
      </c>
      <c r="D1499" s="83">
        <f t="shared" si="183"/>
        <v>733.33333333333326</v>
      </c>
      <c r="E1499">
        <f t="shared" si="179"/>
        <v>0</v>
      </c>
      <c r="G1499">
        <v>1449</v>
      </c>
      <c r="H1499" s="13">
        <f t="shared" si="184"/>
        <v>-1.0275684203264746E-2</v>
      </c>
      <c r="I1499">
        <f t="shared" si="185"/>
        <v>157.02994640140179</v>
      </c>
      <c r="J1499">
        <f t="shared" si="180"/>
        <v>687.46844219806837</v>
      </c>
      <c r="K1499" s="27">
        <f t="shared" si="181"/>
        <v>-4855.9900581915517</v>
      </c>
    </row>
    <row r="1500" spans="1:11" x14ac:dyDescent="0.25">
      <c r="A1500" s="26">
        <v>1450</v>
      </c>
      <c r="B1500" s="82">
        <f t="shared" si="182"/>
        <v>0</v>
      </c>
      <c r="C1500" s="58">
        <f t="shared" si="186"/>
        <v>171.9194128119324</v>
      </c>
      <c r="D1500" s="83">
        <f t="shared" si="183"/>
        <v>733.33333333333326</v>
      </c>
      <c r="E1500">
        <f t="shared" si="179"/>
        <v>0</v>
      </c>
      <c r="G1500">
        <v>1450</v>
      </c>
      <c r="H1500" s="13">
        <f t="shared" si="184"/>
        <v>-1.0275684203264746E-2</v>
      </c>
      <c r="I1500">
        <f t="shared" si="185"/>
        <v>157.01967071719852</v>
      </c>
      <c r="J1500">
        <f t="shared" si="180"/>
        <v>687.40750908822565</v>
      </c>
      <c r="K1500" s="27">
        <f t="shared" si="181"/>
        <v>-4855.1282598567568</v>
      </c>
    </row>
    <row r="1501" spans="1:11" x14ac:dyDescent="0.25">
      <c r="A1501" s="26">
        <v>1451</v>
      </c>
      <c r="B1501" s="82">
        <f t="shared" si="182"/>
        <v>0</v>
      </c>
      <c r="C1501" s="58">
        <f t="shared" si="186"/>
        <v>171.9194128119324</v>
      </c>
      <c r="D1501" s="83">
        <f t="shared" si="183"/>
        <v>733.33333333333326</v>
      </c>
      <c r="E1501">
        <f t="shared" si="179"/>
        <v>0</v>
      </c>
      <c r="G1501">
        <v>1451</v>
      </c>
      <c r="H1501" s="13">
        <f t="shared" si="184"/>
        <v>-1.0275684203264746E-2</v>
      </c>
      <c r="I1501">
        <f t="shared" si="185"/>
        <v>157.00939503299526</v>
      </c>
      <c r="J1501">
        <f t="shared" si="180"/>
        <v>687.34643634688723</v>
      </c>
      <c r="K1501" s="27">
        <f t="shared" si="181"/>
        <v>-4854.264559044741</v>
      </c>
    </row>
    <row r="1502" spans="1:11" x14ac:dyDescent="0.25">
      <c r="A1502" s="26">
        <v>1452</v>
      </c>
      <c r="B1502" s="82">
        <f t="shared" si="182"/>
        <v>0</v>
      </c>
      <c r="C1502" s="58">
        <f t="shared" si="186"/>
        <v>171.9194128119324</v>
      </c>
      <c r="D1502" s="83">
        <f t="shared" si="183"/>
        <v>733.33333333333326</v>
      </c>
      <c r="E1502">
        <f t="shared" si="179"/>
        <v>0</v>
      </c>
      <c r="G1502">
        <v>1452</v>
      </c>
      <c r="H1502" s="13">
        <f t="shared" si="184"/>
        <v>-1.0275684203264746E-2</v>
      </c>
      <c r="I1502">
        <f t="shared" si="185"/>
        <v>156.99911934879199</v>
      </c>
      <c r="J1502">
        <f t="shared" si="180"/>
        <v>687.28522303643786</v>
      </c>
      <c r="K1502" s="27">
        <f t="shared" si="181"/>
        <v>-4853.3989429658859</v>
      </c>
    </row>
    <row r="1503" spans="1:11" x14ac:dyDescent="0.25">
      <c r="A1503" s="26">
        <v>1453</v>
      </c>
      <c r="B1503" s="82">
        <f t="shared" si="182"/>
        <v>0</v>
      </c>
      <c r="C1503" s="58">
        <f t="shared" si="186"/>
        <v>171.9194128119324</v>
      </c>
      <c r="D1503" s="83">
        <f t="shared" si="183"/>
        <v>733.33333333333326</v>
      </c>
      <c r="E1503">
        <f t="shared" si="179"/>
        <v>0</v>
      </c>
      <c r="G1503">
        <v>1453</v>
      </c>
      <c r="H1503" s="13">
        <f t="shared" si="184"/>
        <v>-1.0275684203264746E-2</v>
      </c>
      <c r="I1503">
        <f t="shared" si="185"/>
        <v>156.98884366458873</v>
      </c>
      <c r="J1503">
        <f t="shared" si="180"/>
        <v>687.22386820866188</v>
      </c>
      <c r="K1503" s="27">
        <f t="shared" si="181"/>
        <v>-4852.5313986856463</v>
      </c>
    </row>
    <row r="1504" spans="1:11" x14ac:dyDescent="0.25">
      <c r="A1504" s="26">
        <v>1454</v>
      </c>
      <c r="B1504" s="82">
        <f t="shared" si="182"/>
        <v>0</v>
      </c>
      <c r="C1504" s="58">
        <f t="shared" si="186"/>
        <v>171.9194128119324</v>
      </c>
      <c r="D1504" s="83">
        <f t="shared" si="183"/>
        <v>733.33333333333326</v>
      </c>
      <c r="E1504">
        <f t="shared" si="179"/>
        <v>0</v>
      </c>
      <c r="G1504">
        <v>1454</v>
      </c>
      <c r="H1504" s="13">
        <f t="shared" si="184"/>
        <v>-1.0275684203264746E-2</v>
      </c>
      <c r="I1504">
        <f t="shared" si="185"/>
        <v>156.97856798038546</v>
      </c>
      <c r="J1504">
        <f t="shared" si="180"/>
        <v>687.16237090457423</v>
      </c>
      <c r="K1504" s="27">
        <f t="shared" si="181"/>
        <v>-4851.6619131222269</v>
      </c>
    </row>
    <row r="1505" spans="1:11" x14ac:dyDescent="0.25">
      <c r="A1505" s="26">
        <v>1455</v>
      </c>
      <c r="B1505" s="82">
        <f t="shared" si="182"/>
        <v>0</v>
      </c>
      <c r="C1505" s="58">
        <f t="shared" si="186"/>
        <v>171.9194128119324</v>
      </c>
      <c r="D1505" s="83">
        <f t="shared" si="183"/>
        <v>733.33333333333326</v>
      </c>
      <c r="E1505">
        <f t="shared" si="179"/>
        <v>0</v>
      </c>
      <c r="G1505">
        <v>1455</v>
      </c>
      <c r="H1505" s="13">
        <f t="shared" si="184"/>
        <v>-1.0275684203264746E-2</v>
      </c>
      <c r="I1505">
        <f t="shared" si="185"/>
        <v>156.9682922961822</v>
      </c>
      <c r="J1505">
        <f t="shared" si="180"/>
        <v>687.10073015424769</v>
      </c>
      <c r="K1505" s="27">
        <f t="shared" si="181"/>
        <v>-4850.7904730442342</v>
      </c>
    </row>
    <row r="1506" spans="1:11" x14ac:dyDescent="0.25">
      <c r="A1506" s="26">
        <v>1456</v>
      </c>
      <c r="B1506" s="82">
        <f t="shared" si="182"/>
        <v>0</v>
      </c>
      <c r="C1506" s="58">
        <f t="shared" si="186"/>
        <v>171.9194128119324</v>
      </c>
      <c r="D1506" s="83">
        <f t="shared" si="183"/>
        <v>733.33333333333326</v>
      </c>
      <c r="E1506">
        <f t="shared" si="179"/>
        <v>0</v>
      </c>
      <c r="G1506">
        <v>1456</v>
      </c>
      <c r="H1506" s="13">
        <f t="shared" si="184"/>
        <v>-1.0275684203264746E-2</v>
      </c>
      <c r="I1506">
        <f t="shared" si="185"/>
        <v>156.95801661197893</v>
      </c>
      <c r="J1506">
        <f t="shared" si="180"/>
        <v>687.03894497663828</v>
      </c>
      <c r="K1506" s="27">
        <f t="shared" si="181"/>
        <v>-4849.9170650682599</v>
      </c>
    </row>
    <row r="1507" spans="1:11" x14ac:dyDescent="0.25">
      <c r="A1507" s="26">
        <v>1457</v>
      </c>
      <c r="B1507" s="82">
        <f t="shared" si="182"/>
        <v>0</v>
      </c>
      <c r="C1507" s="58">
        <f t="shared" si="186"/>
        <v>171.9194128119324</v>
      </c>
      <c r="D1507" s="83">
        <f t="shared" si="183"/>
        <v>733.33333333333326</v>
      </c>
      <c r="E1507">
        <f t="shared" si="179"/>
        <v>0</v>
      </c>
      <c r="G1507">
        <v>1457</v>
      </c>
      <c r="H1507" s="13">
        <f t="shared" si="184"/>
        <v>-1.0275684203264746E-2</v>
      </c>
      <c r="I1507">
        <f t="shared" si="185"/>
        <v>156.94774092777567</v>
      </c>
      <c r="J1507">
        <f t="shared" si="180"/>
        <v>686.97701437940498</v>
      </c>
      <c r="K1507" s="27">
        <f t="shared" si="181"/>
        <v>-4849.04167565643</v>
      </c>
    </row>
    <row r="1508" spans="1:11" x14ac:dyDescent="0.25">
      <c r="A1508" s="26">
        <v>1458</v>
      </c>
      <c r="B1508" s="82">
        <f t="shared" si="182"/>
        <v>0</v>
      </c>
      <c r="C1508" s="58">
        <f t="shared" si="186"/>
        <v>171.9194128119324</v>
      </c>
      <c r="D1508" s="83">
        <f t="shared" si="183"/>
        <v>733.33333333333326</v>
      </c>
      <c r="E1508">
        <f t="shared" si="179"/>
        <v>0</v>
      </c>
      <c r="G1508">
        <v>1458</v>
      </c>
      <c r="H1508" s="13">
        <f t="shared" si="184"/>
        <v>-1.0275684203264746E-2</v>
      </c>
      <c r="I1508">
        <f t="shared" si="185"/>
        <v>156.9374652435724</v>
      </c>
      <c r="J1508">
        <f t="shared" si="180"/>
        <v>686.914937358727</v>
      </c>
      <c r="K1508" s="27">
        <f t="shared" si="181"/>
        <v>-4848.1642911138879</v>
      </c>
    </row>
    <row r="1509" spans="1:11" x14ac:dyDescent="0.25">
      <c r="A1509" s="26">
        <v>1459</v>
      </c>
      <c r="B1509" s="82">
        <f t="shared" si="182"/>
        <v>0</v>
      </c>
      <c r="C1509" s="58">
        <f t="shared" si="186"/>
        <v>171.9194128119324</v>
      </c>
      <c r="D1509" s="83">
        <f t="shared" si="183"/>
        <v>733.33333333333326</v>
      </c>
      <c r="E1509">
        <f t="shared" si="179"/>
        <v>0</v>
      </c>
      <c r="G1509">
        <v>1459</v>
      </c>
      <c r="H1509" s="13">
        <f t="shared" si="184"/>
        <v>-1.0275684203264746E-2</v>
      </c>
      <c r="I1509">
        <f t="shared" si="185"/>
        <v>156.92718955936914</v>
      </c>
      <c r="J1509">
        <f t="shared" si="180"/>
        <v>686.85271289911691</v>
      </c>
      <c r="K1509" s="27">
        <f t="shared" si="181"/>
        <v>-4847.2848975862407</v>
      </c>
    </row>
    <row r="1510" spans="1:11" x14ac:dyDescent="0.25">
      <c r="A1510" s="26">
        <v>1460</v>
      </c>
      <c r="B1510" s="82">
        <f t="shared" si="182"/>
        <v>0</v>
      </c>
      <c r="C1510" s="58">
        <f t="shared" si="186"/>
        <v>171.9194128119324</v>
      </c>
      <c r="D1510" s="83">
        <f t="shared" si="183"/>
        <v>733.33333333333326</v>
      </c>
      <c r="E1510">
        <f t="shared" si="179"/>
        <v>0</v>
      </c>
      <c r="G1510">
        <v>1460</v>
      </c>
      <c r="H1510" s="13">
        <f t="shared" si="184"/>
        <v>-1.0275684203264746E-2</v>
      </c>
      <c r="I1510">
        <f t="shared" si="185"/>
        <v>156.91691387516587</v>
      </c>
      <c r="J1510">
        <f t="shared" si="180"/>
        <v>686.79033997322983</v>
      </c>
      <c r="K1510" s="27">
        <f t="shared" si="181"/>
        <v>-4846.4034810569383</v>
      </c>
    </row>
    <row r="1511" spans="1:11" x14ac:dyDescent="0.25">
      <c r="A1511" s="26">
        <v>1461</v>
      </c>
      <c r="B1511" s="82">
        <f t="shared" si="182"/>
        <v>0</v>
      </c>
      <c r="C1511" s="58">
        <f t="shared" si="186"/>
        <v>171.9194128119324</v>
      </c>
      <c r="D1511" s="83">
        <f t="shared" si="183"/>
        <v>733.33333333333326</v>
      </c>
      <c r="E1511">
        <f t="shared" si="179"/>
        <v>0</v>
      </c>
      <c r="G1511">
        <v>1461</v>
      </c>
      <c r="H1511" s="13">
        <f t="shared" si="184"/>
        <v>-1.0275684203264746E-2</v>
      </c>
      <c r="I1511">
        <f t="shared" si="185"/>
        <v>156.90663819096261</v>
      </c>
      <c r="J1511">
        <f t="shared" si="180"/>
        <v>686.72781754166806</v>
      </c>
      <c r="K1511" s="27">
        <f t="shared" si="181"/>
        <v>-4845.5200273445935</v>
      </c>
    </row>
    <row r="1512" spans="1:11" x14ac:dyDescent="0.25">
      <c r="A1512" s="26">
        <v>1462</v>
      </c>
      <c r="B1512" s="82">
        <f t="shared" si="182"/>
        <v>0</v>
      </c>
      <c r="C1512" s="58">
        <f t="shared" si="186"/>
        <v>171.9194128119324</v>
      </c>
      <c r="D1512" s="83">
        <f t="shared" si="183"/>
        <v>733.33333333333326</v>
      </c>
      <c r="E1512">
        <f t="shared" si="179"/>
        <v>0</v>
      </c>
      <c r="G1512">
        <v>1462</v>
      </c>
      <c r="H1512" s="13">
        <f t="shared" si="184"/>
        <v>-1.0275684203264746E-2</v>
      </c>
      <c r="I1512">
        <f t="shared" si="185"/>
        <v>156.89636250675935</v>
      </c>
      <c r="J1512">
        <f t="shared" si="180"/>
        <v>686.66514455278252</v>
      </c>
      <c r="K1512" s="27">
        <f t="shared" si="181"/>
        <v>-4844.634522100273</v>
      </c>
    </row>
    <row r="1513" spans="1:11" x14ac:dyDescent="0.25">
      <c r="A1513" s="26">
        <v>1463</v>
      </c>
      <c r="B1513" s="82">
        <f t="shared" si="182"/>
        <v>0</v>
      </c>
      <c r="C1513" s="58">
        <f t="shared" si="186"/>
        <v>171.9194128119324</v>
      </c>
      <c r="D1513" s="83">
        <f t="shared" si="183"/>
        <v>733.33333333333326</v>
      </c>
      <c r="E1513">
        <f t="shared" si="179"/>
        <v>0</v>
      </c>
      <c r="G1513">
        <v>1463</v>
      </c>
      <c r="H1513" s="13">
        <f t="shared" si="184"/>
        <v>-1.0275684203264746E-2</v>
      </c>
      <c r="I1513">
        <f t="shared" si="185"/>
        <v>156.88608682255608</v>
      </c>
      <c r="J1513">
        <f t="shared" si="180"/>
        <v>686.60231994246942</v>
      </c>
      <c r="K1513" s="27">
        <f t="shared" si="181"/>
        <v>-4843.7469508046916</v>
      </c>
    </row>
    <row r="1514" spans="1:11" x14ac:dyDescent="0.25">
      <c r="A1514" s="26">
        <v>1464</v>
      </c>
      <c r="B1514" s="82">
        <f t="shared" si="182"/>
        <v>0</v>
      </c>
      <c r="C1514" s="58">
        <f t="shared" si="186"/>
        <v>171.9194128119324</v>
      </c>
      <c r="D1514" s="83">
        <f t="shared" si="183"/>
        <v>733.33333333333326</v>
      </c>
      <c r="E1514">
        <f t="shared" si="179"/>
        <v>0</v>
      </c>
      <c r="G1514">
        <v>1464</v>
      </c>
      <c r="H1514" s="13">
        <f t="shared" si="184"/>
        <v>-1.0275684203264746E-2</v>
      </c>
      <c r="I1514">
        <f t="shared" si="185"/>
        <v>156.87581113835282</v>
      </c>
      <c r="J1514">
        <f t="shared" si="180"/>
        <v>686.53934263396241</v>
      </c>
      <c r="K1514" s="27">
        <f t="shared" si="181"/>
        <v>-4842.8572987653779</v>
      </c>
    </row>
    <row r="1515" spans="1:11" x14ac:dyDescent="0.25">
      <c r="A1515" s="26">
        <v>1465</v>
      </c>
      <c r="B1515" s="82">
        <f t="shared" si="182"/>
        <v>0</v>
      </c>
      <c r="C1515" s="58">
        <f t="shared" si="186"/>
        <v>171.9194128119324</v>
      </c>
      <c r="D1515" s="83">
        <f t="shared" si="183"/>
        <v>733.33333333333326</v>
      </c>
      <c r="E1515">
        <f t="shared" si="179"/>
        <v>0</v>
      </c>
      <c r="G1515">
        <v>1465</v>
      </c>
      <c r="H1515" s="13">
        <f t="shared" si="184"/>
        <v>-1.0275684203264746E-2</v>
      </c>
      <c r="I1515">
        <f t="shared" si="185"/>
        <v>156.86553545414955</v>
      </c>
      <c r="J1515">
        <f t="shared" si="180"/>
        <v>686.47621153762043</v>
      </c>
      <c r="K1515" s="27">
        <f t="shared" si="181"/>
        <v>-4841.965551113758</v>
      </c>
    </row>
    <row r="1516" spans="1:11" x14ac:dyDescent="0.25">
      <c r="A1516" s="26">
        <v>1466</v>
      </c>
      <c r="B1516" s="82">
        <f t="shared" si="182"/>
        <v>0</v>
      </c>
      <c r="C1516" s="58">
        <f t="shared" si="186"/>
        <v>171.9194128119324</v>
      </c>
      <c r="D1516" s="83">
        <f t="shared" si="183"/>
        <v>733.33333333333326</v>
      </c>
      <c r="E1516">
        <f t="shared" si="179"/>
        <v>0</v>
      </c>
      <c r="G1516">
        <v>1466</v>
      </c>
      <c r="H1516" s="13">
        <f t="shared" si="184"/>
        <v>-1.0275684203264746E-2</v>
      </c>
      <c r="I1516">
        <f t="shared" si="185"/>
        <v>156.85525976994629</v>
      </c>
      <c r="J1516">
        <f t="shared" si="180"/>
        <v>686.41292555071163</v>
      </c>
      <c r="K1516" s="27">
        <f t="shared" si="181"/>
        <v>-4841.0716928021884</v>
      </c>
    </row>
    <row r="1517" spans="1:11" x14ac:dyDescent="0.25">
      <c r="A1517" s="26">
        <v>1467</v>
      </c>
      <c r="B1517" s="82">
        <f t="shared" si="182"/>
        <v>0</v>
      </c>
      <c r="C1517" s="58">
        <f t="shared" si="186"/>
        <v>171.9194128119324</v>
      </c>
      <c r="D1517" s="83">
        <f t="shared" si="183"/>
        <v>733.33333333333326</v>
      </c>
      <c r="E1517">
        <f t="shared" si="179"/>
        <v>0</v>
      </c>
      <c r="G1517">
        <v>1467</v>
      </c>
      <c r="H1517" s="13">
        <f t="shared" si="184"/>
        <v>-1.0275684203264746E-2</v>
      </c>
      <c r="I1517">
        <f t="shared" si="185"/>
        <v>156.84498408574302</v>
      </c>
      <c r="J1517">
        <f t="shared" si="180"/>
        <v>686.34948355719075</v>
      </c>
      <c r="K1517" s="27">
        <f t="shared" si="181"/>
        <v>-4840.1757086009193</v>
      </c>
    </row>
    <row r="1518" spans="1:11" x14ac:dyDescent="0.25">
      <c r="A1518" s="26">
        <v>1468</v>
      </c>
      <c r="B1518" s="82">
        <f t="shared" si="182"/>
        <v>0</v>
      </c>
      <c r="C1518" s="58">
        <f t="shared" si="186"/>
        <v>171.9194128119324</v>
      </c>
      <c r="D1518" s="83">
        <f t="shared" si="183"/>
        <v>733.33333333333326</v>
      </c>
      <c r="E1518">
        <f t="shared" si="179"/>
        <v>0</v>
      </c>
      <c r="G1518">
        <v>1468</v>
      </c>
      <c r="H1518" s="13">
        <f t="shared" si="184"/>
        <v>-1.0275684203264746E-2</v>
      </c>
      <c r="I1518">
        <f t="shared" si="185"/>
        <v>156.83470840153976</v>
      </c>
      <c r="J1518">
        <f t="shared" si="180"/>
        <v>686.28588442747412</v>
      </c>
      <c r="K1518" s="27">
        <f t="shared" si="181"/>
        <v>-4839.2775830949904</v>
      </c>
    </row>
    <row r="1519" spans="1:11" x14ac:dyDescent="0.25">
      <c r="A1519" s="26">
        <v>1469</v>
      </c>
      <c r="B1519" s="82">
        <f t="shared" si="182"/>
        <v>0</v>
      </c>
      <c r="C1519" s="58">
        <f t="shared" si="186"/>
        <v>171.9194128119324</v>
      </c>
      <c r="D1519" s="83">
        <f t="shared" si="183"/>
        <v>733.33333333333326</v>
      </c>
      <c r="E1519">
        <f t="shared" si="179"/>
        <v>0</v>
      </c>
      <c r="G1519">
        <v>1469</v>
      </c>
      <c r="H1519" s="13">
        <f t="shared" si="184"/>
        <v>-1.0275684203264746E-2</v>
      </c>
      <c r="I1519">
        <f t="shared" si="185"/>
        <v>156.82443271733649</v>
      </c>
      <c r="J1519">
        <f t="shared" si="180"/>
        <v>686.22212701820763</v>
      </c>
      <c r="K1519" s="27">
        <f t="shared" si="181"/>
        <v>-4838.3773006810616</v>
      </c>
    </row>
    <row r="1520" spans="1:11" x14ac:dyDescent="0.25">
      <c r="A1520" s="26">
        <v>1470</v>
      </c>
      <c r="B1520" s="82">
        <f t="shared" si="182"/>
        <v>0</v>
      </c>
      <c r="C1520" s="58">
        <f t="shared" si="186"/>
        <v>171.9194128119324</v>
      </c>
      <c r="D1520" s="83">
        <f t="shared" si="183"/>
        <v>733.33333333333326</v>
      </c>
      <c r="E1520">
        <f t="shared" si="179"/>
        <v>0</v>
      </c>
      <c r="G1520">
        <v>1470</v>
      </c>
      <c r="H1520" s="13">
        <f t="shared" si="184"/>
        <v>-1.0275684203264746E-2</v>
      </c>
      <c r="I1520">
        <f t="shared" si="185"/>
        <v>156.81415703313323</v>
      </c>
      <c r="J1520">
        <f t="shared" si="180"/>
        <v>686.15821017203064</v>
      </c>
      <c r="K1520" s="27">
        <f t="shared" si="181"/>
        <v>-4837.474845564172</v>
      </c>
    </row>
    <row r="1521" spans="1:11" x14ac:dyDescent="0.25">
      <c r="A1521" s="26">
        <v>1471</v>
      </c>
      <c r="B1521" s="82">
        <f t="shared" si="182"/>
        <v>0</v>
      </c>
      <c r="C1521" s="58">
        <f t="shared" si="186"/>
        <v>171.9194128119324</v>
      </c>
      <c r="D1521" s="83">
        <f t="shared" si="183"/>
        <v>733.33333333333326</v>
      </c>
      <c r="E1521">
        <f t="shared" si="179"/>
        <v>0</v>
      </c>
      <c r="G1521">
        <v>1471</v>
      </c>
      <c r="H1521" s="13">
        <f t="shared" si="184"/>
        <v>-1.0275684203264746E-2</v>
      </c>
      <c r="I1521">
        <f t="shared" si="185"/>
        <v>156.80388134892996</v>
      </c>
      <c r="J1521">
        <f t="shared" si="180"/>
        <v>686.09413271733467</v>
      </c>
      <c r="K1521" s="27">
        <f t="shared" si="181"/>
        <v>-4836.5702017544236</v>
      </c>
    </row>
    <row r="1522" spans="1:11" x14ac:dyDescent="0.25">
      <c r="A1522" s="26">
        <v>1472</v>
      </c>
      <c r="B1522" s="82">
        <f t="shared" si="182"/>
        <v>0</v>
      </c>
      <c r="C1522" s="58">
        <f t="shared" si="186"/>
        <v>171.9194128119324</v>
      </c>
      <c r="D1522" s="83">
        <f t="shared" si="183"/>
        <v>733.33333333333326</v>
      </c>
      <c r="E1522">
        <f t="shared" si="179"/>
        <v>0</v>
      </c>
      <c r="G1522">
        <v>1472</v>
      </c>
      <c r="H1522" s="13">
        <f t="shared" si="184"/>
        <v>-1.0275684203264746E-2</v>
      </c>
      <c r="I1522">
        <f t="shared" si="185"/>
        <v>156.7936056647267</v>
      </c>
      <c r="J1522">
        <f t="shared" si="180"/>
        <v>686.02989346801564</v>
      </c>
      <c r="K1522" s="27">
        <f t="shared" si="181"/>
        <v>-4835.6633530635972</v>
      </c>
    </row>
    <row r="1523" spans="1:11" x14ac:dyDescent="0.25">
      <c r="A1523" s="26">
        <v>1473</v>
      </c>
      <c r="B1523" s="82">
        <f t="shared" si="182"/>
        <v>0</v>
      </c>
      <c r="C1523" s="58">
        <f t="shared" si="186"/>
        <v>171.9194128119324</v>
      </c>
      <c r="D1523" s="83">
        <f t="shared" si="183"/>
        <v>733.33333333333326</v>
      </c>
      <c r="E1523">
        <f t="shared" ref="E1523:E1586" si="187">((D1523^2)+(D1523*D1524)+(D1524^2))*B1524/3</f>
        <v>0</v>
      </c>
      <c r="G1523">
        <v>1473</v>
      </c>
      <c r="H1523" s="13">
        <f t="shared" si="184"/>
        <v>-1.0275684203264746E-2</v>
      </c>
      <c r="I1523">
        <f t="shared" si="185"/>
        <v>156.78332998052343</v>
      </c>
      <c r="J1523">
        <f t="shared" ref="J1523:J1586" si="188">IF($G$28&lt;$C$14,0,((($C$11^2)-((I1523-$C$13)^2))^0.5)+$C$16)</f>
        <v>685.96549122322256</v>
      </c>
      <c r="K1523" s="27">
        <f t="shared" ref="K1523:K1586" si="189">((J1523^2)+(J1523*J1524)+(J1524^2))*H1524/3</f>
        <v>-4834.7542831016899</v>
      </c>
    </row>
    <row r="1524" spans="1:11" x14ac:dyDescent="0.25">
      <c r="A1524" s="26">
        <v>1474</v>
      </c>
      <c r="B1524" s="82">
        <f t="shared" ref="B1524:B1587" si="190">C1524-C1523</f>
        <v>0</v>
      </c>
      <c r="C1524" s="58">
        <f t="shared" si="186"/>
        <v>171.9194128119324</v>
      </c>
      <c r="D1524" s="83">
        <f t="shared" ref="D1524:D1587" si="191">IF($G$28&lt;$C$14,0,((($C$11^2)-((C1524-$C$13)^2))^0.5)+$C$16)</f>
        <v>733.33333333333326</v>
      </c>
      <c r="E1524">
        <f t="shared" si="187"/>
        <v>0</v>
      </c>
      <c r="G1524">
        <v>1474</v>
      </c>
      <c r="H1524" s="13">
        <f t="shared" ref="H1524:H1587" si="192">I1524-I1523</f>
        <v>-1.0275684203264746E-2</v>
      </c>
      <c r="I1524">
        <f t="shared" ref="I1524:I1587" si="193">($G$27-$C$14)/2000+I1523</f>
        <v>156.77305429632017</v>
      </c>
      <c r="J1524">
        <f t="shared" si="188"/>
        <v>685.9009247670981</v>
      </c>
      <c r="K1524" s="27">
        <f t="shared" si="189"/>
        <v>-4833.8429752733682</v>
      </c>
    </row>
    <row r="1525" spans="1:11" x14ac:dyDescent="0.25">
      <c r="A1525" s="26">
        <v>1475</v>
      </c>
      <c r="B1525" s="82">
        <f t="shared" si="190"/>
        <v>0</v>
      </c>
      <c r="C1525" s="58">
        <f t="shared" si="186"/>
        <v>171.9194128119324</v>
      </c>
      <c r="D1525" s="83">
        <f t="shared" si="191"/>
        <v>733.33333333333326</v>
      </c>
      <c r="E1525">
        <f t="shared" si="187"/>
        <v>0</v>
      </c>
      <c r="G1525">
        <v>1475</v>
      </c>
      <c r="H1525" s="13">
        <f t="shared" si="192"/>
        <v>-1.0275684203264746E-2</v>
      </c>
      <c r="I1525">
        <f t="shared" si="193"/>
        <v>156.7627786121169</v>
      </c>
      <c r="J1525">
        <f t="shared" si="188"/>
        <v>685.8361928685157</v>
      </c>
      <c r="K1525" s="27">
        <f t="shared" si="189"/>
        <v>-4832.9294127743533</v>
      </c>
    </row>
    <row r="1526" spans="1:11" x14ac:dyDescent="0.25">
      <c r="A1526" s="26">
        <v>1476</v>
      </c>
      <c r="B1526" s="82">
        <f t="shared" si="190"/>
        <v>0</v>
      </c>
      <c r="C1526" s="58">
        <f t="shared" si="186"/>
        <v>171.9194128119324</v>
      </c>
      <c r="D1526" s="83">
        <f t="shared" si="191"/>
        <v>733.33333333333326</v>
      </c>
      <c r="E1526">
        <f t="shared" si="187"/>
        <v>0</v>
      </c>
      <c r="G1526">
        <v>1476</v>
      </c>
      <c r="H1526" s="13">
        <f t="shared" si="192"/>
        <v>-1.0275684203264746E-2</v>
      </c>
      <c r="I1526">
        <f t="shared" si="193"/>
        <v>156.75250292791364</v>
      </c>
      <c r="J1526">
        <f t="shared" si="188"/>
        <v>685.77129428080832</v>
      </c>
      <c r="K1526" s="27">
        <f t="shared" si="189"/>
        <v>-4832.0135785877073</v>
      </c>
    </row>
    <row r="1527" spans="1:11" x14ac:dyDescent="0.25">
      <c r="A1527" s="26">
        <v>1477</v>
      </c>
      <c r="B1527" s="82">
        <f t="shared" si="190"/>
        <v>0</v>
      </c>
      <c r="C1527" s="58">
        <f t="shared" si="186"/>
        <v>171.9194128119324</v>
      </c>
      <c r="D1527" s="83">
        <f t="shared" si="191"/>
        <v>733.33333333333326</v>
      </c>
      <c r="E1527">
        <f t="shared" si="187"/>
        <v>0</v>
      </c>
      <c r="G1527">
        <v>1477</v>
      </c>
      <c r="H1527" s="13">
        <f t="shared" si="192"/>
        <v>-1.0275684203264746E-2</v>
      </c>
      <c r="I1527">
        <f t="shared" si="193"/>
        <v>156.74222724371037</v>
      </c>
      <c r="J1527">
        <f t="shared" si="188"/>
        <v>685.70622774149365</v>
      </c>
      <c r="K1527" s="27">
        <f t="shared" si="189"/>
        <v>-4831.0954554800555</v>
      </c>
    </row>
    <row r="1528" spans="1:11" x14ac:dyDescent="0.25">
      <c r="A1528" s="26">
        <v>1478</v>
      </c>
      <c r="B1528" s="82">
        <f t="shared" si="190"/>
        <v>0</v>
      </c>
      <c r="C1528" s="58">
        <f t="shared" si="186"/>
        <v>171.9194128119324</v>
      </c>
      <c r="D1528" s="83">
        <f t="shared" si="191"/>
        <v>733.33333333333326</v>
      </c>
      <c r="E1528">
        <f t="shared" si="187"/>
        <v>0</v>
      </c>
      <c r="G1528">
        <v>1478</v>
      </c>
      <c r="H1528" s="13">
        <f t="shared" si="192"/>
        <v>-1.0275684203264746E-2</v>
      </c>
      <c r="I1528">
        <f t="shared" si="193"/>
        <v>156.73195155950711</v>
      </c>
      <c r="J1528">
        <f t="shared" si="188"/>
        <v>685.6409919719905</v>
      </c>
      <c r="K1528" s="27">
        <f t="shared" si="189"/>
        <v>-4830.1750259977016</v>
      </c>
    </row>
    <row r="1529" spans="1:11" x14ac:dyDescent="0.25">
      <c r="A1529" s="26">
        <v>1479</v>
      </c>
      <c r="B1529" s="82">
        <f t="shared" si="190"/>
        <v>0</v>
      </c>
      <c r="C1529" s="58">
        <f t="shared" si="186"/>
        <v>171.9194128119324</v>
      </c>
      <c r="D1529" s="83">
        <f t="shared" si="191"/>
        <v>733.33333333333326</v>
      </c>
      <c r="E1529">
        <f t="shared" si="187"/>
        <v>0</v>
      </c>
      <c r="G1529">
        <v>1479</v>
      </c>
      <c r="H1529" s="13">
        <f t="shared" si="192"/>
        <v>-1.0275684203264746E-2</v>
      </c>
      <c r="I1529">
        <f t="shared" si="193"/>
        <v>156.72167587530384</v>
      </c>
      <c r="J1529">
        <f t="shared" si="188"/>
        <v>685.57558567733008</v>
      </c>
      <c r="K1529" s="27">
        <f t="shared" si="189"/>
        <v>-4829.2522724626624</v>
      </c>
    </row>
    <row r="1530" spans="1:11" x14ac:dyDescent="0.25">
      <c r="A1530" s="26">
        <v>1480</v>
      </c>
      <c r="B1530" s="82">
        <f t="shared" si="190"/>
        <v>0</v>
      </c>
      <c r="C1530" s="58">
        <f t="shared" si="186"/>
        <v>171.9194128119324</v>
      </c>
      <c r="D1530" s="83">
        <f t="shared" si="191"/>
        <v>733.33333333333326</v>
      </c>
      <c r="E1530">
        <f t="shared" si="187"/>
        <v>0</v>
      </c>
      <c r="G1530">
        <v>1480</v>
      </c>
      <c r="H1530" s="13">
        <f t="shared" si="192"/>
        <v>-1.0275684203264746E-2</v>
      </c>
      <c r="I1530">
        <f t="shared" si="193"/>
        <v>156.71140019110058</v>
      </c>
      <c r="J1530">
        <f t="shared" si="188"/>
        <v>685.51000754586039</v>
      </c>
      <c r="K1530" s="27">
        <f t="shared" si="189"/>
        <v>-4828.3271769686125</v>
      </c>
    </row>
    <row r="1531" spans="1:11" x14ac:dyDescent="0.25">
      <c r="A1531" s="26">
        <v>1481</v>
      </c>
      <c r="B1531" s="82">
        <f t="shared" si="190"/>
        <v>0</v>
      </c>
      <c r="C1531" s="58">
        <f t="shared" si="186"/>
        <v>171.9194128119324</v>
      </c>
      <c r="D1531" s="83">
        <f t="shared" si="191"/>
        <v>733.33333333333326</v>
      </c>
      <c r="E1531">
        <f t="shared" si="187"/>
        <v>0</v>
      </c>
      <c r="G1531">
        <v>1481</v>
      </c>
      <c r="H1531" s="13">
        <f t="shared" si="192"/>
        <v>-1.0275684203264746E-2</v>
      </c>
      <c r="I1531">
        <f t="shared" si="193"/>
        <v>156.70112450689732</v>
      </c>
      <c r="J1531">
        <f t="shared" si="188"/>
        <v>685.44425624894313</v>
      </c>
      <c r="K1531" s="27">
        <f t="shared" si="189"/>
        <v>-4827.3997213767252</v>
      </c>
    </row>
    <row r="1532" spans="1:11" x14ac:dyDescent="0.25">
      <c r="A1532" s="26">
        <v>1482</v>
      </c>
      <c r="B1532" s="82">
        <f t="shared" si="190"/>
        <v>0</v>
      </c>
      <c r="C1532" s="58">
        <f t="shared" si="186"/>
        <v>171.9194128119324</v>
      </c>
      <c r="D1532" s="83">
        <f t="shared" si="191"/>
        <v>733.33333333333326</v>
      </c>
      <c r="E1532">
        <f t="shared" si="187"/>
        <v>0</v>
      </c>
      <c r="G1532">
        <v>1482</v>
      </c>
      <c r="H1532" s="13">
        <f t="shared" si="192"/>
        <v>-1.0275684203264746E-2</v>
      </c>
      <c r="I1532">
        <f t="shared" si="193"/>
        <v>156.69084882269405</v>
      </c>
      <c r="J1532">
        <f t="shared" si="188"/>
        <v>685.37833044064439</v>
      </c>
      <c r="K1532" s="27">
        <f t="shared" si="189"/>
        <v>-4826.4698873114257</v>
      </c>
    </row>
    <row r="1533" spans="1:11" x14ac:dyDescent="0.25">
      <c r="A1533" s="26">
        <v>1483</v>
      </c>
      <c r="B1533" s="82">
        <f t="shared" si="190"/>
        <v>0</v>
      </c>
      <c r="C1533" s="58">
        <f t="shared" si="186"/>
        <v>171.9194128119324</v>
      </c>
      <c r="D1533" s="83">
        <f t="shared" si="191"/>
        <v>733.33333333333326</v>
      </c>
      <c r="E1533">
        <f t="shared" si="187"/>
        <v>0</v>
      </c>
      <c r="G1533">
        <v>1483</v>
      </c>
      <c r="H1533" s="13">
        <f t="shared" si="192"/>
        <v>-1.0275684203264746E-2</v>
      </c>
      <c r="I1533">
        <f t="shared" si="193"/>
        <v>156.68057313849079</v>
      </c>
      <c r="J1533">
        <f t="shared" si="188"/>
        <v>685.3122287574173</v>
      </c>
      <c r="K1533" s="27">
        <f t="shared" si="189"/>
        <v>-4825.5376561560406</v>
      </c>
    </row>
    <row r="1534" spans="1:11" x14ac:dyDescent="0.25">
      <c r="A1534" s="26">
        <v>1484</v>
      </c>
      <c r="B1534" s="82">
        <f t="shared" si="190"/>
        <v>0</v>
      </c>
      <c r="C1534" s="58">
        <f t="shared" si="186"/>
        <v>171.9194128119324</v>
      </c>
      <c r="D1534" s="83">
        <f t="shared" si="191"/>
        <v>733.33333333333326</v>
      </c>
      <c r="E1534">
        <f t="shared" si="187"/>
        <v>0</v>
      </c>
      <c r="G1534">
        <v>1484</v>
      </c>
      <c r="H1534" s="13">
        <f t="shared" si="192"/>
        <v>-1.0275684203264746E-2</v>
      </c>
      <c r="I1534">
        <f t="shared" si="193"/>
        <v>156.67029745428752</v>
      </c>
      <c r="J1534">
        <f t="shared" si="188"/>
        <v>685.2459498177775</v>
      </c>
      <c r="K1534" s="27">
        <f t="shared" si="189"/>
        <v>-4824.6030090483355</v>
      </c>
    </row>
    <row r="1535" spans="1:11" x14ac:dyDescent="0.25">
      <c r="A1535" s="26">
        <v>1485</v>
      </c>
      <c r="B1535" s="82">
        <f t="shared" si="190"/>
        <v>0</v>
      </c>
      <c r="C1535" s="58">
        <f t="shared" si="186"/>
        <v>171.9194128119324</v>
      </c>
      <c r="D1535" s="83">
        <f t="shared" si="191"/>
        <v>733.33333333333326</v>
      </c>
      <c r="E1535">
        <f t="shared" si="187"/>
        <v>0</v>
      </c>
      <c r="G1535">
        <v>1485</v>
      </c>
      <c r="H1535" s="13">
        <f t="shared" si="192"/>
        <v>-1.0275684203264746E-2</v>
      </c>
      <c r="I1535">
        <f t="shared" si="193"/>
        <v>156.66002177008426</v>
      </c>
      <c r="J1535">
        <f t="shared" si="188"/>
        <v>685.17949222197058</v>
      </c>
      <c r="K1535" s="27">
        <f t="shared" si="189"/>
        <v>-4823.6659268759613</v>
      </c>
    </row>
    <row r="1536" spans="1:11" x14ac:dyDescent="0.25">
      <c r="A1536" s="26">
        <v>1486</v>
      </c>
      <c r="B1536" s="82">
        <f t="shared" si="190"/>
        <v>0</v>
      </c>
      <c r="C1536" s="58">
        <f t="shared" si="186"/>
        <v>171.9194128119324</v>
      </c>
      <c r="D1536" s="83">
        <f t="shared" si="191"/>
        <v>733.33333333333326</v>
      </c>
      <c r="E1536">
        <f t="shared" si="187"/>
        <v>0</v>
      </c>
      <c r="G1536">
        <v>1486</v>
      </c>
      <c r="H1536" s="13">
        <f t="shared" si="192"/>
        <v>-1.0275684203264746E-2</v>
      </c>
      <c r="I1536">
        <f t="shared" si="193"/>
        <v>156.64974608588099</v>
      </c>
      <c r="J1536">
        <f t="shared" si="188"/>
        <v>685.11285455163249</v>
      </c>
      <c r="K1536" s="27">
        <f t="shared" si="189"/>
        <v>-4822.7263902717777</v>
      </c>
    </row>
    <row r="1537" spans="1:11" x14ac:dyDescent="0.25">
      <c r="A1537" s="26">
        <v>1487</v>
      </c>
      <c r="B1537" s="82">
        <f t="shared" si="190"/>
        <v>0</v>
      </c>
      <c r="C1537" s="58">
        <f t="shared" si="186"/>
        <v>171.9194128119324</v>
      </c>
      <c r="D1537" s="83">
        <f t="shared" si="191"/>
        <v>733.33333333333326</v>
      </c>
      <c r="E1537">
        <f t="shared" si="187"/>
        <v>0</v>
      </c>
      <c r="G1537">
        <v>1487</v>
      </c>
      <c r="H1537" s="13">
        <f t="shared" si="192"/>
        <v>-1.0275684203264746E-2</v>
      </c>
      <c r="I1537">
        <f t="shared" si="193"/>
        <v>156.63947040167773</v>
      </c>
      <c r="J1537">
        <f t="shared" si="188"/>
        <v>685.04603536944012</v>
      </c>
      <c r="K1537" s="27">
        <f t="shared" si="189"/>
        <v>-4821.7843796090729</v>
      </c>
    </row>
    <row r="1538" spans="1:11" x14ac:dyDescent="0.25">
      <c r="A1538" s="26">
        <v>1488</v>
      </c>
      <c r="B1538" s="82">
        <f t="shared" si="190"/>
        <v>0</v>
      </c>
      <c r="C1538" s="58">
        <f t="shared" si="186"/>
        <v>171.9194128119324</v>
      </c>
      <c r="D1538" s="83">
        <f t="shared" si="191"/>
        <v>733.33333333333326</v>
      </c>
      <c r="E1538">
        <f t="shared" si="187"/>
        <v>0</v>
      </c>
      <c r="G1538">
        <v>1488</v>
      </c>
      <c r="H1538" s="13">
        <f t="shared" si="192"/>
        <v>-1.0275684203264746E-2</v>
      </c>
      <c r="I1538">
        <f t="shared" si="193"/>
        <v>156.62919471747446</v>
      </c>
      <c r="J1538">
        <f t="shared" si="188"/>
        <v>684.97903321875515</v>
      </c>
      <c r="K1538" s="27">
        <f t="shared" si="189"/>
        <v>-4820.8398749966591</v>
      </c>
    </row>
    <row r="1539" spans="1:11" x14ac:dyDescent="0.25">
      <c r="A1539" s="26">
        <v>1489</v>
      </c>
      <c r="B1539" s="82">
        <f t="shared" si="190"/>
        <v>0</v>
      </c>
      <c r="C1539" s="58">
        <f t="shared" si="186"/>
        <v>171.9194128119324</v>
      </c>
      <c r="D1539" s="83">
        <f t="shared" si="191"/>
        <v>733.33333333333326</v>
      </c>
      <c r="E1539">
        <f t="shared" si="187"/>
        <v>0</v>
      </c>
      <c r="G1539">
        <v>1489</v>
      </c>
      <c r="H1539" s="13">
        <f t="shared" si="192"/>
        <v>-1.0275684203264746E-2</v>
      </c>
      <c r="I1539">
        <f t="shared" si="193"/>
        <v>156.6189190332712</v>
      </c>
      <c r="J1539">
        <f t="shared" si="188"/>
        <v>684.91184662325793</v>
      </c>
      <c r="K1539" s="27">
        <f t="shared" si="189"/>
        <v>-4819.8928562738574</v>
      </c>
    </row>
    <row r="1540" spans="1:11" x14ac:dyDescent="0.25">
      <c r="A1540" s="26">
        <v>1490</v>
      </c>
      <c r="B1540" s="82">
        <f t="shared" si="190"/>
        <v>0</v>
      </c>
      <c r="C1540" s="58">
        <f t="shared" si="186"/>
        <v>171.9194128119324</v>
      </c>
      <c r="D1540" s="83">
        <f t="shared" si="191"/>
        <v>733.33333333333326</v>
      </c>
      <c r="E1540">
        <f t="shared" si="187"/>
        <v>0</v>
      </c>
      <c r="G1540">
        <v>1490</v>
      </c>
      <c r="H1540" s="13">
        <f t="shared" si="192"/>
        <v>-1.0275684203264746E-2</v>
      </c>
      <c r="I1540">
        <f t="shared" si="193"/>
        <v>156.60864334906793</v>
      </c>
      <c r="J1540">
        <f t="shared" si="188"/>
        <v>684.8444740865732</v>
      </c>
      <c r="K1540" s="27">
        <f t="shared" si="189"/>
        <v>-4818.9433030053524</v>
      </c>
    </row>
    <row r="1541" spans="1:11" x14ac:dyDescent="0.25">
      <c r="A1541" s="26">
        <v>1491</v>
      </c>
      <c r="B1541" s="82">
        <f t="shared" si="190"/>
        <v>0</v>
      </c>
      <c r="C1541" s="58">
        <f t="shared" si="186"/>
        <v>171.9194128119324</v>
      </c>
      <c r="D1541" s="83">
        <f t="shared" si="191"/>
        <v>733.33333333333326</v>
      </c>
      <c r="E1541">
        <f t="shared" si="187"/>
        <v>0</v>
      </c>
      <c r="G1541">
        <v>1491</v>
      </c>
      <c r="H1541" s="13">
        <f t="shared" si="192"/>
        <v>-1.0275684203264746E-2</v>
      </c>
      <c r="I1541">
        <f t="shared" si="193"/>
        <v>156.59836766486467</v>
      </c>
      <c r="J1541">
        <f t="shared" si="188"/>
        <v>684.7769140918864</v>
      </c>
      <c r="K1541" s="27">
        <f t="shared" si="189"/>
        <v>-4817.9911944759215</v>
      </c>
    </row>
    <row r="1542" spans="1:11" x14ac:dyDescent="0.25">
      <c r="A1542" s="26">
        <v>1492</v>
      </c>
      <c r="B1542" s="82">
        <f t="shared" si="190"/>
        <v>0</v>
      </c>
      <c r="C1542" s="58">
        <f t="shared" si="186"/>
        <v>171.9194128119324</v>
      </c>
      <c r="D1542" s="83">
        <f t="shared" si="191"/>
        <v>733.33333333333326</v>
      </c>
      <c r="E1542">
        <f t="shared" si="187"/>
        <v>0</v>
      </c>
      <c r="G1542">
        <v>1492</v>
      </c>
      <c r="H1542" s="13">
        <f t="shared" si="192"/>
        <v>-1.0275684203264746E-2</v>
      </c>
      <c r="I1542">
        <f t="shared" si="193"/>
        <v>156.5880919806614</v>
      </c>
      <c r="J1542">
        <f t="shared" si="188"/>
        <v>684.70916510155007</v>
      </c>
      <c r="K1542" s="27">
        <f t="shared" si="189"/>
        <v>-4817.0365096850373</v>
      </c>
    </row>
    <row r="1543" spans="1:11" x14ac:dyDescent="0.25">
      <c r="A1543" s="26">
        <v>1493</v>
      </c>
      <c r="B1543" s="82">
        <f t="shared" si="190"/>
        <v>0</v>
      </c>
      <c r="C1543" s="58">
        <f t="shared" si="186"/>
        <v>171.9194128119324</v>
      </c>
      <c r="D1543" s="83">
        <f t="shared" si="191"/>
        <v>733.33333333333326</v>
      </c>
      <c r="E1543">
        <f t="shared" si="187"/>
        <v>0</v>
      </c>
      <c r="G1543">
        <v>1493</v>
      </c>
      <c r="H1543" s="13">
        <f t="shared" si="192"/>
        <v>-1.0275684203264746E-2</v>
      </c>
      <c r="I1543">
        <f t="shared" si="193"/>
        <v>156.57781629645814</v>
      </c>
      <c r="J1543">
        <f t="shared" si="188"/>
        <v>684.64122555668098</v>
      </c>
      <c r="K1543" s="27">
        <f t="shared" si="189"/>
        <v>-4816.079227341329</v>
      </c>
    </row>
    <row r="1544" spans="1:11" x14ac:dyDescent="0.25">
      <c r="A1544" s="26">
        <v>1494</v>
      </c>
      <c r="B1544" s="82">
        <f t="shared" si="190"/>
        <v>0</v>
      </c>
      <c r="C1544" s="58">
        <f t="shared" si="186"/>
        <v>171.9194128119324</v>
      </c>
      <c r="D1544" s="83">
        <f t="shared" si="191"/>
        <v>733.33333333333326</v>
      </c>
      <c r="E1544">
        <f t="shared" si="187"/>
        <v>0</v>
      </c>
      <c r="G1544">
        <v>1494</v>
      </c>
      <c r="H1544" s="13">
        <f t="shared" si="192"/>
        <v>-1.0275684203264746E-2</v>
      </c>
      <c r="I1544">
        <f t="shared" si="193"/>
        <v>156.56754061225487</v>
      </c>
      <c r="J1544">
        <f t="shared" si="188"/>
        <v>684.57309387674707</v>
      </c>
      <c r="K1544" s="27">
        <f t="shared" si="189"/>
        <v>-4815.1193258569101</v>
      </c>
    </row>
    <row r="1545" spans="1:11" x14ac:dyDescent="0.25">
      <c r="A1545" s="26">
        <v>1495</v>
      </c>
      <c r="B1545" s="82">
        <f t="shared" si="190"/>
        <v>0</v>
      </c>
      <c r="C1545" s="58">
        <f t="shared" si="186"/>
        <v>171.9194128119324</v>
      </c>
      <c r="D1545" s="83">
        <f t="shared" si="191"/>
        <v>733.33333333333326</v>
      </c>
      <c r="E1545">
        <f t="shared" si="187"/>
        <v>0</v>
      </c>
      <c r="G1545">
        <v>1495</v>
      </c>
      <c r="H1545" s="13">
        <f t="shared" si="192"/>
        <v>-1.0275684203264746E-2</v>
      </c>
      <c r="I1545">
        <f t="shared" si="193"/>
        <v>156.55726492805161</v>
      </c>
      <c r="J1545">
        <f t="shared" si="188"/>
        <v>684.50476845914375</v>
      </c>
      <c r="K1545" s="27">
        <f t="shared" si="189"/>
        <v>-4814.1567833415584</v>
      </c>
    </row>
    <row r="1546" spans="1:11" x14ac:dyDescent="0.25">
      <c r="A1546" s="26">
        <v>1496</v>
      </c>
      <c r="B1546" s="82">
        <f t="shared" si="190"/>
        <v>0</v>
      </c>
      <c r="C1546" s="58">
        <f t="shared" si="186"/>
        <v>171.9194128119324</v>
      </c>
      <c r="D1546" s="83">
        <f t="shared" si="191"/>
        <v>733.33333333333326</v>
      </c>
      <c r="E1546">
        <f t="shared" si="187"/>
        <v>0</v>
      </c>
      <c r="G1546">
        <v>1496</v>
      </c>
      <c r="H1546" s="13">
        <f t="shared" si="192"/>
        <v>-1.0275684203264746E-2</v>
      </c>
      <c r="I1546">
        <f t="shared" si="193"/>
        <v>156.54698924384834</v>
      </c>
      <c r="J1546">
        <f t="shared" si="188"/>
        <v>684.43624767875997</v>
      </c>
      <c r="K1546" s="27">
        <f t="shared" si="189"/>
        <v>-4813.1915775967582</v>
      </c>
    </row>
    <row r="1547" spans="1:11" x14ac:dyDescent="0.25">
      <c r="A1547" s="26">
        <v>1497</v>
      </c>
      <c r="B1547" s="82">
        <f t="shared" si="190"/>
        <v>0</v>
      </c>
      <c r="C1547" s="58">
        <f t="shared" si="186"/>
        <v>171.9194128119324</v>
      </c>
      <c r="D1547" s="83">
        <f t="shared" si="191"/>
        <v>733.33333333333326</v>
      </c>
      <c r="E1547">
        <f t="shared" si="187"/>
        <v>0</v>
      </c>
      <c r="G1547">
        <v>1497</v>
      </c>
      <c r="H1547" s="13">
        <f t="shared" si="192"/>
        <v>-1.0275684203264746E-2</v>
      </c>
      <c r="I1547">
        <f t="shared" si="193"/>
        <v>156.53671355964508</v>
      </c>
      <c r="J1547">
        <f t="shared" si="188"/>
        <v>684.36752988753233</v>
      </c>
      <c r="K1547" s="27">
        <f t="shared" si="189"/>
        <v>-4812.2236861095716</v>
      </c>
    </row>
    <row r="1548" spans="1:11" x14ac:dyDescent="0.25">
      <c r="A1548" s="26">
        <v>1498</v>
      </c>
      <c r="B1548" s="82">
        <f t="shared" si="190"/>
        <v>0</v>
      </c>
      <c r="C1548" s="58">
        <f t="shared" si="186"/>
        <v>171.9194128119324</v>
      </c>
      <c r="D1548" s="83">
        <f t="shared" si="191"/>
        <v>733.33333333333326</v>
      </c>
      <c r="E1548">
        <f t="shared" si="187"/>
        <v>0</v>
      </c>
      <c r="G1548">
        <v>1498</v>
      </c>
      <c r="H1548" s="13">
        <f t="shared" si="192"/>
        <v>-1.0275684203264746E-2</v>
      </c>
      <c r="I1548">
        <f t="shared" si="193"/>
        <v>156.52643787544181</v>
      </c>
      <c r="J1548">
        <f t="shared" si="188"/>
        <v>684.29861341398919</v>
      </c>
      <c r="K1548" s="27">
        <f t="shared" si="189"/>
        <v>-4811.2530860463748</v>
      </c>
    </row>
    <row r="1549" spans="1:11" x14ac:dyDescent="0.25">
      <c r="A1549" s="26">
        <v>1499</v>
      </c>
      <c r="B1549" s="82">
        <f t="shared" si="190"/>
        <v>0</v>
      </c>
      <c r="C1549" s="58">
        <f t="shared" si="186"/>
        <v>171.9194128119324</v>
      </c>
      <c r="D1549" s="83">
        <f t="shared" si="191"/>
        <v>733.33333333333326</v>
      </c>
      <c r="E1549">
        <f t="shared" si="187"/>
        <v>0</v>
      </c>
      <c r="G1549">
        <v>1499</v>
      </c>
      <c r="H1549" s="13">
        <f t="shared" si="192"/>
        <v>-1.0275684203264746E-2</v>
      </c>
      <c r="I1549">
        <f t="shared" si="193"/>
        <v>156.51616219123855</v>
      </c>
      <c r="J1549">
        <f t="shared" si="188"/>
        <v>684.22949656278126</v>
      </c>
      <c r="K1549" s="27">
        <f t="shared" si="189"/>
        <v>-4810.2797542464168</v>
      </c>
    </row>
    <row r="1550" spans="1:11" x14ac:dyDescent="0.25">
      <c r="A1550" s="26">
        <v>1500</v>
      </c>
      <c r="B1550" s="82">
        <f t="shared" si="190"/>
        <v>0</v>
      </c>
      <c r="C1550" s="58">
        <f t="shared" si="186"/>
        <v>171.9194128119324</v>
      </c>
      <c r="D1550" s="83">
        <f t="shared" si="191"/>
        <v>733.33333333333326</v>
      </c>
      <c r="E1550">
        <f t="shared" si="187"/>
        <v>0</v>
      </c>
      <c r="G1550">
        <v>1500</v>
      </c>
      <c r="H1550" s="13">
        <f t="shared" si="192"/>
        <v>-1.0275684203264746E-2</v>
      </c>
      <c r="I1550">
        <f t="shared" si="193"/>
        <v>156.50588650703529</v>
      </c>
      <c r="J1550">
        <f t="shared" si="188"/>
        <v>684.16017761420221</v>
      </c>
      <c r="K1550" s="27">
        <f t="shared" si="189"/>
        <v>-4809.3036672152166</v>
      </c>
    </row>
    <row r="1551" spans="1:11" x14ac:dyDescent="0.25">
      <c r="A1551" s="26">
        <v>1501</v>
      </c>
      <c r="B1551" s="82">
        <f t="shared" si="190"/>
        <v>0</v>
      </c>
      <c r="C1551" s="58">
        <f t="shared" si="186"/>
        <v>171.9194128119324</v>
      </c>
      <c r="D1551" s="83">
        <f t="shared" si="191"/>
        <v>733.33333333333326</v>
      </c>
      <c r="E1551">
        <f t="shared" si="187"/>
        <v>0</v>
      </c>
      <c r="G1551">
        <v>1501</v>
      </c>
      <c r="H1551" s="13">
        <f t="shared" si="192"/>
        <v>-1.0275684203264746E-2</v>
      </c>
      <c r="I1551">
        <f t="shared" si="193"/>
        <v>156.49561082283202</v>
      </c>
      <c r="J1551">
        <f t="shared" si="188"/>
        <v>684.09065482369442</v>
      </c>
      <c r="K1551" s="27">
        <f t="shared" si="189"/>
        <v>-4808.3248011177884</v>
      </c>
    </row>
    <row r="1552" spans="1:11" x14ac:dyDescent="0.25">
      <c r="A1552" s="26">
        <v>1502</v>
      </c>
      <c r="B1552" s="82">
        <f t="shared" si="190"/>
        <v>0</v>
      </c>
      <c r="C1552" s="58">
        <f t="shared" ref="C1552:C1615" si="194">($C$37-$C$36)/2000+C1551</f>
        <v>171.9194128119324</v>
      </c>
      <c r="D1552" s="83">
        <f t="shared" si="191"/>
        <v>733.33333333333326</v>
      </c>
      <c r="E1552">
        <f t="shared" si="187"/>
        <v>0</v>
      </c>
      <c r="G1552">
        <v>1502</v>
      </c>
      <c r="H1552" s="13">
        <f t="shared" si="192"/>
        <v>-1.0275684203264746E-2</v>
      </c>
      <c r="I1552">
        <f t="shared" si="193"/>
        <v>156.48533513862876</v>
      </c>
      <c r="J1552">
        <f t="shared" si="188"/>
        <v>684.0209264213438</v>
      </c>
      <c r="K1552" s="27">
        <f t="shared" si="189"/>
        <v>-4807.3431317716886</v>
      </c>
    </row>
    <row r="1553" spans="1:11" x14ac:dyDescent="0.25">
      <c r="A1553" s="26">
        <v>1503</v>
      </c>
      <c r="B1553" s="82">
        <f t="shared" si="190"/>
        <v>0</v>
      </c>
      <c r="C1553" s="58">
        <f t="shared" si="194"/>
        <v>171.9194128119324</v>
      </c>
      <c r="D1553" s="83">
        <f t="shared" si="191"/>
        <v>733.33333333333326</v>
      </c>
      <c r="E1553">
        <f t="shared" si="187"/>
        <v>0</v>
      </c>
      <c r="G1553">
        <v>1503</v>
      </c>
      <c r="H1553" s="13">
        <f t="shared" si="192"/>
        <v>-1.0275684203264746E-2</v>
      </c>
      <c r="I1553">
        <f t="shared" si="193"/>
        <v>156.47505945442549</v>
      </c>
      <c r="J1553">
        <f t="shared" si="188"/>
        <v>683.95099061136011</v>
      </c>
      <c r="K1553" s="27">
        <f t="shared" si="189"/>
        <v>-4806.3586346398761</v>
      </c>
    </row>
    <row r="1554" spans="1:11" x14ac:dyDescent="0.25">
      <c r="A1554" s="26">
        <v>1504</v>
      </c>
      <c r="B1554" s="82">
        <f t="shared" si="190"/>
        <v>0</v>
      </c>
      <c r="C1554" s="58">
        <f t="shared" si="194"/>
        <v>171.9194128119324</v>
      </c>
      <c r="D1554" s="83">
        <f t="shared" si="191"/>
        <v>733.33333333333326</v>
      </c>
      <c r="E1554">
        <f t="shared" si="187"/>
        <v>0</v>
      </c>
      <c r="G1554">
        <v>1504</v>
      </c>
      <c r="H1554" s="13">
        <f t="shared" si="192"/>
        <v>-1.0275684203264746E-2</v>
      </c>
      <c r="I1554">
        <f t="shared" si="193"/>
        <v>156.46478377022223</v>
      </c>
      <c r="J1554">
        <f t="shared" si="188"/>
        <v>683.88084557154423</v>
      </c>
      <c r="K1554" s="27">
        <f t="shared" si="189"/>
        <v>-4805.3712848233909</v>
      </c>
    </row>
    <row r="1555" spans="1:11" x14ac:dyDescent="0.25">
      <c r="A1555" s="26">
        <v>1505</v>
      </c>
      <c r="B1555" s="82">
        <f t="shared" si="190"/>
        <v>0</v>
      </c>
      <c r="C1555" s="58">
        <f t="shared" si="194"/>
        <v>171.9194128119324</v>
      </c>
      <c r="D1555" s="83">
        <f t="shared" si="191"/>
        <v>733.33333333333326</v>
      </c>
      <c r="E1555">
        <f t="shared" si="187"/>
        <v>0</v>
      </c>
      <c r="G1555">
        <v>1505</v>
      </c>
      <c r="H1555" s="13">
        <f t="shared" si="192"/>
        <v>-1.0275684203264746E-2</v>
      </c>
      <c r="I1555">
        <f t="shared" si="193"/>
        <v>156.45450808601896</v>
      </c>
      <c r="J1555">
        <f t="shared" si="188"/>
        <v>683.81048945274017</v>
      </c>
      <c r="K1555" s="27">
        <f t="shared" si="189"/>
        <v>-4804.3810570538226</v>
      </c>
    </row>
    <row r="1556" spans="1:11" x14ac:dyDescent="0.25">
      <c r="A1556" s="26">
        <v>1506</v>
      </c>
      <c r="B1556" s="82">
        <f t="shared" si="190"/>
        <v>0</v>
      </c>
      <c r="C1556" s="58">
        <f t="shared" si="194"/>
        <v>171.9194128119324</v>
      </c>
      <c r="D1556" s="83">
        <f t="shared" si="191"/>
        <v>733.33333333333326</v>
      </c>
      <c r="E1556">
        <f t="shared" si="187"/>
        <v>0</v>
      </c>
      <c r="G1556">
        <v>1506</v>
      </c>
      <c r="H1556" s="13">
        <f t="shared" si="192"/>
        <v>-1.0275684203264746E-2</v>
      </c>
      <c r="I1556">
        <f t="shared" si="193"/>
        <v>156.4442324018157</v>
      </c>
      <c r="J1556">
        <f t="shared" si="188"/>
        <v>683.73992037827395</v>
      </c>
      <c r="K1556" s="27">
        <f t="shared" si="189"/>
        <v>-4803.3879256855935</v>
      </c>
    </row>
    <row r="1557" spans="1:11" x14ac:dyDescent="0.25">
      <c r="A1557" s="26">
        <v>1507</v>
      </c>
      <c r="B1557" s="82">
        <f t="shared" si="190"/>
        <v>0</v>
      </c>
      <c r="C1557" s="58">
        <f t="shared" si="194"/>
        <v>171.9194128119324</v>
      </c>
      <c r="D1557" s="83">
        <f t="shared" si="191"/>
        <v>733.33333333333326</v>
      </c>
      <c r="E1557">
        <f t="shared" si="187"/>
        <v>0</v>
      </c>
      <c r="G1557">
        <v>1507</v>
      </c>
      <c r="H1557" s="13">
        <f t="shared" si="192"/>
        <v>-1.0275684203264746E-2</v>
      </c>
      <c r="I1557">
        <f t="shared" si="193"/>
        <v>156.43395671761243</v>
      </c>
      <c r="J1557">
        <f t="shared" si="188"/>
        <v>683.66913644337603</v>
      </c>
      <c r="K1557" s="27">
        <f t="shared" si="189"/>
        <v>-4802.3918646880202</v>
      </c>
    </row>
    <row r="1558" spans="1:11" x14ac:dyDescent="0.25">
      <c r="A1558" s="26">
        <v>1508</v>
      </c>
      <c r="B1558" s="82">
        <f t="shared" si="190"/>
        <v>0</v>
      </c>
      <c r="C1558" s="58">
        <f t="shared" si="194"/>
        <v>171.9194128119324</v>
      </c>
      <c r="D1558" s="83">
        <f t="shared" si="191"/>
        <v>733.33333333333326</v>
      </c>
      <c r="E1558">
        <f t="shared" si="187"/>
        <v>0</v>
      </c>
      <c r="G1558">
        <v>1508</v>
      </c>
      <c r="H1558" s="13">
        <f t="shared" si="192"/>
        <v>-1.0275684203264746E-2</v>
      </c>
      <c r="I1558">
        <f t="shared" si="193"/>
        <v>156.42368103340917</v>
      </c>
      <c r="J1558">
        <f t="shared" si="188"/>
        <v>683.59813571458869</v>
      </c>
      <c r="K1558" s="27">
        <f t="shared" si="189"/>
        <v>-4801.3928476371648</v>
      </c>
    </row>
    <row r="1559" spans="1:11" x14ac:dyDescent="0.25">
      <c r="A1559" s="26">
        <v>1509</v>
      </c>
      <c r="B1559" s="82">
        <f t="shared" si="190"/>
        <v>0</v>
      </c>
      <c r="C1559" s="58">
        <f t="shared" si="194"/>
        <v>171.9194128119324</v>
      </c>
      <c r="D1559" s="83">
        <f t="shared" si="191"/>
        <v>733.33333333333326</v>
      </c>
      <c r="E1559">
        <f t="shared" si="187"/>
        <v>0</v>
      </c>
      <c r="G1559">
        <v>1509</v>
      </c>
      <c r="H1559" s="13">
        <f t="shared" si="192"/>
        <v>-1.0275684203264746E-2</v>
      </c>
      <c r="I1559">
        <f t="shared" si="193"/>
        <v>156.4134053492059</v>
      </c>
      <c r="J1559">
        <f t="shared" si="188"/>
        <v>683.52691622915688</v>
      </c>
      <c r="K1559" s="27">
        <f t="shared" si="189"/>
        <v>-4800.3908477074647</v>
      </c>
    </row>
    <row r="1560" spans="1:11" x14ac:dyDescent="0.25">
      <c r="A1560" s="26">
        <v>1510</v>
      </c>
      <c r="B1560" s="82">
        <f t="shared" si="190"/>
        <v>0</v>
      </c>
      <c r="C1560" s="58">
        <f t="shared" si="194"/>
        <v>171.9194128119324</v>
      </c>
      <c r="D1560" s="83">
        <f t="shared" si="191"/>
        <v>733.33333333333326</v>
      </c>
      <c r="E1560">
        <f t="shared" si="187"/>
        <v>0</v>
      </c>
      <c r="G1560">
        <v>1510</v>
      </c>
      <c r="H1560" s="13">
        <f t="shared" si="192"/>
        <v>-1.0275684203264746E-2</v>
      </c>
      <c r="I1560">
        <f t="shared" si="193"/>
        <v>156.40312966500264</v>
      </c>
      <c r="J1560">
        <f t="shared" si="188"/>
        <v>683.45547599440295</v>
      </c>
      <c r="K1560" s="27">
        <f t="shared" si="189"/>
        <v>-4799.3858376631242</v>
      </c>
    </row>
    <row r="1561" spans="1:11" x14ac:dyDescent="0.25">
      <c r="A1561" s="26">
        <v>1511</v>
      </c>
      <c r="B1561" s="82">
        <f t="shared" si="190"/>
        <v>0</v>
      </c>
      <c r="C1561" s="58">
        <f t="shared" si="194"/>
        <v>171.9194128119324</v>
      </c>
      <c r="D1561" s="83">
        <f t="shared" si="191"/>
        <v>733.33333333333326</v>
      </c>
      <c r="E1561">
        <f t="shared" si="187"/>
        <v>0</v>
      </c>
      <c r="G1561">
        <v>1511</v>
      </c>
      <c r="H1561" s="13">
        <f t="shared" si="192"/>
        <v>-1.0275684203264746E-2</v>
      </c>
      <c r="I1561">
        <f t="shared" si="193"/>
        <v>156.39285398079937</v>
      </c>
      <c r="J1561">
        <f t="shared" si="188"/>
        <v>683.38381298708339</v>
      </c>
      <c r="K1561" s="27">
        <f t="shared" si="189"/>
        <v>-4798.3777898492744</v>
      </c>
    </row>
    <row r="1562" spans="1:11" x14ac:dyDescent="0.25">
      <c r="A1562" s="26">
        <v>1512</v>
      </c>
      <c r="B1562" s="82">
        <f t="shared" si="190"/>
        <v>0</v>
      </c>
      <c r="C1562" s="58">
        <f t="shared" si="194"/>
        <v>171.9194128119324</v>
      </c>
      <c r="D1562" s="83">
        <f t="shared" si="191"/>
        <v>733.33333333333326</v>
      </c>
      <c r="E1562">
        <f t="shared" si="187"/>
        <v>0</v>
      </c>
      <c r="G1562">
        <v>1512</v>
      </c>
      <c r="H1562" s="13">
        <f t="shared" si="192"/>
        <v>-1.0275684203264746E-2</v>
      </c>
      <c r="I1562">
        <f t="shared" si="193"/>
        <v>156.38257829659611</v>
      </c>
      <c r="J1562">
        <f t="shared" si="188"/>
        <v>683.31192515272812</v>
      </c>
      <c r="K1562" s="27">
        <f t="shared" si="189"/>
        <v>-4797.3666761828817</v>
      </c>
    </row>
    <row r="1563" spans="1:11" x14ac:dyDescent="0.25">
      <c r="A1563" s="26">
        <v>1513</v>
      </c>
      <c r="B1563" s="82">
        <f t="shared" si="190"/>
        <v>0</v>
      </c>
      <c r="C1563" s="58">
        <f t="shared" si="194"/>
        <v>171.9194128119324</v>
      </c>
      <c r="D1563" s="83">
        <f t="shared" si="191"/>
        <v>733.33333333333326</v>
      </c>
      <c r="E1563">
        <f t="shared" si="187"/>
        <v>0</v>
      </c>
      <c r="G1563">
        <v>1513</v>
      </c>
      <c r="H1563" s="13">
        <f t="shared" si="192"/>
        <v>-1.0275684203264746E-2</v>
      </c>
      <c r="I1563">
        <f t="shared" si="193"/>
        <v>156.37230261239284</v>
      </c>
      <c r="J1563">
        <f t="shared" si="188"/>
        <v>683.23981040496096</v>
      </c>
      <c r="K1563" s="27">
        <f t="shared" si="189"/>
        <v>-4796.3524681434119</v>
      </c>
    </row>
    <row r="1564" spans="1:11" x14ac:dyDescent="0.25">
      <c r="A1564" s="26">
        <v>1514</v>
      </c>
      <c r="B1564" s="82">
        <f t="shared" si="190"/>
        <v>0</v>
      </c>
      <c r="C1564" s="58">
        <f t="shared" si="194"/>
        <v>171.9194128119324</v>
      </c>
      <c r="D1564" s="83">
        <f t="shared" si="191"/>
        <v>733.33333333333326</v>
      </c>
      <c r="E1564">
        <f t="shared" si="187"/>
        <v>0</v>
      </c>
      <c r="G1564">
        <v>1514</v>
      </c>
      <c r="H1564" s="13">
        <f t="shared" si="192"/>
        <v>-1.0275684203264746E-2</v>
      </c>
      <c r="I1564">
        <f t="shared" si="193"/>
        <v>156.36202692818958</v>
      </c>
      <c r="J1564">
        <f t="shared" si="188"/>
        <v>683.16746662480148</v>
      </c>
      <c r="K1564" s="27">
        <f t="shared" si="189"/>
        <v>-4795.335136763214</v>
      </c>
    </row>
    <row r="1565" spans="1:11" x14ac:dyDescent="0.25">
      <c r="A1565" s="26">
        <v>1515</v>
      </c>
      <c r="B1565" s="82">
        <f t="shared" si="190"/>
        <v>0</v>
      </c>
      <c r="C1565" s="58">
        <f t="shared" si="194"/>
        <v>171.9194128119324</v>
      </c>
      <c r="D1565" s="83">
        <f t="shared" si="191"/>
        <v>733.33333333333326</v>
      </c>
      <c r="E1565">
        <f t="shared" si="187"/>
        <v>0</v>
      </c>
      <c r="G1565">
        <v>1515</v>
      </c>
      <c r="H1565" s="13">
        <f t="shared" si="192"/>
        <v>-1.0275684203264746E-2</v>
      </c>
      <c r="I1565">
        <f t="shared" si="193"/>
        <v>156.35175124398631</v>
      </c>
      <c r="J1565">
        <f t="shared" si="188"/>
        <v>683.09489165994682</v>
      </c>
      <c r="K1565" s="27">
        <f t="shared" si="189"/>
        <v>-4794.3146526176442</v>
      </c>
    </row>
    <row r="1566" spans="1:11" x14ac:dyDescent="0.25">
      <c r="A1566" s="26">
        <v>1516</v>
      </c>
      <c r="B1566" s="82">
        <f t="shared" si="190"/>
        <v>0</v>
      </c>
      <c r="C1566" s="58">
        <f t="shared" si="194"/>
        <v>171.9194128119324</v>
      </c>
      <c r="D1566" s="83">
        <f t="shared" si="191"/>
        <v>733.33333333333326</v>
      </c>
      <c r="E1566">
        <f t="shared" si="187"/>
        <v>0</v>
      </c>
      <c r="G1566">
        <v>1516</v>
      </c>
      <c r="H1566" s="13">
        <f t="shared" si="192"/>
        <v>-1.0275684203264746E-2</v>
      </c>
      <c r="I1566">
        <f t="shared" si="193"/>
        <v>156.34147555978305</v>
      </c>
      <c r="J1566">
        <f t="shared" si="188"/>
        <v>683.02208332403268</v>
      </c>
      <c r="K1566" s="27">
        <f t="shared" si="189"/>
        <v>-4793.2909858148969</v>
      </c>
    </row>
    <row r="1567" spans="1:11" x14ac:dyDescent="0.25">
      <c r="A1567" s="26">
        <v>1517</v>
      </c>
      <c r="B1567" s="82">
        <f t="shared" si="190"/>
        <v>0</v>
      </c>
      <c r="C1567" s="58">
        <f t="shared" si="194"/>
        <v>171.9194128119324</v>
      </c>
      <c r="D1567" s="83">
        <f t="shared" si="191"/>
        <v>733.33333333333326</v>
      </c>
      <c r="E1567">
        <f t="shared" si="187"/>
        <v>0</v>
      </c>
      <c r="G1567">
        <v>1517</v>
      </c>
      <c r="H1567" s="13">
        <f t="shared" si="192"/>
        <v>-1.0275684203264746E-2</v>
      </c>
      <c r="I1567">
        <f t="shared" si="193"/>
        <v>156.33119987557978</v>
      </c>
      <c r="J1567">
        <f t="shared" si="188"/>
        <v>682.94903939587346</v>
      </c>
      <c r="K1567" s="27">
        <f t="shared" si="189"/>
        <v>-4792.2641059855559</v>
      </c>
    </row>
    <row r="1568" spans="1:11" x14ac:dyDescent="0.25">
      <c r="A1568" s="26">
        <v>1518</v>
      </c>
      <c r="B1568" s="82">
        <f t="shared" si="190"/>
        <v>0</v>
      </c>
      <c r="C1568" s="58">
        <f t="shared" si="194"/>
        <v>171.9194128119324</v>
      </c>
      <c r="D1568" s="83">
        <f t="shared" si="191"/>
        <v>733.33333333333326</v>
      </c>
      <c r="E1568">
        <f t="shared" si="187"/>
        <v>0</v>
      </c>
      <c r="G1568">
        <v>1518</v>
      </c>
      <c r="H1568" s="13">
        <f t="shared" si="192"/>
        <v>-1.0275684203264746E-2</v>
      </c>
      <c r="I1568">
        <f t="shared" si="193"/>
        <v>156.32092419137652</v>
      </c>
      <c r="J1568">
        <f t="shared" si="188"/>
        <v>682.87575761868061</v>
      </c>
      <c r="K1568" s="27">
        <f t="shared" si="189"/>
        <v>-4791.2339822718322</v>
      </c>
    </row>
    <row r="1569" spans="1:11" x14ac:dyDescent="0.25">
      <c r="A1569" s="26">
        <v>1519</v>
      </c>
      <c r="B1569" s="82">
        <f t="shared" si="190"/>
        <v>0</v>
      </c>
      <c r="C1569" s="58">
        <f t="shared" si="194"/>
        <v>171.9194128119324</v>
      </c>
      <c r="D1569" s="83">
        <f t="shared" si="191"/>
        <v>733.33333333333326</v>
      </c>
      <c r="E1569">
        <f t="shared" si="187"/>
        <v>0</v>
      </c>
      <c r="G1569">
        <v>1519</v>
      </c>
      <c r="H1569" s="13">
        <f t="shared" si="192"/>
        <v>-1.0275684203264746E-2</v>
      </c>
      <c r="I1569">
        <f t="shared" si="193"/>
        <v>156.31064850717325</v>
      </c>
      <c r="J1569">
        <f t="shared" si="188"/>
        <v>682.80223569925829</v>
      </c>
      <c r="K1569" s="27">
        <f t="shared" si="189"/>
        <v>-4790.2005833164903</v>
      </c>
    </row>
    <row r="1570" spans="1:11" x14ac:dyDescent="0.25">
      <c r="A1570" s="26">
        <v>1520</v>
      </c>
      <c r="B1570" s="82">
        <f t="shared" si="190"/>
        <v>0</v>
      </c>
      <c r="C1570" s="58">
        <f t="shared" si="194"/>
        <v>171.9194128119324</v>
      </c>
      <c r="D1570" s="83">
        <f t="shared" si="191"/>
        <v>733.33333333333326</v>
      </c>
      <c r="E1570">
        <f t="shared" si="187"/>
        <v>0</v>
      </c>
      <c r="G1570">
        <v>1520</v>
      </c>
      <c r="H1570" s="13">
        <f t="shared" si="192"/>
        <v>-1.0275684203264746E-2</v>
      </c>
      <c r="I1570">
        <f t="shared" si="193"/>
        <v>156.30037282296999</v>
      </c>
      <c r="J1570">
        <f t="shared" si="188"/>
        <v>682.72847130717469</v>
      </c>
      <c r="K1570" s="27">
        <f t="shared" si="189"/>
        <v>-4789.1638772514534</v>
      </c>
    </row>
    <row r="1571" spans="1:11" x14ac:dyDescent="0.25">
      <c r="A1571" s="26">
        <v>1521</v>
      </c>
      <c r="B1571" s="82">
        <f t="shared" si="190"/>
        <v>0</v>
      </c>
      <c r="C1571" s="58">
        <f t="shared" si="194"/>
        <v>171.9194128119324</v>
      </c>
      <c r="D1571" s="83">
        <f t="shared" si="191"/>
        <v>733.33333333333326</v>
      </c>
      <c r="E1571">
        <f t="shared" si="187"/>
        <v>0</v>
      </c>
      <c r="G1571">
        <v>1521</v>
      </c>
      <c r="H1571" s="13">
        <f t="shared" si="192"/>
        <v>-1.0275684203264746E-2</v>
      </c>
      <c r="I1571">
        <f t="shared" si="193"/>
        <v>156.29009713876673</v>
      </c>
      <c r="J1571">
        <f t="shared" si="188"/>
        <v>682.65446207390994</v>
      </c>
      <c r="K1571" s="27">
        <f t="shared" si="189"/>
        <v>-4788.123831686069</v>
      </c>
    </row>
    <row r="1572" spans="1:11" x14ac:dyDescent="0.25">
      <c r="A1572" s="26">
        <v>1522</v>
      </c>
      <c r="B1572" s="82">
        <f t="shared" si="190"/>
        <v>0</v>
      </c>
      <c r="C1572" s="58">
        <f t="shared" si="194"/>
        <v>171.9194128119324</v>
      </c>
      <c r="D1572" s="83">
        <f t="shared" si="191"/>
        <v>733.33333333333326</v>
      </c>
      <c r="E1572">
        <f t="shared" si="187"/>
        <v>0</v>
      </c>
      <c r="G1572">
        <v>1522</v>
      </c>
      <c r="H1572" s="13">
        <f t="shared" si="192"/>
        <v>-1.0275684203264746E-2</v>
      </c>
      <c r="I1572">
        <f t="shared" si="193"/>
        <v>156.27982145456346</v>
      </c>
      <c r="J1572">
        <f t="shared" si="188"/>
        <v>682.58020559197837</v>
      </c>
      <c r="K1572" s="27">
        <f t="shared" si="189"/>
        <v>-4787.080413695021</v>
      </c>
    </row>
    <row r="1573" spans="1:11" x14ac:dyDescent="0.25">
      <c r="A1573" s="26">
        <v>1523</v>
      </c>
      <c r="B1573" s="82">
        <f t="shared" si="190"/>
        <v>0</v>
      </c>
      <c r="C1573" s="58">
        <f t="shared" si="194"/>
        <v>171.9194128119324</v>
      </c>
      <c r="D1573" s="83">
        <f t="shared" si="191"/>
        <v>733.33333333333326</v>
      </c>
      <c r="E1573">
        <f t="shared" si="187"/>
        <v>0</v>
      </c>
      <c r="G1573">
        <v>1523</v>
      </c>
      <c r="H1573" s="13">
        <f t="shared" si="192"/>
        <v>-1.0275684203264746E-2</v>
      </c>
      <c r="I1573">
        <f t="shared" si="193"/>
        <v>156.2695457703602</v>
      </c>
      <c r="J1573">
        <f t="shared" si="188"/>
        <v>682.50569941402455</v>
      </c>
      <c r="K1573" s="27">
        <f t="shared" si="189"/>
        <v>-4786.033589805892</v>
      </c>
    </row>
    <row r="1574" spans="1:11" x14ac:dyDescent="0.25">
      <c r="A1574" s="26">
        <v>1524</v>
      </c>
      <c r="B1574" s="82">
        <f t="shared" si="190"/>
        <v>0</v>
      </c>
      <c r="C1574" s="58">
        <f t="shared" si="194"/>
        <v>171.9194128119324</v>
      </c>
      <c r="D1574" s="83">
        <f t="shared" si="191"/>
        <v>733.33333333333326</v>
      </c>
      <c r="E1574">
        <f t="shared" si="187"/>
        <v>0</v>
      </c>
      <c r="G1574">
        <v>1524</v>
      </c>
      <c r="H1574" s="13">
        <f t="shared" si="192"/>
        <v>-1.0275684203264746E-2</v>
      </c>
      <c r="I1574">
        <f t="shared" si="193"/>
        <v>156.25927008615693</v>
      </c>
      <c r="J1574">
        <f t="shared" si="188"/>
        <v>682.43094105189243</v>
      </c>
      <c r="K1574" s="27">
        <f t="shared" si="189"/>
        <v>-4784.9833259863435</v>
      </c>
    </row>
    <row r="1575" spans="1:11" x14ac:dyDescent="0.25">
      <c r="A1575" s="26">
        <v>1525</v>
      </c>
      <c r="B1575" s="82">
        <f t="shared" si="190"/>
        <v>0</v>
      </c>
      <c r="C1575" s="58">
        <f t="shared" si="194"/>
        <v>171.9194128119324</v>
      </c>
      <c r="D1575" s="83">
        <f t="shared" si="191"/>
        <v>733.33333333333326</v>
      </c>
      <c r="E1575">
        <f t="shared" si="187"/>
        <v>0</v>
      </c>
      <c r="G1575">
        <v>1525</v>
      </c>
      <c r="H1575" s="13">
        <f t="shared" si="192"/>
        <v>-1.0275684203264746E-2</v>
      </c>
      <c r="I1575">
        <f t="shared" si="193"/>
        <v>156.24899440195367</v>
      </c>
      <c r="J1575">
        <f t="shared" si="188"/>
        <v>682.35592797566562</v>
      </c>
      <c r="K1575" s="27">
        <f t="shared" si="189"/>
        <v>-4783.9295876308997</v>
      </c>
    </row>
    <row r="1576" spans="1:11" x14ac:dyDescent="0.25">
      <c r="A1576" s="26">
        <v>1526</v>
      </c>
      <c r="B1576" s="82">
        <f t="shared" si="190"/>
        <v>0</v>
      </c>
      <c r="C1576" s="58">
        <f t="shared" si="194"/>
        <v>171.9194128119324</v>
      </c>
      <c r="D1576" s="83">
        <f t="shared" si="191"/>
        <v>733.33333333333326</v>
      </c>
      <c r="E1576">
        <f t="shared" si="187"/>
        <v>0</v>
      </c>
      <c r="G1576">
        <v>1526</v>
      </c>
      <c r="H1576" s="13">
        <f t="shared" si="192"/>
        <v>-1.0275684203264746E-2</v>
      </c>
      <c r="I1576">
        <f t="shared" si="193"/>
        <v>156.2387187177504</v>
      </c>
      <c r="J1576">
        <f t="shared" si="188"/>
        <v>682.28065761267942</v>
      </c>
      <c r="K1576" s="27">
        <f t="shared" si="189"/>
        <v>-4782.8723395473398</v>
      </c>
    </row>
    <row r="1577" spans="1:11" x14ac:dyDescent="0.25">
      <c r="A1577" s="26">
        <v>1527</v>
      </c>
      <c r="B1577" s="82">
        <f t="shared" si="190"/>
        <v>0</v>
      </c>
      <c r="C1577" s="58">
        <f t="shared" si="194"/>
        <v>171.9194128119324</v>
      </c>
      <c r="D1577" s="83">
        <f t="shared" si="191"/>
        <v>733.33333333333326</v>
      </c>
      <c r="E1577">
        <f t="shared" si="187"/>
        <v>0</v>
      </c>
      <c r="G1577">
        <v>1527</v>
      </c>
      <c r="H1577" s="13">
        <f t="shared" si="192"/>
        <v>-1.0275684203264746E-2</v>
      </c>
      <c r="I1577">
        <f t="shared" si="193"/>
        <v>156.22844303354714</v>
      </c>
      <c r="J1577">
        <f t="shared" si="188"/>
        <v>682.20512734650219</v>
      </c>
      <c r="K1577" s="27">
        <f t="shared" si="189"/>
        <v>-4781.8115459426735</v>
      </c>
    </row>
    <row r="1578" spans="1:11" x14ac:dyDescent="0.25">
      <c r="A1578" s="26">
        <v>1528</v>
      </c>
      <c r="B1578" s="82">
        <f t="shared" si="190"/>
        <v>0</v>
      </c>
      <c r="C1578" s="58">
        <f t="shared" si="194"/>
        <v>171.9194128119324</v>
      </c>
      <c r="D1578" s="83">
        <f t="shared" si="191"/>
        <v>733.33333333333326</v>
      </c>
      <c r="E1578">
        <f t="shared" si="187"/>
        <v>0</v>
      </c>
      <c r="G1578">
        <v>1528</v>
      </c>
      <c r="H1578" s="13">
        <f t="shared" si="192"/>
        <v>-1.0275684203264746E-2</v>
      </c>
      <c r="I1578">
        <f t="shared" si="193"/>
        <v>156.21816734934387</v>
      </c>
      <c r="J1578">
        <f t="shared" si="188"/>
        <v>682.12933451588503</v>
      </c>
      <c r="K1578" s="27">
        <f t="shared" si="189"/>
        <v>-4780.7471704086656</v>
      </c>
    </row>
    <row r="1579" spans="1:11" x14ac:dyDescent="0.25">
      <c r="A1579" s="26">
        <v>1529</v>
      </c>
      <c r="B1579" s="82">
        <f t="shared" si="190"/>
        <v>0</v>
      </c>
      <c r="C1579" s="58">
        <f t="shared" si="194"/>
        <v>171.9194128119324</v>
      </c>
      <c r="D1579" s="83">
        <f t="shared" si="191"/>
        <v>733.33333333333326</v>
      </c>
      <c r="E1579">
        <f t="shared" si="187"/>
        <v>0</v>
      </c>
      <c r="G1579">
        <v>1529</v>
      </c>
      <c r="H1579" s="13">
        <f t="shared" si="192"/>
        <v>-1.0275684203264746E-2</v>
      </c>
      <c r="I1579">
        <f t="shared" si="193"/>
        <v>156.20789166514061</v>
      </c>
      <c r="J1579">
        <f t="shared" si="188"/>
        <v>682.05327641367887</v>
      </c>
      <c r="K1579" s="27">
        <f t="shared" si="189"/>
        <v>-4779.6791759069283</v>
      </c>
    </row>
    <row r="1580" spans="1:11" x14ac:dyDescent="0.25">
      <c r="A1580" s="26">
        <v>1530</v>
      </c>
      <c r="B1580" s="82">
        <f t="shared" si="190"/>
        <v>0</v>
      </c>
      <c r="C1580" s="58">
        <f t="shared" si="194"/>
        <v>171.9194128119324</v>
      </c>
      <c r="D1580" s="83">
        <f t="shared" si="191"/>
        <v>733.33333333333326</v>
      </c>
      <c r="E1580">
        <f t="shared" si="187"/>
        <v>0</v>
      </c>
      <c r="G1580">
        <v>1530</v>
      </c>
      <c r="H1580" s="13">
        <f t="shared" si="192"/>
        <v>-1.0275684203264746E-2</v>
      </c>
      <c r="I1580">
        <f t="shared" si="193"/>
        <v>156.19761598093734</v>
      </c>
      <c r="J1580">
        <f t="shared" si="188"/>
        <v>681.97695028571843</v>
      </c>
      <c r="K1580" s="27">
        <f t="shared" si="189"/>
        <v>-4778.6075247535327</v>
      </c>
    </row>
    <row r="1581" spans="1:11" x14ac:dyDescent="0.25">
      <c r="A1581" s="26">
        <v>1531</v>
      </c>
      <c r="B1581" s="82">
        <f t="shared" si="190"/>
        <v>0</v>
      </c>
      <c r="C1581" s="58">
        <f t="shared" si="194"/>
        <v>171.9194128119324</v>
      </c>
      <c r="D1581" s="83">
        <f t="shared" si="191"/>
        <v>733.33333333333326</v>
      </c>
      <c r="E1581">
        <f t="shared" si="187"/>
        <v>0</v>
      </c>
      <c r="G1581">
        <v>1531</v>
      </c>
      <c r="H1581" s="13">
        <f t="shared" si="192"/>
        <v>-1.0275684203264746E-2</v>
      </c>
      <c r="I1581">
        <f t="shared" si="193"/>
        <v>156.18734029673408</v>
      </c>
      <c r="J1581">
        <f t="shared" si="188"/>
        <v>681.90035332967</v>
      </c>
      <c r="K1581" s="27">
        <f t="shared" si="189"/>
        <v>-4777.5321786031373</v>
      </c>
    </row>
    <row r="1582" spans="1:11" x14ac:dyDescent="0.25">
      <c r="A1582" s="26">
        <v>1532</v>
      </c>
      <c r="B1582" s="82">
        <f t="shared" si="190"/>
        <v>0</v>
      </c>
      <c r="C1582" s="58">
        <f t="shared" si="194"/>
        <v>171.9194128119324</v>
      </c>
      <c r="D1582" s="83">
        <f t="shared" si="191"/>
        <v>733.33333333333326</v>
      </c>
      <c r="E1582">
        <f t="shared" si="187"/>
        <v>0</v>
      </c>
      <c r="G1582">
        <v>1532</v>
      </c>
      <c r="H1582" s="13">
        <f t="shared" si="192"/>
        <v>-1.0275684203264746E-2</v>
      </c>
      <c r="I1582">
        <f t="shared" si="193"/>
        <v>156.17706461253081</v>
      </c>
      <c r="J1582">
        <f t="shared" si="188"/>
        <v>681.82348269384272</v>
      </c>
      <c r="K1582" s="27">
        <f t="shared" si="189"/>
        <v>-4776.4530984326184</v>
      </c>
    </row>
    <row r="1583" spans="1:11" x14ac:dyDescent="0.25">
      <c r="A1583" s="26">
        <v>1533</v>
      </c>
      <c r="B1583" s="82">
        <f t="shared" si="190"/>
        <v>0</v>
      </c>
      <c r="C1583" s="58">
        <f t="shared" si="194"/>
        <v>171.9194128119324</v>
      </c>
      <c r="D1583" s="83">
        <f t="shared" si="191"/>
        <v>733.33333333333326</v>
      </c>
      <c r="E1583">
        <f t="shared" si="187"/>
        <v>0</v>
      </c>
      <c r="G1583">
        <v>1533</v>
      </c>
      <c r="H1583" s="13">
        <f t="shared" si="192"/>
        <v>-1.0275684203264746E-2</v>
      </c>
      <c r="I1583">
        <f t="shared" si="193"/>
        <v>156.16678892832755</v>
      </c>
      <c r="J1583">
        <f t="shared" si="188"/>
        <v>681.74633547596363</v>
      </c>
      <c r="K1583" s="27">
        <f t="shared" si="189"/>
        <v>-4775.3702445241634</v>
      </c>
    </row>
    <row r="1584" spans="1:11" x14ac:dyDescent="0.25">
      <c r="A1584" s="26">
        <v>1534</v>
      </c>
      <c r="B1584" s="82">
        <f t="shared" si="190"/>
        <v>0</v>
      </c>
      <c r="C1584" s="58">
        <f t="shared" si="194"/>
        <v>171.9194128119324</v>
      </c>
      <c r="D1584" s="83">
        <f t="shared" si="191"/>
        <v>733.33333333333326</v>
      </c>
      <c r="E1584">
        <f t="shared" si="187"/>
        <v>0</v>
      </c>
      <c r="G1584">
        <v>1534</v>
      </c>
      <c r="H1584" s="13">
        <f t="shared" si="192"/>
        <v>-1.0275684203264746E-2</v>
      </c>
      <c r="I1584">
        <f t="shared" si="193"/>
        <v>156.15651324412428</v>
      </c>
      <c r="J1584">
        <f t="shared" si="188"/>
        <v>681.6689087219105</v>
      </c>
      <c r="K1584" s="27">
        <f t="shared" si="189"/>
        <v>-4774.2835764478232</v>
      </c>
    </row>
    <row r="1585" spans="1:11" x14ac:dyDescent="0.25">
      <c r="A1585" s="26">
        <v>1535</v>
      </c>
      <c r="B1585" s="82">
        <f t="shared" si="190"/>
        <v>0</v>
      </c>
      <c r="C1585" s="58">
        <f t="shared" si="194"/>
        <v>171.9194128119324</v>
      </c>
      <c r="D1585" s="83">
        <f t="shared" si="191"/>
        <v>733.33333333333326</v>
      </c>
      <c r="E1585">
        <f t="shared" si="187"/>
        <v>0</v>
      </c>
      <c r="G1585">
        <v>1535</v>
      </c>
      <c r="H1585" s="13">
        <f t="shared" si="192"/>
        <v>-1.0275684203264746E-2</v>
      </c>
      <c r="I1585">
        <f t="shared" si="193"/>
        <v>156.14623755992102</v>
      </c>
      <c r="J1585">
        <f t="shared" si="188"/>
        <v>681.59119942440532</v>
      </c>
      <c r="K1585" s="27">
        <f t="shared" si="189"/>
        <v>-4773.1930530435011</v>
      </c>
    </row>
    <row r="1586" spans="1:11" x14ac:dyDescent="0.25">
      <c r="A1586" s="26">
        <v>1536</v>
      </c>
      <c r="B1586" s="82">
        <f t="shared" si="190"/>
        <v>0</v>
      </c>
      <c r="C1586" s="58">
        <f t="shared" si="194"/>
        <v>171.9194128119324</v>
      </c>
      <c r="D1586" s="83">
        <f t="shared" si="191"/>
        <v>733.33333333333326</v>
      </c>
      <c r="E1586">
        <f t="shared" si="187"/>
        <v>0</v>
      </c>
      <c r="G1586">
        <v>1536</v>
      </c>
      <c r="H1586" s="13">
        <f t="shared" si="192"/>
        <v>-1.0275684203264746E-2</v>
      </c>
      <c r="I1586">
        <f t="shared" si="193"/>
        <v>156.13596187571775</v>
      </c>
      <c r="J1586">
        <f t="shared" si="188"/>
        <v>681.5132045216659</v>
      </c>
      <c r="K1586" s="27">
        <f t="shared" si="189"/>
        <v>-4772.0986324023525</v>
      </c>
    </row>
    <row r="1587" spans="1:11" x14ac:dyDescent="0.25">
      <c r="A1587" s="26">
        <v>1537</v>
      </c>
      <c r="B1587" s="82">
        <f t="shared" si="190"/>
        <v>0</v>
      </c>
      <c r="C1587" s="58">
        <f t="shared" si="194"/>
        <v>171.9194128119324</v>
      </c>
      <c r="D1587" s="83">
        <f t="shared" si="191"/>
        <v>733.33333333333326</v>
      </c>
      <c r="E1587">
        <f t="shared" ref="E1587:E1650" si="195">((D1587^2)+(D1587*D1588)+(D1588^2))*B1588/3</f>
        <v>0</v>
      </c>
      <c r="G1587">
        <v>1537</v>
      </c>
      <c r="H1587" s="13">
        <f t="shared" si="192"/>
        <v>-1.0275684203264746E-2</v>
      </c>
      <c r="I1587">
        <f t="shared" si="193"/>
        <v>156.12568619151449</v>
      </c>
      <c r="J1587">
        <f t="shared" ref="J1587:J1650" si="196">IF($G$28&lt;$C$14,0,((($C$11^2)-((I1587-$C$13)^2))^0.5)+$C$16)</f>
        <v>681.43492089601079</v>
      </c>
      <c r="K1587" s="27">
        <f t="shared" ref="K1587:K1650" si="197">((J1587^2)+(J1587*J1588)+(J1588^2))*H1588/3</f>
        <v>-4771.0002718475525</v>
      </c>
    </row>
    <row r="1588" spans="1:11" x14ac:dyDescent="0.25">
      <c r="A1588" s="26">
        <v>1538</v>
      </c>
      <c r="B1588" s="82">
        <f t="shared" ref="B1588:B1651" si="198">C1588-C1587</f>
        <v>0</v>
      </c>
      <c r="C1588" s="58">
        <f t="shared" si="194"/>
        <v>171.9194128119324</v>
      </c>
      <c r="D1588" s="83">
        <f t="shared" ref="D1588:D1651" si="199">IF($G$28&lt;$C$14,0,((($C$11^2)-((C1588-$C$13)^2))^0.5)+$C$16)</f>
        <v>733.33333333333326</v>
      </c>
      <c r="E1588">
        <f t="shared" si="195"/>
        <v>0</v>
      </c>
      <c r="G1588">
        <v>1538</v>
      </c>
      <c r="H1588" s="13">
        <f t="shared" ref="H1588:H1651" si="200">I1588-I1587</f>
        <v>-1.0275684203264746E-2</v>
      </c>
      <c r="I1588">
        <f t="shared" ref="I1588:I1651" si="201">($G$27-$C$14)/2000+I1587</f>
        <v>156.11541050731122</v>
      </c>
      <c r="J1588">
        <f t="shared" si="196"/>
        <v>681.35634537241992</v>
      </c>
      <c r="K1588" s="27">
        <f t="shared" si="197"/>
        <v>-4769.8979279144514</v>
      </c>
    </row>
    <row r="1589" spans="1:11" x14ac:dyDescent="0.25">
      <c r="A1589" s="26">
        <v>1539</v>
      </c>
      <c r="B1589" s="82">
        <f t="shared" si="198"/>
        <v>0</v>
      </c>
      <c r="C1589" s="58">
        <f t="shared" si="194"/>
        <v>171.9194128119324</v>
      </c>
      <c r="D1589" s="83">
        <f t="shared" si="199"/>
        <v>733.33333333333326</v>
      </c>
      <c r="E1589">
        <f t="shared" si="195"/>
        <v>0</v>
      </c>
      <c r="G1589">
        <v>1539</v>
      </c>
      <c r="H1589" s="13">
        <f t="shared" si="200"/>
        <v>-1.0275684203264746E-2</v>
      </c>
      <c r="I1589">
        <f t="shared" si="201"/>
        <v>156.10513482310796</v>
      </c>
      <c r="J1589">
        <f t="shared" si="196"/>
        <v>681.27747471704652</v>
      </c>
      <c r="K1589" s="27">
        <f t="shared" si="197"/>
        <v>-4768.7915563300485</v>
      </c>
    </row>
    <row r="1590" spans="1:11" x14ac:dyDescent="0.25">
      <c r="A1590" s="26">
        <v>1540</v>
      </c>
      <c r="B1590" s="82">
        <f t="shared" si="198"/>
        <v>0</v>
      </c>
      <c r="C1590" s="58">
        <f t="shared" si="194"/>
        <v>171.9194128119324</v>
      </c>
      <c r="D1590" s="83">
        <f t="shared" si="199"/>
        <v>733.33333333333326</v>
      </c>
      <c r="E1590">
        <f t="shared" si="195"/>
        <v>0</v>
      </c>
      <c r="G1590">
        <v>1540</v>
      </c>
      <c r="H1590" s="13">
        <f t="shared" si="200"/>
        <v>-1.0275684203264746E-2</v>
      </c>
      <c r="I1590">
        <f t="shared" si="201"/>
        <v>156.0948591389047</v>
      </c>
      <c r="J1590">
        <f t="shared" si="196"/>
        <v>681.19830563567882</v>
      </c>
      <c r="K1590" s="27">
        <f t="shared" si="197"/>
        <v>-4767.6811119917711</v>
      </c>
    </row>
    <row r="1591" spans="1:11" x14ac:dyDescent="0.25">
      <c r="A1591" s="26">
        <v>1541</v>
      </c>
      <c r="B1591" s="82">
        <f t="shared" si="198"/>
        <v>0</v>
      </c>
      <c r="C1591" s="58">
        <f t="shared" si="194"/>
        <v>171.9194128119324</v>
      </c>
      <c r="D1591" s="83">
        <f t="shared" si="199"/>
        <v>733.33333333333326</v>
      </c>
      <c r="E1591">
        <f t="shared" si="195"/>
        <v>0</v>
      </c>
      <c r="G1591">
        <v>1541</v>
      </c>
      <c r="H1591" s="13">
        <f t="shared" si="200"/>
        <v>-1.0275684203264746E-2</v>
      </c>
      <c r="I1591">
        <f t="shared" si="201"/>
        <v>156.08458345470143</v>
      </c>
      <c r="J1591">
        <f t="shared" si="196"/>
        <v>681.11883477215008</v>
      </c>
      <c r="K1591" s="27">
        <f t="shared" si="197"/>
        <v>-4766.5665489455432</v>
      </c>
    </row>
    <row r="1592" spans="1:11" x14ac:dyDescent="0.25">
      <c r="A1592" s="26">
        <v>1542</v>
      </c>
      <c r="B1592" s="82">
        <f t="shared" si="198"/>
        <v>0</v>
      </c>
      <c r="C1592" s="58">
        <f t="shared" si="194"/>
        <v>171.9194128119324</v>
      </c>
      <c r="D1592" s="83">
        <f t="shared" si="199"/>
        <v>733.33333333333326</v>
      </c>
      <c r="E1592">
        <f t="shared" si="195"/>
        <v>0</v>
      </c>
      <c r="G1592">
        <v>1542</v>
      </c>
      <c r="H1592" s="13">
        <f t="shared" si="200"/>
        <v>-1.0275684203264746E-2</v>
      </c>
      <c r="I1592">
        <f t="shared" si="201"/>
        <v>156.07430777049817</v>
      </c>
      <c r="J1592">
        <f t="shared" si="196"/>
        <v>681.03905870669439</v>
      </c>
      <c r="K1592" s="27">
        <f t="shared" si="197"/>
        <v>-4765.4478203630952</v>
      </c>
    </row>
    <row r="1593" spans="1:11" x14ac:dyDescent="0.25">
      <c r="A1593" s="26">
        <v>1543</v>
      </c>
      <c r="B1593" s="82">
        <f t="shared" si="198"/>
        <v>0</v>
      </c>
      <c r="C1593" s="58">
        <f t="shared" si="194"/>
        <v>171.9194128119324</v>
      </c>
      <c r="D1593" s="83">
        <f t="shared" si="199"/>
        <v>733.33333333333326</v>
      </c>
      <c r="E1593">
        <f t="shared" si="195"/>
        <v>0</v>
      </c>
      <c r="G1593">
        <v>1543</v>
      </c>
      <c r="H1593" s="13">
        <f t="shared" si="200"/>
        <v>-1.0275684203264746E-2</v>
      </c>
      <c r="I1593">
        <f t="shared" si="201"/>
        <v>156.0640320862949</v>
      </c>
      <c r="J1593">
        <f t="shared" si="196"/>
        <v>680.95897395424493</v>
      </c>
      <c r="K1593" s="27">
        <f t="shared" si="197"/>
        <v>-4764.3248785184896</v>
      </c>
    </row>
    <row r="1594" spans="1:11" x14ac:dyDescent="0.25">
      <c r="A1594" s="26">
        <v>1544</v>
      </c>
      <c r="B1594" s="82">
        <f t="shared" si="198"/>
        <v>0</v>
      </c>
      <c r="C1594" s="58">
        <f t="shared" si="194"/>
        <v>171.9194128119324</v>
      </c>
      <c r="D1594" s="83">
        <f t="shared" si="199"/>
        <v>733.33333333333326</v>
      </c>
      <c r="E1594">
        <f t="shared" si="195"/>
        <v>0</v>
      </c>
      <c r="G1594">
        <v>1544</v>
      </c>
      <c r="H1594" s="13">
        <f t="shared" si="200"/>
        <v>-1.0275684203264746E-2</v>
      </c>
      <c r="I1594">
        <f t="shared" si="201"/>
        <v>156.05375640209164</v>
      </c>
      <c r="J1594">
        <f t="shared" si="196"/>
        <v>680.87857696267463</v>
      </c>
      <c r="K1594" s="27">
        <f t="shared" si="197"/>
        <v>-4763.1976747638364</v>
      </c>
    </row>
    <row r="1595" spans="1:11" x14ac:dyDescent="0.25">
      <c r="A1595" s="26">
        <v>1545</v>
      </c>
      <c r="B1595" s="82">
        <f t="shared" si="198"/>
        <v>0</v>
      </c>
      <c r="C1595" s="58">
        <f t="shared" si="194"/>
        <v>171.9194128119324</v>
      </c>
      <c r="D1595" s="83">
        <f t="shared" si="199"/>
        <v>733.33333333333326</v>
      </c>
      <c r="E1595">
        <f t="shared" si="195"/>
        <v>0</v>
      </c>
      <c r="G1595">
        <v>1545</v>
      </c>
      <c r="H1595" s="13">
        <f t="shared" si="200"/>
        <v>-1.0275684203264746E-2</v>
      </c>
      <c r="I1595">
        <f t="shared" si="201"/>
        <v>156.04348071788837</v>
      </c>
      <c r="J1595">
        <f t="shared" si="196"/>
        <v>680.79786411097473</v>
      </c>
      <c r="K1595" s="27">
        <f t="shared" si="197"/>
        <v>-4762.0661595041483</v>
      </c>
    </row>
    <row r="1596" spans="1:11" x14ac:dyDescent="0.25">
      <c r="A1596" s="26">
        <v>1546</v>
      </c>
      <c r="B1596" s="82">
        <f t="shared" si="198"/>
        <v>0</v>
      </c>
      <c r="C1596" s="58">
        <f t="shared" si="194"/>
        <v>171.9194128119324</v>
      </c>
      <c r="D1596" s="83">
        <f t="shared" si="199"/>
        <v>733.33333333333326</v>
      </c>
      <c r="E1596">
        <f t="shared" si="195"/>
        <v>0</v>
      </c>
      <c r="G1596">
        <v>1546</v>
      </c>
      <c r="H1596" s="13">
        <f t="shared" si="200"/>
        <v>-1.0275684203264746E-2</v>
      </c>
      <c r="I1596">
        <f t="shared" si="201"/>
        <v>156.03320503368511</v>
      </c>
      <c r="J1596">
        <f t="shared" si="196"/>
        <v>680.71683170736867</v>
      </c>
      <c r="K1596" s="27">
        <f t="shared" si="197"/>
        <v>-4760.9302821713145</v>
      </c>
    </row>
    <row r="1597" spans="1:11" x14ac:dyDescent="0.25">
      <c r="A1597" s="26">
        <v>1547</v>
      </c>
      <c r="B1597" s="82">
        <f t="shared" si="198"/>
        <v>0</v>
      </c>
      <c r="C1597" s="58">
        <f t="shared" si="194"/>
        <v>171.9194128119324</v>
      </c>
      <c r="D1597" s="83">
        <f t="shared" si="199"/>
        <v>733.33333333333326</v>
      </c>
      <c r="E1597">
        <f t="shared" si="195"/>
        <v>0</v>
      </c>
      <c r="G1597">
        <v>1547</v>
      </c>
      <c r="H1597" s="13">
        <f t="shared" si="200"/>
        <v>-1.0275684203264746E-2</v>
      </c>
      <c r="I1597">
        <f t="shared" si="201"/>
        <v>156.02292934948184</v>
      </c>
      <c r="J1597">
        <f t="shared" si="196"/>
        <v>680.63547598736056</v>
      </c>
      <c r="K1597" s="27">
        <f t="shared" si="197"/>
        <v>-4759.7899911971426</v>
      </c>
    </row>
    <row r="1598" spans="1:11" x14ac:dyDescent="0.25">
      <c r="A1598" s="26">
        <v>1548</v>
      </c>
      <c r="B1598" s="82">
        <f t="shared" si="198"/>
        <v>0</v>
      </c>
      <c r="C1598" s="58">
        <f t="shared" si="194"/>
        <v>171.9194128119324</v>
      </c>
      <c r="D1598" s="83">
        <f t="shared" si="199"/>
        <v>733.33333333333326</v>
      </c>
      <c r="E1598">
        <f t="shared" si="195"/>
        <v>0</v>
      </c>
      <c r="G1598">
        <v>1548</v>
      </c>
      <c r="H1598" s="13">
        <f t="shared" si="200"/>
        <v>-1.0275684203264746E-2</v>
      </c>
      <c r="I1598">
        <f t="shared" si="201"/>
        <v>156.01265366527858</v>
      </c>
      <c r="J1598">
        <f t="shared" si="196"/>
        <v>680.55379311171191</v>
      </c>
      <c r="K1598" s="27">
        <f t="shared" si="197"/>
        <v>-4758.6452339854359</v>
      </c>
    </row>
    <row r="1599" spans="1:11" x14ac:dyDescent="0.25">
      <c r="A1599" s="26">
        <v>1549</v>
      </c>
      <c r="B1599" s="82">
        <f t="shared" si="198"/>
        <v>0</v>
      </c>
      <c r="C1599" s="58">
        <f t="shared" si="194"/>
        <v>171.9194128119324</v>
      </c>
      <c r="D1599" s="83">
        <f t="shared" si="199"/>
        <v>733.33333333333326</v>
      </c>
      <c r="E1599">
        <f t="shared" si="195"/>
        <v>0</v>
      </c>
      <c r="G1599">
        <v>1549</v>
      </c>
      <c r="H1599" s="13">
        <f t="shared" si="200"/>
        <v>-1.0275684203264746E-2</v>
      </c>
      <c r="I1599">
        <f t="shared" si="201"/>
        <v>156.00237798107531</v>
      </c>
      <c r="J1599">
        <f t="shared" si="196"/>
        <v>680.47177916434748</v>
      </c>
      <c r="K1599" s="27">
        <f t="shared" si="197"/>
        <v>-4757.4959568830573</v>
      </c>
    </row>
    <row r="1600" spans="1:11" x14ac:dyDescent="0.25">
      <c r="A1600" s="26">
        <v>1550</v>
      </c>
      <c r="B1600" s="82">
        <f t="shared" si="198"/>
        <v>0</v>
      </c>
      <c r="C1600" s="58">
        <f t="shared" si="194"/>
        <v>171.9194128119324</v>
      </c>
      <c r="D1600" s="83">
        <f t="shared" si="199"/>
        <v>733.33333333333326</v>
      </c>
      <c r="E1600">
        <f t="shared" si="195"/>
        <v>0</v>
      </c>
      <c r="G1600">
        <v>1550</v>
      </c>
      <c r="H1600" s="13">
        <f t="shared" si="200"/>
        <v>-1.0275684203264746E-2</v>
      </c>
      <c r="I1600">
        <f t="shared" si="201"/>
        <v>155.99210229687205</v>
      </c>
      <c r="J1600">
        <f t="shared" si="196"/>
        <v>680.38943015018299</v>
      </c>
      <c r="K1600" s="27">
        <f t="shared" si="197"/>
        <v>-4756.3421051499417</v>
      </c>
    </row>
    <row r="1601" spans="1:11" x14ac:dyDescent="0.25">
      <c r="A1601" s="26">
        <v>1551</v>
      </c>
      <c r="B1601" s="82">
        <f t="shared" si="198"/>
        <v>0</v>
      </c>
      <c r="C1601" s="58">
        <f t="shared" si="194"/>
        <v>171.9194128119324</v>
      </c>
      <c r="D1601" s="83">
        <f t="shared" si="199"/>
        <v>733.33333333333326</v>
      </c>
      <c r="E1601">
        <f t="shared" si="195"/>
        <v>0</v>
      </c>
      <c r="G1601">
        <v>1551</v>
      </c>
      <c r="H1601" s="13">
        <f t="shared" si="200"/>
        <v>-1.0275684203264746E-2</v>
      </c>
      <c r="I1601">
        <f t="shared" si="201"/>
        <v>155.98182661266878</v>
      </c>
      <c r="J1601">
        <f t="shared" si="196"/>
        <v>680.30674199287523</v>
      </c>
      <c r="K1601" s="27">
        <f t="shared" si="197"/>
        <v>-4755.183622927997</v>
      </c>
    </row>
    <row r="1602" spans="1:11" x14ac:dyDescent="0.25">
      <c r="A1602" s="26">
        <v>1552</v>
      </c>
      <c r="B1602" s="82">
        <f t="shared" si="198"/>
        <v>0</v>
      </c>
      <c r="C1602" s="58">
        <f t="shared" si="194"/>
        <v>171.9194128119324</v>
      </c>
      <c r="D1602" s="83">
        <f t="shared" si="199"/>
        <v>733.33333333333326</v>
      </c>
      <c r="E1602">
        <f t="shared" si="195"/>
        <v>0</v>
      </c>
      <c r="G1602">
        <v>1552</v>
      </c>
      <c r="H1602" s="13">
        <f t="shared" si="200"/>
        <v>-1.0275684203264746E-2</v>
      </c>
      <c r="I1602">
        <f t="shared" si="201"/>
        <v>155.97155092846552</v>
      </c>
      <c r="J1602">
        <f t="shared" si="196"/>
        <v>680.2237105324873</v>
      </c>
      <c r="K1602" s="27">
        <f t="shared" si="197"/>
        <v>-4754.020453208861</v>
      </c>
    </row>
    <row r="1603" spans="1:11" x14ac:dyDescent="0.25">
      <c r="A1603" s="26">
        <v>1553</v>
      </c>
      <c r="B1603" s="82">
        <f t="shared" si="198"/>
        <v>0</v>
      </c>
      <c r="C1603" s="58">
        <f t="shared" si="194"/>
        <v>171.9194128119324</v>
      </c>
      <c r="D1603" s="83">
        <f t="shared" si="199"/>
        <v>733.33333333333326</v>
      </c>
      <c r="E1603">
        <f t="shared" si="195"/>
        <v>0</v>
      </c>
      <c r="G1603">
        <v>1553</v>
      </c>
      <c r="H1603" s="13">
        <f t="shared" si="200"/>
        <v>-1.0275684203264746E-2</v>
      </c>
      <c r="I1603">
        <f t="shared" si="201"/>
        <v>155.96127524426225</v>
      </c>
      <c r="J1603">
        <f t="shared" si="196"/>
        <v>680.14033152306843</v>
      </c>
      <c r="K1603" s="27">
        <f t="shared" si="197"/>
        <v>-4752.8525378004497</v>
      </c>
    </row>
    <row r="1604" spans="1:11" x14ac:dyDescent="0.25">
      <c r="A1604" s="26">
        <v>1554</v>
      </c>
      <c r="B1604" s="82">
        <f t="shared" si="198"/>
        <v>0</v>
      </c>
      <c r="C1604" s="58">
        <f t="shared" si="194"/>
        <v>171.9194128119324</v>
      </c>
      <c r="D1604" s="83">
        <f t="shared" si="199"/>
        <v>733.33333333333326</v>
      </c>
      <c r="E1604">
        <f t="shared" si="195"/>
        <v>0</v>
      </c>
      <c r="G1604">
        <v>1554</v>
      </c>
      <c r="H1604" s="13">
        <f t="shared" si="200"/>
        <v>-1.0275684203264746E-2</v>
      </c>
      <c r="I1604">
        <f t="shared" si="201"/>
        <v>155.95099956005899</v>
      </c>
      <c r="J1604">
        <f t="shared" si="196"/>
        <v>680.0566006301417</v>
      </c>
      <c r="K1604" s="27">
        <f t="shared" si="197"/>
        <v>-4751.6798172922327</v>
      </c>
    </row>
    <row r="1605" spans="1:11" x14ac:dyDescent="0.25">
      <c r="A1605" s="26">
        <v>1555</v>
      </c>
      <c r="B1605" s="82">
        <f t="shared" si="198"/>
        <v>0</v>
      </c>
      <c r="C1605" s="58">
        <f t="shared" si="194"/>
        <v>171.9194128119324</v>
      </c>
      <c r="D1605" s="83">
        <f t="shared" si="199"/>
        <v>733.33333333333326</v>
      </c>
      <c r="E1605">
        <f t="shared" si="195"/>
        <v>0</v>
      </c>
      <c r="G1605">
        <v>1555</v>
      </c>
      <c r="H1605" s="13">
        <f t="shared" si="200"/>
        <v>-1.0275684203264746E-2</v>
      </c>
      <c r="I1605">
        <f t="shared" si="201"/>
        <v>155.94072387585572</v>
      </c>
      <c r="J1605">
        <f t="shared" si="196"/>
        <v>679.97251342809727</v>
      </c>
      <c r="K1605" s="27">
        <f t="shared" si="197"/>
        <v>-4750.5022310192135</v>
      </c>
    </row>
    <row r="1606" spans="1:11" x14ac:dyDescent="0.25">
      <c r="A1606" s="26">
        <v>1556</v>
      </c>
      <c r="B1606" s="82">
        <f t="shared" si="198"/>
        <v>0</v>
      </c>
      <c r="C1606" s="58">
        <f t="shared" si="194"/>
        <v>171.9194128119324</v>
      </c>
      <c r="D1606" s="83">
        <f t="shared" si="199"/>
        <v>733.33333333333326</v>
      </c>
      <c r="E1606">
        <f t="shared" si="195"/>
        <v>0</v>
      </c>
      <c r="G1606">
        <v>1556</v>
      </c>
      <c r="H1606" s="13">
        <f t="shared" si="200"/>
        <v>-1.0275684203264746E-2</v>
      </c>
      <c r="I1606">
        <f t="shared" si="201"/>
        <v>155.93044819165246</v>
      </c>
      <c r="J1606">
        <f t="shared" si="196"/>
        <v>679.88806539748589</v>
      </c>
      <c r="K1606" s="27">
        <f t="shared" si="197"/>
        <v>-4749.3197170244994</v>
      </c>
    </row>
    <row r="1607" spans="1:11" x14ac:dyDescent="0.25">
      <c r="A1607" s="26">
        <v>1557</v>
      </c>
      <c r="B1607" s="82">
        <f t="shared" si="198"/>
        <v>0</v>
      </c>
      <c r="C1607" s="58">
        <f t="shared" si="194"/>
        <v>171.9194128119324</v>
      </c>
      <c r="D1607" s="83">
        <f t="shared" si="199"/>
        <v>733.33333333333326</v>
      </c>
      <c r="E1607">
        <f t="shared" si="195"/>
        <v>0</v>
      </c>
      <c r="G1607">
        <v>1557</v>
      </c>
      <c r="H1607" s="13">
        <f t="shared" si="200"/>
        <v>-1.0275684203264746E-2</v>
      </c>
      <c r="I1607">
        <f t="shared" si="201"/>
        <v>155.92017250744919</v>
      </c>
      <c r="J1607">
        <f t="shared" si="196"/>
        <v>679.80325192220857</v>
      </c>
      <c r="K1607" s="27">
        <f t="shared" si="197"/>
        <v>-4748.1322120204431</v>
      </c>
    </row>
    <row r="1608" spans="1:11" x14ac:dyDescent="0.25">
      <c r="A1608" s="26">
        <v>1558</v>
      </c>
      <c r="B1608" s="82">
        <f t="shared" si="198"/>
        <v>0</v>
      </c>
      <c r="C1608" s="58">
        <f t="shared" si="194"/>
        <v>171.9194128119324</v>
      </c>
      <c r="D1608" s="83">
        <f t="shared" si="199"/>
        <v>733.33333333333326</v>
      </c>
      <c r="E1608">
        <f t="shared" si="195"/>
        <v>0</v>
      </c>
      <c r="G1608">
        <v>1558</v>
      </c>
      <c r="H1608" s="13">
        <f t="shared" si="200"/>
        <v>-1.0275684203264746E-2</v>
      </c>
      <c r="I1608">
        <f t="shared" si="201"/>
        <v>155.90989682324593</v>
      </c>
      <c r="J1608">
        <f t="shared" si="196"/>
        <v>679.71806828659601</v>
      </c>
      <c r="K1608" s="27">
        <f t="shared" si="197"/>
        <v>-4746.9396513482625</v>
      </c>
    </row>
    <row r="1609" spans="1:11" x14ac:dyDescent="0.25">
      <c r="A1609" s="26">
        <v>1559</v>
      </c>
      <c r="B1609" s="82">
        <f t="shared" si="198"/>
        <v>0</v>
      </c>
      <c r="C1609" s="58">
        <f t="shared" si="194"/>
        <v>171.9194128119324</v>
      </c>
      <c r="D1609" s="83">
        <f t="shared" si="199"/>
        <v>733.33333333333326</v>
      </c>
      <c r="E1609">
        <f t="shared" si="195"/>
        <v>0</v>
      </c>
      <c r="G1609">
        <v>1559</v>
      </c>
      <c r="H1609" s="13">
        <f t="shared" si="200"/>
        <v>-1.0275684203264746E-2</v>
      </c>
      <c r="I1609">
        <f t="shared" si="201"/>
        <v>155.89962113904267</v>
      </c>
      <c r="J1609">
        <f t="shared" si="196"/>
        <v>679.63250967237502</v>
      </c>
      <c r="K1609" s="27">
        <f t="shared" si="197"/>
        <v>-4745.741968936064</v>
      </c>
    </row>
    <row r="1610" spans="1:11" x14ac:dyDescent="0.25">
      <c r="A1610" s="26">
        <v>1560</v>
      </c>
      <c r="B1610" s="82">
        <f t="shared" si="198"/>
        <v>0</v>
      </c>
      <c r="C1610" s="58">
        <f t="shared" si="194"/>
        <v>171.9194128119324</v>
      </c>
      <c r="D1610" s="83">
        <f t="shared" si="199"/>
        <v>733.33333333333326</v>
      </c>
      <c r="E1610">
        <f t="shared" si="195"/>
        <v>0</v>
      </c>
      <c r="G1610">
        <v>1560</v>
      </c>
      <c r="H1610" s="13">
        <f t="shared" si="200"/>
        <v>-1.0275684203264746E-2</v>
      </c>
      <c r="I1610">
        <f t="shared" si="201"/>
        <v>155.8893454548394</v>
      </c>
      <c r="J1610">
        <f t="shared" si="196"/>
        <v>679.54657115551379</v>
      </c>
      <c r="K1610" s="27">
        <f t="shared" si="197"/>
        <v>-4744.5390972552132</v>
      </c>
    </row>
    <row r="1611" spans="1:11" x14ac:dyDescent="0.25">
      <c r="A1611" s="26">
        <v>1561</v>
      </c>
      <c r="B1611" s="82">
        <f t="shared" si="198"/>
        <v>0</v>
      </c>
      <c r="C1611" s="58">
        <f t="shared" si="194"/>
        <v>171.9194128119324</v>
      </c>
      <c r="D1611" s="83">
        <f t="shared" si="199"/>
        <v>733.33333333333326</v>
      </c>
      <c r="E1611">
        <f t="shared" si="195"/>
        <v>0</v>
      </c>
      <c r="G1611">
        <v>1561</v>
      </c>
      <c r="H1611" s="13">
        <f t="shared" si="200"/>
        <v>-1.0275684203264746E-2</v>
      </c>
      <c r="I1611">
        <f t="shared" si="201"/>
        <v>155.87906977063614</v>
      </c>
      <c r="J1611">
        <f t="shared" si="196"/>
        <v>679.46024770294184</v>
      </c>
      <c r="K1611" s="27">
        <f t="shared" si="197"/>
        <v>-4743.3309672749438</v>
      </c>
    </row>
    <row r="1612" spans="1:11" x14ac:dyDescent="0.25">
      <c r="A1612" s="26">
        <v>1562</v>
      </c>
      <c r="B1612" s="82">
        <f t="shared" si="198"/>
        <v>0</v>
      </c>
      <c r="C1612" s="58">
        <f t="shared" si="194"/>
        <v>171.9194128119324</v>
      </c>
      <c r="D1612" s="83">
        <f t="shared" si="199"/>
        <v>733.33333333333326</v>
      </c>
      <c r="E1612">
        <f t="shared" si="195"/>
        <v>0</v>
      </c>
      <c r="G1612">
        <v>1562</v>
      </c>
      <c r="H1612" s="13">
        <f t="shared" si="200"/>
        <v>-1.0275684203264746E-2</v>
      </c>
      <c r="I1612">
        <f t="shared" si="201"/>
        <v>155.86879408643287</v>
      </c>
      <c r="J1612">
        <f t="shared" si="196"/>
        <v>679.37353416913857</v>
      </c>
      <c r="K1612" s="27">
        <f t="shared" si="197"/>
        <v>-4742.1175084151382</v>
      </c>
    </row>
    <row r="1613" spans="1:11" x14ac:dyDescent="0.25">
      <c r="A1613" s="26">
        <v>1563</v>
      </c>
      <c r="B1613" s="82">
        <f t="shared" si="198"/>
        <v>0</v>
      </c>
      <c r="C1613" s="58">
        <f t="shared" si="194"/>
        <v>171.9194128119324</v>
      </c>
      <c r="D1613" s="83">
        <f t="shared" si="199"/>
        <v>733.33333333333326</v>
      </c>
      <c r="E1613">
        <f t="shared" si="195"/>
        <v>0</v>
      </c>
      <c r="G1613">
        <v>1563</v>
      </c>
      <c r="H1613" s="13">
        <f t="shared" si="200"/>
        <v>-1.0275684203264746E-2</v>
      </c>
      <c r="I1613">
        <f t="shared" si="201"/>
        <v>155.85851840222961</v>
      </c>
      <c r="J1613">
        <f t="shared" si="196"/>
        <v>679.2864252925815</v>
      </c>
      <c r="K1613" s="27">
        <f t="shared" si="197"/>
        <v>-4740.8986484971838</v>
      </c>
    </row>
    <row r="1614" spans="1:11" x14ac:dyDescent="0.25">
      <c r="A1614" s="26">
        <v>1564</v>
      </c>
      <c r="B1614" s="82">
        <f t="shared" si="198"/>
        <v>0</v>
      </c>
      <c r="C1614" s="58">
        <f t="shared" si="194"/>
        <v>171.9194128119324</v>
      </c>
      <c r="D1614" s="83">
        <f t="shared" si="199"/>
        <v>733.33333333333326</v>
      </c>
      <c r="E1614">
        <f t="shared" si="195"/>
        <v>0</v>
      </c>
      <c r="G1614">
        <v>1564</v>
      </c>
      <c r="H1614" s="13">
        <f t="shared" si="200"/>
        <v>-1.0275684203264746E-2</v>
      </c>
      <c r="I1614">
        <f t="shared" si="201"/>
        <v>155.84824271802634</v>
      </c>
      <c r="J1614">
        <f t="shared" si="196"/>
        <v>679.19891569205163</v>
      </c>
      <c r="K1614" s="27">
        <f t="shared" si="197"/>
        <v>-4739.6743136927989</v>
      </c>
    </row>
    <row r="1615" spans="1:11" x14ac:dyDescent="0.25">
      <c r="A1615" s="26">
        <v>1565</v>
      </c>
      <c r="B1615" s="82">
        <f t="shared" si="198"/>
        <v>0</v>
      </c>
      <c r="C1615" s="58">
        <f t="shared" si="194"/>
        <v>171.9194128119324</v>
      </c>
      <c r="D1615" s="83">
        <f t="shared" si="199"/>
        <v>733.33333333333326</v>
      </c>
      <c r="E1615">
        <f t="shared" si="195"/>
        <v>0</v>
      </c>
      <c r="G1615">
        <v>1565</v>
      </c>
      <c r="H1615" s="13">
        <f t="shared" si="200"/>
        <v>-1.0275684203264746E-2</v>
      </c>
      <c r="I1615">
        <f t="shared" si="201"/>
        <v>155.83796703382308</v>
      </c>
      <c r="J1615">
        <f t="shared" si="196"/>
        <v>679.1109998627835</v>
      </c>
      <c r="K1615" s="27">
        <f t="shared" si="197"/>
        <v>-4738.4444284707433</v>
      </c>
    </row>
    <row r="1616" spans="1:11" x14ac:dyDescent="0.25">
      <c r="A1616" s="26">
        <v>1566</v>
      </c>
      <c r="B1616" s="82">
        <f t="shared" si="198"/>
        <v>0</v>
      </c>
      <c r="C1616" s="58">
        <f t="shared" ref="C1616:C1679" si="202">($C$37-$C$36)/2000+C1615</f>
        <v>171.9194128119324</v>
      </c>
      <c r="D1616" s="83">
        <f t="shared" si="199"/>
        <v>733.33333333333326</v>
      </c>
      <c r="E1616">
        <f t="shared" si="195"/>
        <v>0</v>
      </c>
      <c r="G1616">
        <v>1566</v>
      </c>
      <c r="H1616" s="13">
        <f t="shared" si="200"/>
        <v>-1.0275684203264746E-2</v>
      </c>
      <c r="I1616">
        <f t="shared" si="201"/>
        <v>155.82769134961981</v>
      </c>
      <c r="J1616">
        <f t="shared" si="196"/>
        <v>679.0226721724564</v>
      </c>
      <c r="K1616" s="27">
        <f t="shared" si="197"/>
        <v>-4737.2089155412878</v>
      </c>
    </row>
    <row r="1617" spans="1:11" x14ac:dyDescent="0.25">
      <c r="A1617" s="26">
        <v>1567</v>
      </c>
      <c r="B1617" s="82">
        <f t="shared" si="198"/>
        <v>0</v>
      </c>
      <c r="C1617" s="58">
        <f t="shared" si="202"/>
        <v>171.9194128119324</v>
      </c>
      <c r="D1617" s="83">
        <f t="shared" si="199"/>
        <v>733.33333333333326</v>
      </c>
      <c r="E1617">
        <f t="shared" si="195"/>
        <v>0</v>
      </c>
      <c r="G1617">
        <v>1567</v>
      </c>
      <c r="H1617" s="13">
        <f t="shared" si="200"/>
        <v>-1.0275684203264746E-2</v>
      </c>
      <c r="I1617">
        <f t="shared" si="201"/>
        <v>155.81741566541655</v>
      </c>
      <c r="J1617">
        <f t="shared" si="196"/>
        <v>678.93392685701542</v>
      </c>
      <c r="K1617" s="27">
        <f t="shared" si="197"/>
        <v>-4735.9676957983265</v>
      </c>
    </row>
    <row r="1618" spans="1:11" x14ac:dyDescent="0.25">
      <c r="A1618" s="26">
        <v>1568</v>
      </c>
      <c r="B1618" s="82">
        <f t="shared" si="198"/>
        <v>0</v>
      </c>
      <c r="C1618" s="58">
        <f t="shared" si="202"/>
        <v>171.9194128119324</v>
      </c>
      <c r="D1618" s="83">
        <f t="shared" si="199"/>
        <v>733.33333333333326</v>
      </c>
      <c r="E1618">
        <f t="shared" si="195"/>
        <v>0</v>
      </c>
      <c r="G1618">
        <v>1568</v>
      </c>
      <c r="H1618" s="13">
        <f t="shared" si="200"/>
        <v>-1.0275684203264746E-2</v>
      </c>
      <c r="I1618">
        <f t="shared" si="201"/>
        <v>155.80713998121328</v>
      </c>
      <c r="J1618">
        <f t="shared" si="196"/>
        <v>678.84475801631584</v>
      </c>
      <c r="K1618" s="27">
        <f t="shared" si="197"/>
        <v>-4734.7206882590335</v>
      </c>
    </row>
    <row r="1619" spans="1:11" x14ac:dyDescent="0.25">
      <c r="A1619" s="26">
        <v>1569</v>
      </c>
      <c r="B1619" s="82">
        <f t="shared" si="198"/>
        <v>0</v>
      </c>
      <c r="C1619" s="58">
        <f t="shared" si="202"/>
        <v>171.9194128119324</v>
      </c>
      <c r="D1619" s="83">
        <f t="shared" si="199"/>
        <v>733.33333333333326</v>
      </c>
      <c r="E1619">
        <f t="shared" si="195"/>
        <v>0</v>
      </c>
      <c r="G1619">
        <v>1569</v>
      </c>
      <c r="H1619" s="13">
        <f t="shared" si="200"/>
        <v>-1.0275684203264746E-2</v>
      </c>
      <c r="I1619">
        <f t="shared" si="201"/>
        <v>155.79686429701002</v>
      </c>
      <c r="J1619">
        <f t="shared" si="196"/>
        <v>678.75515960957989</v>
      </c>
      <c r="K1619" s="27">
        <f t="shared" si="197"/>
        <v>-4733.4678100009041</v>
      </c>
    </row>
    <row r="1620" spans="1:11" x14ac:dyDescent="0.25">
      <c r="A1620" s="26">
        <v>1570</v>
      </c>
      <c r="B1620" s="82">
        <f t="shared" si="198"/>
        <v>0</v>
      </c>
      <c r="C1620" s="58">
        <f t="shared" si="202"/>
        <v>171.9194128119324</v>
      </c>
      <c r="D1620" s="83">
        <f t="shared" si="199"/>
        <v>733.33333333333326</v>
      </c>
      <c r="E1620">
        <f t="shared" si="195"/>
        <v>0</v>
      </c>
      <c r="G1620">
        <v>1570</v>
      </c>
      <c r="H1620" s="13">
        <f t="shared" si="200"/>
        <v>-1.0275684203264746E-2</v>
      </c>
      <c r="I1620">
        <f t="shared" si="201"/>
        <v>155.78658861280675</v>
      </c>
      <c r="J1620">
        <f t="shared" si="196"/>
        <v>678.66512545065711</v>
      </c>
      <c r="K1620" s="27">
        <f t="shared" si="197"/>
        <v>-4732.2089760960471</v>
      </c>
    </row>
    <row r="1621" spans="1:11" x14ac:dyDescent="0.25">
      <c r="A1621" s="26">
        <v>1571</v>
      </c>
      <c r="B1621" s="82">
        <f t="shared" si="198"/>
        <v>0</v>
      </c>
      <c r="C1621" s="58">
        <f t="shared" si="202"/>
        <v>171.9194128119324</v>
      </c>
      <c r="D1621" s="83">
        <f t="shared" si="199"/>
        <v>733.33333333333326</v>
      </c>
      <c r="E1621">
        <f t="shared" si="195"/>
        <v>0</v>
      </c>
      <c r="G1621">
        <v>1571</v>
      </c>
      <c r="H1621" s="13">
        <f t="shared" si="200"/>
        <v>-1.0275684203264746E-2</v>
      </c>
      <c r="I1621">
        <f t="shared" si="201"/>
        <v>155.77631292860349</v>
      </c>
      <c r="J1621">
        <f t="shared" si="196"/>
        <v>678.57464920307632</v>
      </c>
      <c r="K1621" s="27">
        <f t="shared" si="197"/>
        <v>-4730.9440995426075</v>
      </c>
    </row>
    <row r="1622" spans="1:11" x14ac:dyDescent="0.25">
      <c r="A1622" s="26">
        <v>1572</v>
      </c>
      <c r="B1622" s="82">
        <f t="shared" si="198"/>
        <v>0</v>
      </c>
      <c r="C1622" s="58">
        <f t="shared" si="202"/>
        <v>171.9194128119324</v>
      </c>
      <c r="D1622" s="83">
        <f t="shared" si="199"/>
        <v>733.33333333333326</v>
      </c>
      <c r="E1622">
        <f t="shared" si="195"/>
        <v>0</v>
      </c>
      <c r="G1622">
        <v>1572</v>
      </c>
      <c r="H1622" s="13">
        <f t="shared" si="200"/>
        <v>-1.0275684203264746E-2</v>
      </c>
      <c r="I1622">
        <f t="shared" si="201"/>
        <v>155.76603724440022</v>
      </c>
      <c r="J1622">
        <f t="shared" si="196"/>
        <v>678.48372437488047</v>
      </c>
      <c r="K1622" s="27">
        <f t="shared" si="197"/>
        <v>-4729.6730911931281</v>
      </c>
    </row>
    <row r="1623" spans="1:11" x14ac:dyDescent="0.25">
      <c r="A1623" s="26">
        <v>1573</v>
      </c>
      <c r="B1623" s="82">
        <f t="shared" si="198"/>
        <v>0</v>
      </c>
      <c r="C1623" s="58">
        <f t="shared" si="202"/>
        <v>171.9194128119324</v>
      </c>
      <c r="D1623" s="83">
        <f t="shared" si="199"/>
        <v>733.33333333333326</v>
      </c>
      <c r="E1623">
        <f t="shared" si="195"/>
        <v>0</v>
      </c>
      <c r="G1623">
        <v>1573</v>
      </c>
      <c r="H1623" s="13">
        <f t="shared" si="200"/>
        <v>-1.0275684203264746E-2</v>
      </c>
      <c r="I1623">
        <f t="shared" si="201"/>
        <v>155.75576156019696</v>
      </c>
      <c r="J1623">
        <f t="shared" si="196"/>
        <v>678.39234431322927</v>
      </c>
      <c r="K1623" s="27">
        <f t="shared" si="197"/>
        <v>-4728.3958596796983</v>
      </c>
    </row>
    <row r="1624" spans="1:11" x14ac:dyDescent="0.25">
      <c r="A1624" s="26">
        <v>1574</v>
      </c>
      <c r="B1624" s="82">
        <f t="shared" si="198"/>
        <v>0</v>
      </c>
      <c r="C1624" s="58">
        <f t="shared" si="202"/>
        <v>171.9194128119324</v>
      </c>
      <c r="D1624" s="83">
        <f t="shared" si="199"/>
        <v>733.33333333333326</v>
      </c>
      <c r="E1624">
        <f t="shared" si="195"/>
        <v>0</v>
      </c>
      <c r="G1624">
        <v>1574</v>
      </c>
      <c r="H1624" s="13">
        <f t="shared" si="200"/>
        <v>-1.0275684203264746E-2</v>
      </c>
      <c r="I1624">
        <f t="shared" si="201"/>
        <v>155.74548587599369</v>
      </c>
      <c r="J1624">
        <f t="shared" si="196"/>
        <v>678.30050219876057</v>
      </c>
      <c r="K1624" s="27">
        <f t="shared" si="197"/>
        <v>-4727.1123113357207</v>
      </c>
    </row>
    <row r="1625" spans="1:11" x14ac:dyDescent="0.25">
      <c r="A1625" s="26">
        <v>1575</v>
      </c>
      <c r="B1625" s="82">
        <f t="shared" si="198"/>
        <v>0</v>
      </c>
      <c r="C1625" s="58">
        <f t="shared" si="202"/>
        <v>171.9194128119324</v>
      </c>
      <c r="D1625" s="83">
        <f t="shared" si="199"/>
        <v>733.33333333333326</v>
      </c>
      <c r="E1625">
        <f t="shared" si="195"/>
        <v>0</v>
      </c>
      <c r="G1625">
        <v>1575</v>
      </c>
      <c r="H1625" s="13">
        <f t="shared" si="200"/>
        <v>-1.0275684203264746E-2</v>
      </c>
      <c r="I1625">
        <f t="shared" si="201"/>
        <v>155.73521019179043</v>
      </c>
      <c r="J1625">
        <f t="shared" si="196"/>
        <v>678.20819103969234</v>
      </c>
      <c r="K1625" s="27">
        <f t="shared" si="197"/>
        <v>-4725.8223501140828</v>
      </c>
    </row>
    <row r="1626" spans="1:11" x14ac:dyDescent="0.25">
      <c r="A1626" s="26">
        <v>1576</v>
      </c>
      <c r="B1626" s="82">
        <f t="shared" si="198"/>
        <v>0</v>
      </c>
      <c r="C1626" s="58">
        <f t="shared" si="202"/>
        <v>171.9194128119324</v>
      </c>
      <c r="D1626" s="83">
        <f t="shared" si="199"/>
        <v>733.33333333333326</v>
      </c>
      <c r="E1626">
        <f t="shared" si="195"/>
        <v>0</v>
      </c>
      <c r="G1626">
        <v>1576</v>
      </c>
      <c r="H1626" s="13">
        <f t="shared" si="200"/>
        <v>-1.0275684203264746E-2</v>
      </c>
      <c r="I1626">
        <f t="shared" si="201"/>
        <v>155.72493450758716</v>
      </c>
      <c r="J1626">
        <f t="shared" si="196"/>
        <v>678.11540366565555</v>
      </c>
      <c r="K1626" s="27">
        <f t="shared" si="197"/>
        <v>-4724.5258775015582</v>
      </c>
    </row>
    <row r="1627" spans="1:11" x14ac:dyDescent="0.25">
      <c r="A1627" s="26">
        <v>1577</v>
      </c>
      <c r="B1627" s="82">
        <f t="shared" si="198"/>
        <v>0</v>
      </c>
      <c r="C1627" s="58">
        <f t="shared" si="202"/>
        <v>171.9194128119324</v>
      </c>
      <c r="D1627" s="83">
        <f t="shared" si="199"/>
        <v>733.33333333333326</v>
      </c>
      <c r="E1627">
        <f t="shared" si="195"/>
        <v>0</v>
      </c>
      <c r="G1627">
        <v>1577</v>
      </c>
      <c r="H1627" s="13">
        <f t="shared" si="200"/>
        <v>-1.0275684203264746E-2</v>
      </c>
      <c r="I1627">
        <f t="shared" si="201"/>
        <v>155.7146588233839</v>
      </c>
      <c r="J1627">
        <f t="shared" si="196"/>
        <v>678.02213272124004</v>
      </c>
      <c r="K1627" s="27">
        <f t="shared" si="197"/>
        <v>-4723.2227924292056</v>
      </c>
    </row>
    <row r="1628" spans="1:11" x14ac:dyDescent="0.25">
      <c r="A1628" s="26">
        <v>1578</v>
      </c>
      <c r="B1628" s="82">
        <f t="shared" si="198"/>
        <v>0</v>
      </c>
      <c r="C1628" s="58">
        <f t="shared" si="202"/>
        <v>171.9194128119324</v>
      </c>
      <c r="D1628" s="83">
        <f t="shared" si="199"/>
        <v>733.33333333333326</v>
      </c>
      <c r="E1628">
        <f t="shared" si="195"/>
        <v>0</v>
      </c>
      <c r="G1628">
        <v>1578</v>
      </c>
      <c r="H1628" s="13">
        <f t="shared" si="200"/>
        <v>-1.0275684203264746E-2</v>
      </c>
      <c r="I1628">
        <f t="shared" si="201"/>
        <v>155.70438313918063</v>
      </c>
      <c r="J1628">
        <f t="shared" si="196"/>
        <v>677.92837065923641</v>
      </c>
      <c r="K1628" s="27">
        <f t="shared" si="197"/>
        <v>-4721.9129911785249</v>
      </c>
    </row>
    <row r="1629" spans="1:11" x14ac:dyDescent="0.25">
      <c r="A1629" s="26">
        <v>1579</v>
      </c>
      <c r="B1629" s="82">
        <f t="shared" si="198"/>
        <v>0</v>
      </c>
      <c r="C1629" s="58">
        <f t="shared" si="202"/>
        <v>171.9194128119324</v>
      </c>
      <c r="D1629" s="83">
        <f t="shared" si="199"/>
        <v>733.33333333333326</v>
      </c>
      <c r="E1629">
        <f t="shared" si="195"/>
        <v>0</v>
      </c>
      <c r="G1629">
        <v>1579</v>
      </c>
      <c r="H1629" s="13">
        <f t="shared" si="200"/>
        <v>-1.0275684203264746E-2</v>
      </c>
      <c r="I1629">
        <f t="shared" si="201"/>
        <v>155.69410745497737</v>
      </c>
      <c r="J1629">
        <f t="shared" si="196"/>
        <v>677.8341097335574</v>
      </c>
      <c r="K1629" s="27">
        <f t="shared" si="197"/>
        <v>-4720.5963672831549</v>
      </c>
    </row>
    <row r="1630" spans="1:11" x14ac:dyDescent="0.25">
      <c r="A1630" s="26">
        <v>1580</v>
      </c>
      <c r="B1630" s="82">
        <f t="shared" si="198"/>
        <v>0</v>
      </c>
      <c r="C1630" s="58">
        <f t="shared" si="202"/>
        <v>171.9194128119324</v>
      </c>
      <c r="D1630" s="83">
        <f t="shared" si="199"/>
        <v>733.33333333333326</v>
      </c>
      <c r="E1630">
        <f t="shared" si="195"/>
        <v>0</v>
      </c>
      <c r="G1630">
        <v>1580</v>
      </c>
      <c r="H1630" s="13">
        <f t="shared" si="200"/>
        <v>-1.0275684203264746E-2</v>
      </c>
      <c r="I1630">
        <f t="shared" si="201"/>
        <v>155.68383177077411</v>
      </c>
      <c r="J1630">
        <f t="shared" si="196"/>
        <v>677.73934199182145</v>
      </c>
      <c r="K1630" s="27">
        <f t="shared" si="197"/>
        <v>-4719.2728114258171</v>
      </c>
    </row>
    <row r="1631" spans="1:11" x14ac:dyDescent="0.25">
      <c r="A1631" s="26">
        <v>1581</v>
      </c>
      <c r="B1631" s="82">
        <f t="shared" si="198"/>
        <v>0</v>
      </c>
      <c r="C1631" s="58">
        <f t="shared" si="202"/>
        <v>171.9194128119324</v>
      </c>
      <c r="D1631" s="83">
        <f t="shared" si="199"/>
        <v>733.33333333333326</v>
      </c>
      <c r="E1631">
        <f t="shared" si="195"/>
        <v>0</v>
      </c>
      <c r="G1631">
        <v>1581</v>
      </c>
      <c r="H1631" s="13">
        <f t="shared" si="200"/>
        <v>-1.0275684203264746E-2</v>
      </c>
      <c r="I1631">
        <f t="shared" si="201"/>
        <v>155.67355608657084</v>
      </c>
      <c r="J1631">
        <f t="shared" si="196"/>
        <v>677.64405926757388</v>
      </c>
      <c r="K1631" s="27">
        <f t="shared" si="197"/>
        <v>-4717.9422113302362</v>
      </c>
    </row>
    <row r="1632" spans="1:11" x14ac:dyDescent="0.25">
      <c r="A1632" s="26">
        <v>1582</v>
      </c>
      <c r="B1632" s="82">
        <f t="shared" si="198"/>
        <v>0</v>
      </c>
      <c r="C1632" s="58">
        <f t="shared" si="202"/>
        <v>171.9194128119324</v>
      </c>
      <c r="D1632" s="83">
        <f t="shared" si="199"/>
        <v>733.33333333333326</v>
      </c>
      <c r="E1632">
        <f t="shared" si="195"/>
        <v>0</v>
      </c>
      <c r="G1632">
        <v>1582</v>
      </c>
      <c r="H1632" s="13">
        <f t="shared" si="200"/>
        <v>-1.0275684203264746E-2</v>
      </c>
      <c r="I1632">
        <f t="shared" si="201"/>
        <v>155.66328040236758</v>
      </c>
      <c r="J1632">
        <f t="shared" si="196"/>
        <v>677.54825317212931</v>
      </c>
      <c r="K1632" s="27">
        <f t="shared" si="197"/>
        <v>-4716.6044516477459</v>
      </c>
    </row>
    <row r="1633" spans="1:11" x14ac:dyDescent="0.25">
      <c r="A1633" s="26">
        <v>1583</v>
      </c>
      <c r="B1633" s="82">
        <f t="shared" si="198"/>
        <v>0</v>
      </c>
      <c r="C1633" s="58">
        <f t="shared" si="202"/>
        <v>171.9194128119324</v>
      </c>
      <c r="D1633" s="83">
        <f t="shared" si="199"/>
        <v>733.33333333333326</v>
      </c>
      <c r="E1633">
        <f t="shared" si="195"/>
        <v>0</v>
      </c>
      <c r="G1633">
        <v>1583</v>
      </c>
      <c r="H1633" s="13">
        <f t="shared" si="200"/>
        <v>-1.0275684203264746E-2</v>
      </c>
      <c r="I1633">
        <f t="shared" si="201"/>
        <v>155.65300471816431</v>
      </c>
      <c r="J1633">
        <f t="shared" si="196"/>
        <v>677.45191508600885</v>
      </c>
      <c r="K1633" s="27">
        <f t="shared" si="197"/>
        <v>-4715.2594138382283</v>
      </c>
    </row>
    <row r="1634" spans="1:11" x14ac:dyDescent="0.25">
      <c r="A1634" s="26">
        <v>1584</v>
      </c>
      <c r="B1634" s="82">
        <f t="shared" si="198"/>
        <v>0</v>
      </c>
      <c r="C1634" s="58">
        <f t="shared" si="202"/>
        <v>171.9194128119324</v>
      </c>
      <c r="D1634" s="83">
        <f t="shared" si="199"/>
        <v>733.33333333333326</v>
      </c>
      <c r="E1634">
        <f t="shared" si="195"/>
        <v>0</v>
      </c>
      <c r="G1634">
        <v>1584</v>
      </c>
      <c r="H1634" s="13">
        <f t="shared" si="200"/>
        <v>-1.0275684203264746E-2</v>
      </c>
      <c r="I1634">
        <f t="shared" si="201"/>
        <v>155.64272903396105</v>
      </c>
      <c r="J1634">
        <f t="shared" si="196"/>
        <v>677.35503614994809</v>
      </c>
      <c r="K1634" s="27">
        <f t="shared" si="197"/>
        <v>-4713.9069760450666</v>
      </c>
    </row>
    <row r="1635" spans="1:11" x14ac:dyDescent="0.25">
      <c r="A1635" s="26">
        <v>1585</v>
      </c>
      <c r="B1635" s="82">
        <f t="shared" si="198"/>
        <v>0</v>
      </c>
      <c r="C1635" s="58">
        <f t="shared" si="202"/>
        <v>171.9194128119324</v>
      </c>
      <c r="D1635" s="83">
        <f t="shared" si="199"/>
        <v>733.33333333333326</v>
      </c>
      <c r="E1635">
        <f t="shared" si="195"/>
        <v>0</v>
      </c>
      <c r="G1635">
        <v>1585</v>
      </c>
      <c r="H1635" s="13">
        <f t="shared" si="200"/>
        <v>-1.0275684203264746E-2</v>
      </c>
      <c r="I1635">
        <f t="shared" si="201"/>
        <v>155.63245334975778</v>
      </c>
      <c r="J1635">
        <f t="shared" si="196"/>
        <v>677.25760725545058</v>
      </c>
      <c r="K1635" s="27">
        <f t="shared" si="197"/>
        <v>-4712.5470129637188</v>
      </c>
    </row>
    <row r="1636" spans="1:11" x14ac:dyDescent="0.25">
      <c r="A1636" s="26">
        <v>1586</v>
      </c>
      <c r="B1636" s="82">
        <f t="shared" si="198"/>
        <v>0</v>
      </c>
      <c r="C1636" s="58">
        <f t="shared" si="202"/>
        <v>171.9194128119324</v>
      </c>
      <c r="D1636" s="83">
        <f t="shared" si="199"/>
        <v>733.33333333333326</v>
      </c>
      <c r="E1636">
        <f t="shared" si="195"/>
        <v>0</v>
      </c>
      <c r="G1636">
        <v>1586</v>
      </c>
      <c r="H1636" s="13">
        <f t="shared" si="200"/>
        <v>-1.0275684203264746E-2</v>
      </c>
      <c r="I1636">
        <f t="shared" si="201"/>
        <v>155.62217766555452</v>
      </c>
      <c r="J1636">
        <f t="shared" si="196"/>
        <v>677.15961903485561</v>
      </c>
      <c r="K1636" s="27">
        <f t="shared" si="197"/>
        <v>-4711.1793957035234</v>
      </c>
    </row>
    <row r="1637" spans="1:11" x14ac:dyDescent="0.25">
      <c r="A1637" s="26">
        <v>1587</v>
      </c>
      <c r="B1637" s="82">
        <f t="shared" si="198"/>
        <v>0</v>
      </c>
      <c r="C1637" s="58">
        <f t="shared" si="202"/>
        <v>171.9194128119324</v>
      </c>
      <c r="D1637" s="83">
        <f t="shared" si="199"/>
        <v>733.33333333333326</v>
      </c>
      <c r="E1637">
        <f t="shared" si="195"/>
        <v>0</v>
      </c>
      <c r="G1637">
        <v>1587</v>
      </c>
      <c r="H1637" s="13">
        <f t="shared" si="200"/>
        <v>-1.0275684203264746E-2</v>
      </c>
      <c r="I1637">
        <f t="shared" si="201"/>
        <v>155.61190198135125</v>
      </c>
      <c r="J1637">
        <f t="shared" si="196"/>
        <v>677.06106185089334</v>
      </c>
      <c r="K1637" s="27">
        <f t="shared" si="197"/>
        <v>-4709.8039916422922</v>
      </c>
    </row>
    <row r="1638" spans="1:11" x14ac:dyDescent="0.25">
      <c r="A1638" s="26">
        <v>1588</v>
      </c>
      <c r="B1638" s="82">
        <f t="shared" si="198"/>
        <v>0</v>
      </c>
      <c r="C1638" s="58">
        <f t="shared" si="202"/>
        <v>171.9194128119324</v>
      </c>
      <c r="D1638" s="83">
        <f t="shared" si="199"/>
        <v>733.33333333333326</v>
      </c>
      <c r="E1638">
        <f t="shared" si="195"/>
        <v>0</v>
      </c>
      <c r="G1638">
        <v>1588</v>
      </c>
      <c r="H1638" s="13">
        <f t="shared" si="200"/>
        <v>-1.0275684203264746E-2</v>
      </c>
      <c r="I1638">
        <f t="shared" si="201"/>
        <v>155.60162629714799</v>
      </c>
      <c r="J1638">
        <f t="shared" si="196"/>
        <v>676.96192578569037</v>
      </c>
      <c r="K1638" s="27">
        <f t="shared" si="197"/>
        <v>-4708.4206642732397</v>
      </c>
    </row>
    <row r="1639" spans="1:11" x14ac:dyDescent="0.25">
      <c r="A1639" s="26">
        <v>1589</v>
      </c>
      <c r="B1639" s="82">
        <f t="shared" si="198"/>
        <v>0</v>
      </c>
      <c r="C1639" s="58">
        <f t="shared" si="202"/>
        <v>171.9194128119324</v>
      </c>
      <c r="D1639" s="83">
        <f t="shared" si="199"/>
        <v>733.33333333333326</v>
      </c>
      <c r="E1639">
        <f t="shared" si="195"/>
        <v>0</v>
      </c>
      <c r="G1639">
        <v>1589</v>
      </c>
      <c r="H1639" s="13">
        <f t="shared" si="200"/>
        <v>-1.0275684203264746E-2</v>
      </c>
      <c r="I1639">
        <f t="shared" si="201"/>
        <v>155.59135061294472</v>
      </c>
      <c r="J1639">
        <f t="shared" si="196"/>
        <v>676.8622006291929</v>
      </c>
      <c r="K1639" s="27">
        <f t="shared" si="197"/>
        <v>-4707.0292730437386</v>
      </c>
    </row>
    <row r="1640" spans="1:11" x14ac:dyDescent="0.25">
      <c r="A1640" s="26">
        <v>1590</v>
      </c>
      <c r="B1640" s="82">
        <f t="shared" si="198"/>
        <v>0</v>
      </c>
      <c r="C1640" s="58">
        <f t="shared" si="202"/>
        <v>171.9194128119324</v>
      </c>
      <c r="D1640" s="83">
        <f t="shared" si="199"/>
        <v>733.33333333333326</v>
      </c>
      <c r="E1640">
        <f t="shared" si="195"/>
        <v>0</v>
      </c>
      <c r="G1640">
        <v>1590</v>
      </c>
      <c r="H1640" s="13">
        <f t="shared" si="200"/>
        <v>-1.0275684203264746E-2</v>
      </c>
      <c r="I1640">
        <f t="shared" si="201"/>
        <v>155.58107492874146</v>
      </c>
      <c r="J1640">
        <f t="shared" si="196"/>
        <v>676.76187586696869</v>
      </c>
      <c r="K1640" s="27">
        <f t="shared" si="197"/>
        <v>-4705.6296731853672</v>
      </c>
    </row>
    <row r="1641" spans="1:11" x14ac:dyDescent="0.25">
      <c r="A1641" s="26">
        <v>1591</v>
      </c>
      <c r="B1641" s="82">
        <f t="shared" si="198"/>
        <v>0</v>
      </c>
      <c r="C1641" s="58">
        <f t="shared" si="202"/>
        <v>171.9194128119324</v>
      </c>
      <c r="D1641" s="83">
        <f t="shared" si="199"/>
        <v>733.33333333333326</v>
      </c>
      <c r="E1641">
        <f t="shared" si="195"/>
        <v>0</v>
      </c>
      <c r="G1641">
        <v>1591</v>
      </c>
      <c r="H1641" s="13">
        <f t="shared" si="200"/>
        <v>-1.0275684203264746E-2</v>
      </c>
      <c r="I1641">
        <f t="shared" si="201"/>
        <v>155.57079924453819</v>
      </c>
      <c r="J1641">
        <f t="shared" si="196"/>
        <v>676.66094066734547</v>
      </c>
      <c r="K1641" s="27">
        <f t="shared" si="197"/>
        <v>-4704.2217155346652</v>
      </c>
    </row>
    <row r="1642" spans="1:11" x14ac:dyDescent="0.25">
      <c r="A1642" s="26">
        <v>1592</v>
      </c>
      <c r="B1642" s="82">
        <f t="shared" si="198"/>
        <v>0</v>
      </c>
      <c r="C1642" s="58">
        <f t="shared" si="202"/>
        <v>171.9194128119324</v>
      </c>
      <c r="D1642" s="83">
        <f t="shared" si="199"/>
        <v>733.33333333333326</v>
      </c>
      <c r="E1642">
        <f t="shared" si="195"/>
        <v>0</v>
      </c>
      <c r="G1642">
        <v>1592</v>
      </c>
      <c r="H1642" s="13">
        <f t="shared" si="200"/>
        <v>-1.0275684203264746E-2</v>
      </c>
      <c r="I1642">
        <f t="shared" si="201"/>
        <v>155.56052356033493</v>
      </c>
      <c r="J1642">
        <f t="shared" si="196"/>
        <v>676.55938386784294</v>
      </c>
      <c r="K1642" s="27">
        <f t="shared" si="197"/>
        <v>-4702.8052463439662</v>
      </c>
    </row>
    <row r="1643" spans="1:11" x14ac:dyDescent="0.25">
      <c r="A1643" s="26">
        <v>1593</v>
      </c>
      <c r="B1643" s="82">
        <f t="shared" si="198"/>
        <v>0</v>
      </c>
      <c r="C1643" s="58">
        <f t="shared" si="202"/>
        <v>171.9194128119324</v>
      </c>
      <c r="D1643" s="83">
        <f t="shared" si="199"/>
        <v>733.33333333333326</v>
      </c>
      <c r="E1643">
        <f t="shared" si="195"/>
        <v>0</v>
      </c>
      <c r="G1643">
        <v>1593</v>
      </c>
      <c r="H1643" s="13">
        <f t="shared" si="200"/>
        <v>-1.0275684203264746E-2</v>
      </c>
      <c r="I1643">
        <f t="shared" si="201"/>
        <v>155.55024787613166</v>
      </c>
      <c r="J1643">
        <f t="shared" si="196"/>
        <v>676.45719396084814</v>
      </c>
      <c r="K1643" s="27">
        <f t="shared" si="197"/>
        <v>-4701.3801070816289</v>
      </c>
    </row>
    <row r="1644" spans="1:11" x14ac:dyDescent="0.25">
      <c r="A1644" s="26">
        <v>1594</v>
      </c>
      <c r="B1644" s="82">
        <f t="shared" si="198"/>
        <v>0</v>
      </c>
      <c r="C1644" s="58">
        <f t="shared" si="202"/>
        <v>171.9194128119324</v>
      </c>
      <c r="D1644" s="83">
        <f t="shared" si="199"/>
        <v>733.33333333333326</v>
      </c>
      <c r="E1644">
        <f t="shared" si="195"/>
        <v>0</v>
      </c>
      <c r="G1644">
        <v>1594</v>
      </c>
      <c r="H1644" s="13">
        <f t="shared" si="200"/>
        <v>-1.0275684203264746E-2</v>
      </c>
      <c r="I1644">
        <f t="shared" si="201"/>
        <v>155.5399721919284</v>
      </c>
      <c r="J1644">
        <f t="shared" si="196"/>
        <v>676.35435907848444</v>
      </c>
      <c r="K1644" s="27">
        <f t="shared" si="197"/>
        <v>-4699.9461342209388</v>
      </c>
    </row>
    <row r="1645" spans="1:11" x14ac:dyDescent="0.25">
      <c r="A1645" s="26">
        <v>1595</v>
      </c>
      <c r="B1645" s="82">
        <f t="shared" si="198"/>
        <v>0</v>
      </c>
      <c r="C1645" s="58">
        <f t="shared" si="202"/>
        <v>171.9194128119324</v>
      </c>
      <c r="D1645" s="83">
        <f t="shared" si="199"/>
        <v>733.33333333333326</v>
      </c>
      <c r="E1645">
        <f t="shared" si="195"/>
        <v>0</v>
      </c>
      <c r="G1645">
        <v>1595</v>
      </c>
      <c r="H1645" s="13">
        <f t="shared" si="200"/>
        <v>-1.0275684203264746E-2</v>
      </c>
      <c r="I1645">
        <f t="shared" si="201"/>
        <v>155.52969650772513</v>
      </c>
      <c r="J1645">
        <f t="shared" si="196"/>
        <v>676.25086697661573</v>
      </c>
      <c r="K1645" s="27">
        <f t="shared" si="197"/>
        <v>-4698.5031590168774</v>
      </c>
    </row>
    <row r="1646" spans="1:11" x14ac:dyDescent="0.25">
      <c r="A1646" s="26">
        <v>1596</v>
      </c>
      <c r="B1646" s="82">
        <f t="shared" si="198"/>
        <v>0</v>
      </c>
      <c r="C1646" s="58">
        <f t="shared" si="202"/>
        <v>171.9194128119324</v>
      </c>
      <c r="D1646" s="83">
        <f t="shared" si="199"/>
        <v>733.33333333333326</v>
      </c>
      <c r="E1646">
        <f t="shared" si="195"/>
        <v>0</v>
      </c>
      <c r="G1646">
        <v>1596</v>
      </c>
      <c r="H1646" s="13">
        <f t="shared" si="200"/>
        <v>-1.0275684203264746E-2</v>
      </c>
      <c r="I1646">
        <f t="shared" si="201"/>
        <v>155.51942082352187</v>
      </c>
      <c r="J1646">
        <f t="shared" si="196"/>
        <v>676.14670501792693</v>
      </c>
      <c r="K1646" s="27">
        <f t="shared" si="197"/>
        <v>-4697.0510072698871</v>
      </c>
    </row>
    <row r="1647" spans="1:11" x14ac:dyDescent="0.25">
      <c r="A1647" s="26">
        <v>1597</v>
      </c>
      <c r="B1647" s="82">
        <f t="shared" si="198"/>
        <v>0</v>
      </c>
      <c r="C1647" s="58">
        <f t="shared" si="202"/>
        <v>171.9194128119324</v>
      </c>
      <c r="D1647" s="83">
        <f t="shared" si="199"/>
        <v>733.33333333333326</v>
      </c>
      <c r="E1647">
        <f t="shared" si="195"/>
        <v>0</v>
      </c>
      <c r="G1647">
        <v>1597</v>
      </c>
      <c r="H1647" s="13">
        <f t="shared" si="200"/>
        <v>-1.0275684203264746E-2</v>
      </c>
      <c r="I1647">
        <f t="shared" si="201"/>
        <v>155.5091451393186</v>
      </c>
      <c r="J1647">
        <f t="shared" si="196"/>
        <v>676.04186015401137</v>
      </c>
      <c r="K1647" s="27">
        <f t="shared" si="197"/>
        <v>-4695.589499075717</v>
      </c>
    </row>
    <row r="1648" spans="1:11" x14ac:dyDescent="0.25">
      <c r="A1648" s="26">
        <v>1598</v>
      </c>
      <c r="B1648" s="82">
        <f t="shared" si="198"/>
        <v>0</v>
      </c>
      <c r="C1648" s="58">
        <f t="shared" si="202"/>
        <v>171.9194128119324</v>
      </c>
      <c r="D1648" s="83">
        <f t="shared" si="199"/>
        <v>733.33333333333326</v>
      </c>
      <c r="E1648">
        <f t="shared" si="195"/>
        <v>0</v>
      </c>
      <c r="G1648">
        <v>1598</v>
      </c>
      <c r="H1648" s="13">
        <f t="shared" si="200"/>
        <v>-1.0275684203264746E-2</v>
      </c>
      <c r="I1648">
        <f t="shared" si="201"/>
        <v>155.49886945511534</v>
      </c>
      <c r="J1648">
        <f t="shared" si="196"/>
        <v>675.93631890639733</v>
      </c>
      <c r="K1648" s="27">
        <f t="shared" si="197"/>
        <v>-4694.1184485603144</v>
      </c>
    </row>
    <row r="1649" spans="1:11" x14ac:dyDescent="0.25">
      <c r="A1649" s="26">
        <v>1599</v>
      </c>
      <c r="B1649" s="82">
        <f t="shared" si="198"/>
        <v>0</v>
      </c>
      <c r="C1649" s="58">
        <f t="shared" si="202"/>
        <v>171.9194128119324</v>
      </c>
      <c r="D1649" s="83">
        <f t="shared" si="199"/>
        <v>733.33333333333326</v>
      </c>
      <c r="E1649">
        <f t="shared" si="195"/>
        <v>0</v>
      </c>
      <c r="G1649">
        <v>1599</v>
      </c>
      <c r="H1649" s="13">
        <f t="shared" si="200"/>
        <v>-1.0275684203264746E-2</v>
      </c>
      <c r="I1649">
        <f t="shared" si="201"/>
        <v>155.48859377091208</v>
      </c>
      <c r="J1649">
        <f t="shared" si="196"/>
        <v>675.83006734643175</v>
      </c>
      <c r="K1649" s="27">
        <f t="shared" si="197"/>
        <v>-4692.6376635986544</v>
      </c>
    </row>
    <row r="1650" spans="1:11" x14ac:dyDescent="0.25">
      <c r="A1650" s="26">
        <v>1600</v>
      </c>
      <c r="B1650" s="82">
        <f t="shared" si="198"/>
        <v>0</v>
      </c>
      <c r="C1650" s="58">
        <f t="shared" si="202"/>
        <v>171.9194128119324</v>
      </c>
      <c r="D1650" s="83">
        <f t="shared" si="199"/>
        <v>733.33333333333326</v>
      </c>
      <c r="E1650">
        <f t="shared" si="195"/>
        <v>0</v>
      </c>
      <c r="G1650">
        <v>1600</v>
      </c>
      <c r="H1650" s="13">
        <f t="shared" si="200"/>
        <v>-1.0275684203264746E-2</v>
      </c>
      <c r="I1650">
        <f t="shared" si="201"/>
        <v>155.47831808670881</v>
      </c>
      <c r="J1650">
        <f t="shared" si="196"/>
        <v>675.72309107393835</v>
      </c>
      <c r="K1650" s="27">
        <f t="shared" si="197"/>
        <v>-4691.1469455163224</v>
      </c>
    </row>
    <row r="1651" spans="1:11" x14ac:dyDescent="0.25">
      <c r="A1651" s="26">
        <v>1601</v>
      </c>
      <c r="B1651" s="82">
        <f t="shared" si="198"/>
        <v>0</v>
      </c>
      <c r="C1651" s="58">
        <f t="shared" si="202"/>
        <v>171.9194128119324</v>
      </c>
      <c r="D1651" s="83">
        <f t="shared" si="199"/>
        <v>733.33333333333326</v>
      </c>
      <c r="E1651">
        <f t="shared" ref="E1651:E1714" si="203">((D1651^2)+(D1651*D1652)+(D1652^2))*B1652/3</f>
        <v>0</v>
      </c>
      <c r="G1651">
        <v>1601</v>
      </c>
      <c r="H1651" s="13">
        <f t="shared" si="200"/>
        <v>-1.0275684203264746E-2</v>
      </c>
      <c r="I1651">
        <f t="shared" si="201"/>
        <v>155.46804240250555</v>
      </c>
      <c r="J1651">
        <f t="shared" ref="J1651:J1714" si="204">IF($G$28&lt;$C$14,0,((($C$11^2)-((I1651-$C$13)^2))^0.5)+$C$16)</f>
        <v>675.61537519455703</v>
      </c>
      <c r="K1651" s="27">
        <f t="shared" ref="K1651:K1714" si="205">((J1651^2)+(J1651*J1652)+(J1652^2))*H1652/3</f>
        <v>-4689.6460887725043</v>
      </c>
    </row>
    <row r="1652" spans="1:11" x14ac:dyDescent="0.25">
      <c r="A1652" s="26">
        <v>1602</v>
      </c>
      <c r="B1652" s="82">
        <f t="shared" ref="B1652:B1715" si="206">C1652-C1651</f>
        <v>0</v>
      </c>
      <c r="C1652" s="58">
        <f t="shared" si="202"/>
        <v>171.9194128119324</v>
      </c>
      <c r="D1652" s="83">
        <f t="shared" ref="D1652:D1715" si="207">IF($G$28&lt;$C$14,0,((($C$11^2)-((C1652-$C$13)^2))^0.5)+$C$16)</f>
        <v>733.33333333333326</v>
      </c>
      <c r="E1652">
        <f t="shared" si="203"/>
        <v>0</v>
      </c>
      <c r="G1652">
        <v>1602</v>
      </c>
      <c r="H1652" s="13">
        <f t="shared" ref="H1652:H1715" si="208">I1652-I1651</f>
        <v>-1.0275684203264746E-2</v>
      </c>
      <c r="I1652">
        <f t="shared" ref="I1652:I1715" si="209">($G$27-$C$14)/2000+I1651</f>
        <v>155.45776671830228</v>
      </c>
      <c r="J1652">
        <f t="shared" si="204"/>
        <v>675.50690429566271</v>
      </c>
      <c r="K1652" s="27">
        <f t="shared" si="205"/>
        <v>-4688.1348806229871</v>
      </c>
    </row>
    <row r="1653" spans="1:11" x14ac:dyDescent="0.25">
      <c r="A1653" s="26">
        <v>1603</v>
      </c>
      <c r="B1653" s="82">
        <f t="shared" si="206"/>
        <v>0</v>
      </c>
      <c r="C1653" s="58">
        <f t="shared" si="202"/>
        <v>171.9194128119324</v>
      </c>
      <c r="D1653" s="83">
        <f t="shared" si="207"/>
        <v>733.33333333333326</v>
      </c>
      <c r="E1653">
        <f t="shared" si="203"/>
        <v>0</v>
      </c>
      <c r="G1653">
        <v>1603</v>
      </c>
      <c r="H1653" s="13">
        <f t="shared" si="208"/>
        <v>-1.0275684203264746E-2</v>
      </c>
      <c r="I1653">
        <f t="shared" si="209"/>
        <v>155.44749103409902</v>
      </c>
      <c r="J1653">
        <f t="shared" si="204"/>
        <v>675.39766242075473</v>
      </c>
      <c r="K1653" s="27">
        <f t="shared" si="205"/>
        <v>-4686.6131007615795</v>
      </c>
    </row>
    <row r="1654" spans="1:11" x14ac:dyDescent="0.25">
      <c r="A1654" s="26">
        <v>1604</v>
      </c>
      <c r="B1654" s="82">
        <f t="shared" si="206"/>
        <v>0</v>
      </c>
      <c r="C1654" s="58">
        <f t="shared" si="202"/>
        <v>171.9194128119324</v>
      </c>
      <c r="D1654" s="83">
        <f t="shared" si="207"/>
        <v>733.33333333333326</v>
      </c>
      <c r="E1654">
        <f t="shared" si="203"/>
        <v>0</v>
      </c>
      <c r="G1654">
        <v>1604</v>
      </c>
      <c r="H1654" s="13">
        <f t="shared" si="208"/>
        <v>-1.0275684203264746E-2</v>
      </c>
      <c r="I1654">
        <f t="shared" si="209"/>
        <v>155.43721534989575</v>
      </c>
      <c r="J1654">
        <f t="shared" si="204"/>
        <v>675.28763304219569</v>
      </c>
      <c r="K1654" s="27">
        <f t="shared" si="205"/>
        <v>-4685.0805209382397</v>
      </c>
    </row>
    <row r="1655" spans="1:11" x14ac:dyDescent="0.25">
      <c r="A1655" s="26">
        <v>1605</v>
      </c>
      <c r="B1655" s="82">
        <f t="shared" si="206"/>
        <v>0</v>
      </c>
      <c r="C1655" s="58">
        <f t="shared" si="202"/>
        <v>171.9194128119324</v>
      </c>
      <c r="D1655" s="83">
        <f t="shared" si="207"/>
        <v>733.33333333333326</v>
      </c>
      <c r="E1655">
        <f t="shared" si="203"/>
        <v>0</v>
      </c>
      <c r="G1655">
        <v>1605</v>
      </c>
      <c r="H1655" s="13">
        <f t="shared" si="208"/>
        <v>-1.0275684203264746E-2</v>
      </c>
      <c r="I1655">
        <f t="shared" si="209"/>
        <v>155.42693966569249</v>
      </c>
      <c r="J1655">
        <f t="shared" si="204"/>
        <v>675.17679903216651</v>
      </c>
      <c r="K1655" s="27">
        <f t="shared" si="205"/>
        <v>-4683.5369045520647</v>
      </c>
    </row>
    <row r="1656" spans="1:11" x14ac:dyDescent="0.25">
      <c r="A1656" s="26">
        <v>1606</v>
      </c>
      <c r="B1656" s="82">
        <f t="shared" si="206"/>
        <v>0</v>
      </c>
      <c r="C1656" s="58">
        <f t="shared" si="202"/>
        <v>171.9194128119324</v>
      </c>
      <c r="D1656" s="83">
        <f t="shared" si="207"/>
        <v>733.33333333333326</v>
      </c>
      <c r="E1656">
        <f t="shared" si="203"/>
        <v>0</v>
      </c>
      <c r="G1656">
        <v>1606</v>
      </c>
      <c r="H1656" s="13">
        <f t="shared" si="208"/>
        <v>-1.0275684203264746E-2</v>
      </c>
      <c r="I1656">
        <f t="shared" si="209"/>
        <v>155.41666398148922</v>
      </c>
      <c r="J1656">
        <f t="shared" si="204"/>
        <v>675.06514263169584</v>
      </c>
      <c r="K1656" s="27">
        <f t="shared" si="205"/>
        <v>-4681.9820062170365</v>
      </c>
    </row>
    <row r="1657" spans="1:11" x14ac:dyDescent="0.25">
      <c r="A1657" s="26">
        <v>1607</v>
      </c>
      <c r="B1657" s="82">
        <f t="shared" si="206"/>
        <v>0</v>
      </c>
      <c r="C1657" s="58">
        <f t="shared" si="202"/>
        <v>171.9194128119324</v>
      </c>
      <c r="D1657" s="83">
        <f t="shared" si="207"/>
        <v>733.33333333333326</v>
      </c>
      <c r="E1657">
        <f t="shared" si="203"/>
        <v>0</v>
      </c>
      <c r="G1657">
        <v>1607</v>
      </c>
      <c r="H1657" s="13">
        <f t="shared" si="208"/>
        <v>-1.0275684203264746E-2</v>
      </c>
      <c r="I1657">
        <f t="shared" si="209"/>
        <v>155.40638829728596</v>
      </c>
      <c r="J1657">
        <f t="shared" si="204"/>
        <v>674.95264541760196</v>
      </c>
      <c r="K1657" s="27">
        <f t="shared" si="205"/>
        <v>-4680.4155712983165</v>
      </c>
    </row>
    <row r="1658" spans="1:11" x14ac:dyDescent="0.25">
      <c r="A1658" s="26">
        <v>1608</v>
      </c>
      <c r="B1658" s="82">
        <f t="shared" si="206"/>
        <v>0</v>
      </c>
      <c r="C1658" s="58">
        <f t="shared" si="202"/>
        <v>171.9194128119324</v>
      </c>
      <c r="D1658" s="83">
        <f t="shared" si="207"/>
        <v>733.33333333333326</v>
      </c>
      <c r="E1658">
        <f t="shared" si="203"/>
        <v>0</v>
      </c>
      <c r="G1658">
        <v>1608</v>
      </c>
      <c r="H1658" s="13">
        <f t="shared" si="208"/>
        <v>-1.0275684203264746E-2</v>
      </c>
      <c r="I1658">
        <f t="shared" si="209"/>
        <v>155.39611261308269</v>
      </c>
      <c r="J1658">
        <f t="shared" si="204"/>
        <v>674.83928826717636</v>
      </c>
      <c r="K1658" s="27">
        <f t="shared" si="205"/>
        <v>-4678.8373354165678</v>
      </c>
    </row>
    <row r="1659" spans="1:11" x14ac:dyDescent="0.25">
      <c r="A1659" s="26">
        <v>1609</v>
      </c>
      <c r="B1659" s="82">
        <f t="shared" si="206"/>
        <v>0</v>
      </c>
      <c r="C1659" s="58">
        <f t="shared" si="202"/>
        <v>171.9194128119324</v>
      </c>
      <c r="D1659" s="83">
        <f t="shared" si="207"/>
        <v>733.33333333333326</v>
      </c>
      <c r="E1659">
        <f t="shared" si="203"/>
        <v>0</v>
      </c>
      <c r="G1659">
        <v>1609</v>
      </c>
      <c r="H1659" s="13">
        <f t="shared" si="208"/>
        <v>-1.0275684203264746E-2</v>
      </c>
      <c r="I1659">
        <f t="shared" si="209"/>
        <v>155.38583692887943</v>
      </c>
      <c r="J1659">
        <f t="shared" si="204"/>
        <v>674.7250513204134</v>
      </c>
      <c r="K1659" s="27">
        <f t="shared" si="205"/>
        <v>-4677.24702391759</v>
      </c>
    </row>
    <row r="1660" spans="1:11" x14ac:dyDescent="0.25">
      <c r="A1660" s="26">
        <v>1610</v>
      </c>
      <c r="B1660" s="82">
        <f t="shared" si="206"/>
        <v>0</v>
      </c>
      <c r="C1660" s="58">
        <f t="shared" si="202"/>
        <v>171.9194128119324</v>
      </c>
      <c r="D1660" s="83">
        <f t="shared" si="207"/>
        <v>733.33333333333326</v>
      </c>
      <c r="E1660">
        <f t="shared" si="203"/>
        <v>0</v>
      </c>
      <c r="G1660">
        <v>1610</v>
      </c>
      <c r="H1660" s="13">
        <f t="shared" si="208"/>
        <v>-1.0275684203264746E-2</v>
      </c>
      <c r="I1660">
        <f t="shared" si="209"/>
        <v>155.37556124467616</v>
      </c>
      <c r="J1660">
        <f t="shared" si="204"/>
        <v>674.60991393957852</v>
      </c>
      <c r="K1660" s="27">
        <f t="shared" si="205"/>
        <v>-4675.6443513042514</v>
      </c>
    </row>
    <row r="1661" spans="1:11" x14ac:dyDescent="0.25">
      <c r="A1661" s="26">
        <v>1611</v>
      </c>
      <c r="B1661" s="82">
        <f t="shared" si="206"/>
        <v>0</v>
      </c>
      <c r="C1661" s="58">
        <f t="shared" si="202"/>
        <v>171.9194128119324</v>
      </c>
      <c r="D1661" s="83">
        <f t="shared" si="207"/>
        <v>733.33333333333326</v>
      </c>
      <c r="E1661">
        <f t="shared" si="203"/>
        <v>0</v>
      </c>
      <c r="G1661">
        <v>1611</v>
      </c>
      <c r="H1661" s="13">
        <f t="shared" si="208"/>
        <v>-1.0275684203264746E-2</v>
      </c>
      <c r="I1661">
        <f t="shared" si="209"/>
        <v>155.3652855604729</v>
      </c>
      <c r="J1661">
        <f t="shared" si="204"/>
        <v>674.49385466587808</v>
      </c>
      <c r="K1661" s="27">
        <f t="shared" si="205"/>
        <v>-4674.0290206273758</v>
      </c>
    </row>
    <row r="1662" spans="1:11" x14ac:dyDescent="0.25">
      <c r="A1662" s="26">
        <v>1612</v>
      </c>
      <c r="B1662" s="82">
        <f t="shared" si="206"/>
        <v>0</v>
      </c>
      <c r="C1662" s="58">
        <f t="shared" si="202"/>
        <v>171.9194128119324</v>
      </c>
      <c r="D1662" s="83">
        <f t="shared" si="207"/>
        <v>733.33333333333326</v>
      </c>
      <c r="E1662">
        <f t="shared" si="203"/>
        <v>0</v>
      </c>
      <c r="G1662">
        <v>1612</v>
      </c>
      <c r="H1662" s="13">
        <f t="shared" si="208"/>
        <v>-1.0275684203264746E-2</v>
      </c>
      <c r="I1662">
        <f t="shared" si="209"/>
        <v>155.35500987626963</v>
      </c>
      <c r="J1662">
        <f t="shared" si="204"/>
        <v>674.37685117297713</v>
      </c>
      <c r="K1662" s="27">
        <f t="shared" si="205"/>
        <v>-4672.4007228319297</v>
      </c>
    </row>
    <row r="1663" spans="1:11" x14ac:dyDescent="0.25">
      <c r="A1663" s="26">
        <v>1613</v>
      </c>
      <c r="B1663" s="82">
        <f t="shared" si="206"/>
        <v>0</v>
      </c>
      <c r="C1663" s="58">
        <f t="shared" si="202"/>
        <v>171.9194128119324</v>
      </c>
      <c r="D1663" s="83">
        <f t="shared" si="207"/>
        <v>733.33333333333326</v>
      </c>
      <c r="E1663">
        <f t="shared" si="203"/>
        <v>0</v>
      </c>
      <c r="G1663">
        <v>1613</v>
      </c>
      <c r="H1663" s="13">
        <f t="shared" si="208"/>
        <v>-1.0275684203264746E-2</v>
      </c>
      <c r="I1663">
        <f t="shared" si="209"/>
        <v>155.34473419206637</v>
      </c>
      <c r="J1663">
        <f t="shared" si="204"/>
        <v>674.25888021707522</v>
      </c>
      <c r="K1663" s="27">
        <f t="shared" si="205"/>
        <v>-4670.7591360543765</v>
      </c>
    </row>
    <row r="1664" spans="1:11" x14ac:dyDescent="0.25">
      <c r="A1664" s="26">
        <v>1614</v>
      </c>
      <c r="B1664" s="82">
        <f t="shared" si="206"/>
        <v>0</v>
      </c>
      <c r="C1664" s="58">
        <f t="shared" si="202"/>
        <v>171.9194128119324</v>
      </c>
      <c r="D1664" s="83">
        <f t="shared" si="207"/>
        <v>733.33333333333326</v>
      </c>
      <c r="E1664">
        <f t="shared" si="203"/>
        <v>0</v>
      </c>
      <c r="G1664">
        <v>1614</v>
      </c>
      <c r="H1664" s="13">
        <f t="shared" si="208"/>
        <v>-1.0275684203264746E-2</v>
      </c>
      <c r="I1664">
        <f t="shared" si="209"/>
        <v>155.3344585078631</v>
      </c>
      <c r="J1664">
        <f t="shared" si="204"/>
        <v>674.13991758322845</v>
      </c>
      <c r="K1664" s="27">
        <f t="shared" si="205"/>
        <v>-4669.1039248667421</v>
      </c>
    </row>
    <row r="1665" spans="1:11" x14ac:dyDescent="0.25">
      <c r="A1665" s="26">
        <v>1615</v>
      </c>
      <c r="B1665" s="82">
        <f t="shared" si="206"/>
        <v>0</v>
      </c>
      <c r="C1665" s="58">
        <f t="shared" si="202"/>
        <v>171.9194128119324</v>
      </c>
      <c r="D1665" s="83">
        <f t="shared" si="207"/>
        <v>733.33333333333326</v>
      </c>
      <c r="E1665">
        <f t="shared" si="203"/>
        <v>0</v>
      </c>
      <c r="G1665">
        <v>1615</v>
      </c>
      <c r="H1665" s="13">
        <f t="shared" si="208"/>
        <v>-1.0275684203264746E-2</v>
      </c>
      <c r="I1665">
        <f t="shared" si="209"/>
        <v>155.32418282365984</v>
      </c>
      <c r="J1665">
        <f t="shared" si="204"/>
        <v>674.01993802756317</v>
      </c>
      <c r="K1665" s="27">
        <f t="shared" si="205"/>
        <v>-4667.4347394623019</v>
      </c>
    </row>
    <row r="1666" spans="1:11" x14ac:dyDescent="0.25">
      <c r="A1666" s="26">
        <v>1616</v>
      </c>
      <c r="B1666" s="82">
        <f t="shared" si="206"/>
        <v>0</v>
      </c>
      <c r="C1666" s="58">
        <f t="shared" si="202"/>
        <v>171.9194128119324</v>
      </c>
      <c r="D1666" s="83">
        <f t="shared" si="207"/>
        <v>733.33333333333326</v>
      </c>
      <c r="E1666">
        <f t="shared" si="203"/>
        <v>0</v>
      </c>
      <c r="G1666">
        <v>1616</v>
      </c>
      <c r="H1666" s="13">
        <f t="shared" si="208"/>
        <v>-1.0275684203264746E-2</v>
      </c>
      <c r="I1666">
        <f t="shared" si="209"/>
        <v>155.31390713945657</v>
      </c>
      <c r="J1666">
        <f t="shared" si="204"/>
        <v>673.89891521499305</v>
      </c>
      <c r="K1666" s="27">
        <f t="shared" si="205"/>
        <v>-4665.7512147773077</v>
      </c>
    </row>
    <row r="1667" spans="1:11" x14ac:dyDescent="0.25">
      <c r="A1667" s="26">
        <v>1617</v>
      </c>
      <c r="B1667" s="82">
        <f t="shared" si="206"/>
        <v>0</v>
      </c>
      <c r="C1667" s="58">
        <f t="shared" si="202"/>
        <v>171.9194128119324</v>
      </c>
      <c r="D1667" s="83">
        <f t="shared" si="207"/>
        <v>733.33333333333326</v>
      </c>
      <c r="E1667">
        <f t="shared" si="203"/>
        <v>0</v>
      </c>
      <c r="G1667">
        <v>1617</v>
      </c>
      <c r="H1667" s="13">
        <f t="shared" si="208"/>
        <v>-1.0275684203264746E-2</v>
      </c>
      <c r="I1667">
        <f t="shared" si="209"/>
        <v>155.30363145525331</v>
      </c>
      <c r="J1667">
        <f t="shared" si="204"/>
        <v>673.77682165200099</v>
      </c>
      <c r="K1667" s="27">
        <f t="shared" si="205"/>
        <v>-4664.052969542503</v>
      </c>
    </row>
    <row r="1668" spans="1:11" x14ac:dyDescent="0.25">
      <c r="A1668" s="26">
        <v>1618</v>
      </c>
      <c r="B1668" s="82">
        <f t="shared" si="206"/>
        <v>0</v>
      </c>
      <c r="C1668" s="58">
        <f t="shared" si="202"/>
        <v>171.9194128119324</v>
      </c>
      <c r="D1668" s="83">
        <f t="shared" si="207"/>
        <v>733.33333333333326</v>
      </c>
      <c r="E1668">
        <f t="shared" si="203"/>
        <v>0</v>
      </c>
      <c r="G1668">
        <v>1618</v>
      </c>
      <c r="H1668" s="13">
        <f t="shared" si="208"/>
        <v>-1.0275684203264746E-2</v>
      </c>
      <c r="I1668">
        <f t="shared" si="209"/>
        <v>155.29335577105005</v>
      </c>
      <c r="J1668">
        <f t="shared" si="204"/>
        <v>673.65362861400399</v>
      </c>
      <c r="K1668" s="27">
        <f t="shared" si="205"/>
        <v>-4662.3396052574562</v>
      </c>
    </row>
    <row r="1669" spans="1:11" x14ac:dyDescent="0.25">
      <c r="A1669" s="26">
        <v>1619</v>
      </c>
      <c r="B1669" s="82">
        <f t="shared" si="206"/>
        <v>0</v>
      </c>
      <c r="C1669" s="58">
        <f t="shared" si="202"/>
        <v>171.9194128119324</v>
      </c>
      <c r="D1669" s="83">
        <f t="shared" si="207"/>
        <v>733.33333333333326</v>
      </c>
      <c r="E1669">
        <f t="shared" si="203"/>
        <v>0</v>
      </c>
      <c r="G1669">
        <v>1619</v>
      </c>
      <c r="H1669" s="13">
        <f t="shared" si="208"/>
        <v>-1.0275684203264746E-2</v>
      </c>
      <c r="I1669">
        <f t="shared" si="209"/>
        <v>155.28308008684678</v>
      </c>
      <c r="J1669">
        <f t="shared" si="204"/>
        <v>673.52930606675318</v>
      </c>
      <c r="K1669" s="27">
        <f t="shared" si="205"/>
        <v>-4660.6107050798482</v>
      </c>
    </row>
    <row r="1670" spans="1:11" x14ac:dyDescent="0.25">
      <c r="A1670" s="26">
        <v>1620</v>
      </c>
      <c r="B1670" s="82">
        <f t="shared" si="206"/>
        <v>0</v>
      </c>
      <c r="C1670" s="58">
        <f t="shared" si="202"/>
        <v>171.9194128119324</v>
      </c>
      <c r="D1670" s="83">
        <f t="shared" si="207"/>
        <v>733.33333333333326</v>
      </c>
      <c r="E1670">
        <f t="shared" si="203"/>
        <v>0</v>
      </c>
      <c r="G1670">
        <v>1620</v>
      </c>
      <c r="H1670" s="13">
        <f t="shared" si="208"/>
        <v>-1.0275684203264746E-2</v>
      </c>
      <c r="I1670">
        <f t="shared" si="209"/>
        <v>155.27280440264352</v>
      </c>
      <c r="J1670">
        <f t="shared" si="204"/>
        <v>673.40382258116119</v>
      </c>
      <c r="K1670" s="27">
        <f t="shared" si="205"/>
        <v>-4658.8658326209834</v>
      </c>
    </row>
    <row r="1671" spans="1:11" x14ac:dyDescent="0.25">
      <c r="A1671" s="26">
        <v>1621</v>
      </c>
      <c r="B1671" s="82">
        <f t="shared" si="206"/>
        <v>0</v>
      </c>
      <c r="C1671" s="58">
        <f t="shared" si="202"/>
        <v>171.9194128119324</v>
      </c>
      <c r="D1671" s="83">
        <f t="shared" si="207"/>
        <v>733.33333333333326</v>
      </c>
      <c r="E1671">
        <f t="shared" si="203"/>
        <v>0</v>
      </c>
      <c r="G1671">
        <v>1621</v>
      </c>
      <c r="H1671" s="13">
        <f t="shared" si="208"/>
        <v>-1.0275684203264746E-2</v>
      </c>
      <c r="I1671">
        <f t="shared" si="209"/>
        <v>155.26252871844025</v>
      </c>
      <c r="J1671">
        <f t="shared" si="204"/>
        <v>673.2771452408731</v>
      </c>
      <c r="K1671" s="27">
        <f t="shared" si="205"/>
        <v>-4657.1045306376354</v>
      </c>
    </row>
    <row r="1672" spans="1:11" x14ac:dyDescent="0.25">
      <c r="A1672" s="26">
        <v>1622</v>
      </c>
      <c r="B1672" s="82">
        <f t="shared" si="206"/>
        <v>0</v>
      </c>
      <c r="C1672" s="58">
        <f t="shared" si="202"/>
        <v>171.9194128119324</v>
      </c>
      <c r="D1672" s="83">
        <f t="shared" si="207"/>
        <v>733.33333333333326</v>
      </c>
      <c r="E1672">
        <f t="shared" si="203"/>
        <v>0</v>
      </c>
      <c r="G1672">
        <v>1622</v>
      </c>
      <c r="H1672" s="13">
        <f t="shared" si="208"/>
        <v>-1.0275684203264746E-2</v>
      </c>
      <c r="I1672">
        <f t="shared" si="209"/>
        <v>155.25225303423699</v>
      </c>
      <c r="J1672">
        <f t="shared" si="204"/>
        <v>673.14923954180836</v>
      </c>
      <c r="K1672" s="27">
        <f t="shared" si="205"/>
        <v>-4655.3263196091038</v>
      </c>
    </row>
    <row r="1673" spans="1:11" x14ac:dyDescent="0.25">
      <c r="A1673" s="26">
        <v>1623</v>
      </c>
      <c r="B1673" s="82">
        <f t="shared" si="206"/>
        <v>0</v>
      </c>
      <c r="C1673" s="58">
        <f t="shared" si="202"/>
        <v>171.9194128119324</v>
      </c>
      <c r="D1673" s="83">
        <f t="shared" si="207"/>
        <v>733.33333333333326</v>
      </c>
      <c r="E1673">
        <f t="shared" si="203"/>
        <v>0</v>
      </c>
      <c r="G1673">
        <v>1623</v>
      </c>
      <c r="H1673" s="13">
        <f t="shared" si="208"/>
        <v>-1.0275684203264746E-2</v>
      </c>
      <c r="I1673">
        <f t="shared" si="209"/>
        <v>155.24197735003372</v>
      </c>
      <c r="J1673">
        <f t="shared" si="204"/>
        <v>673.02006928280741</v>
      </c>
      <c r="K1673" s="27">
        <f t="shared" si="205"/>
        <v>-4653.5306961869355</v>
      </c>
    </row>
    <row r="1674" spans="1:11" x14ac:dyDescent="0.25">
      <c r="A1674" s="26">
        <v>1624</v>
      </c>
      <c r="B1674" s="82">
        <f t="shared" si="206"/>
        <v>0</v>
      </c>
      <c r="C1674" s="58">
        <f t="shared" si="202"/>
        <v>171.9194128119324</v>
      </c>
      <c r="D1674" s="83">
        <f t="shared" si="207"/>
        <v>733.33333333333326</v>
      </c>
      <c r="E1674">
        <f t="shared" si="203"/>
        <v>0</v>
      </c>
      <c r="G1674">
        <v>1624</v>
      </c>
      <c r="H1674" s="13">
        <f t="shared" si="208"/>
        <v>-1.0275684203264746E-2</v>
      </c>
      <c r="I1674">
        <f t="shared" si="209"/>
        <v>155.23170166583046</v>
      </c>
      <c r="J1674">
        <f t="shared" si="204"/>
        <v>672.88959644639749</v>
      </c>
      <c r="K1674" s="27">
        <f t="shared" si="205"/>
        <v>-4651.7171315030928</v>
      </c>
    </row>
    <row r="1675" spans="1:11" x14ac:dyDescent="0.25">
      <c r="A1675" s="26">
        <v>1625</v>
      </c>
      <c r="B1675" s="82">
        <f t="shared" si="206"/>
        <v>0</v>
      </c>
      <c r="C1675" s="58">
        <f t="shared" si="202"/>
        <v>171.9194128119324</v>
      </c>
      <c r="D1675" s="83">
        <f t="shared" si="207"/>
        <v>733.33333333333326</v>
      </c>
      <c r="E1675">
        <f t="shared" si="203"/>
        <v>0</v>
      </c>
      <c r="G1675">
        <v>1625</v>
      </c>
      <c r="H1675" s="13">
        <f t="shared" si="208"/>
        <v>-1.0275684203264746E-2</v>
      </c>
      <c r="I1675">
        <f t="shared" si="209"/>
        <v>155.22142598162719</v>
      </c>
      <c r="J1675">
        <f t="shared" si="204"/>
        <v>672.75778106856706</v>
      </c>
      <c r="K1675" s="27">
        <f t="shared" si="205"/>
        <v>-4649.8850693204431</v>
      </c>
    </row>
    <row r="1676" spans="1:11" x14ac:dyDescent="0.25">
      <c r="A1676" s="26">
        <v>1626</v>
      </c>
      <c r="B1676" s="82">
        <f t="shared" si="206"/>
        <v>0</v>
      </c>
      <c r="C1676" s="58">
        <f t="shared" si="202"/>
        <v>171.9194128119324</v>
      </c>
      <c r="D1676" s="83">
        <f t="shared" si="207"/>
        <v>733.33333333333326</v>
      </c>
      <c r="E1676">
        <f t="shared" si="203"/>
        <v>0</v>
      </c>
      <c r="G1676">
        <v>1626</v>
      </c>
      <c r="H1676" s="13">
        <f t="shared" si="208"/>
        <v>-1.0275684203264746E-2</v>
      </c>
      <c r="I1676">
        <f t="shared" si="209"/>
        <v>155.21115029742393</v>
      </c>
      <c r="J1676">
        <f t="shared" si="204"/>
        <v>672.62458109628267</v>
      </c>
      <c r="K1676" s="27">
        <f t="shared" si="205"/>
        <v>-4648.0339240072308</v>
      </c>
    </row>
    <row r="1677" spans="1:11" x14ac:dyDescent="0.25">
      <c r="A1677" s="26">
        <v>1627</v>
      </c>
      <c r="B1677" s="82">
        <f t="shared" si="206"/>
        <v>0</v>
      </c>
      <c r="C1677" s="58">
        <f t="shared" si="202"/>
        <v>171.9194128119324</v>
      </c>
      <c r="D1677" s="83">
        <f t="shared" si="207"/>
        <v>733.33333333333326</v>
      </c>
      <c r="E1677">
        <f t="shared" si="203"/>
        <v>0</v>
      </c>
      <c r="G1677">
        <v>1627</v>
      </c>
      <c r="H1677" s="13">
        <f t="shared" si="208"/>
        <v>-1.0275684203264746E-2</v>
      </c>
      <c r="I1677">
        <f t="shared" si="209"/>
        <v>155.20087461322066</v>
      </c>
      <c r="J1677">
        <f t="shared" si="204"/>
        <v>672.48995223130896</v>
      </c>
      <c r="K1677" s="27">
        <f t="shared" si="205"/>
        <v>-4646.1630783145893</v>
      </c>
    </row>
    <row r="1678" spans="1:11" x14ac:dyDescent="0.25">
      <c r="A1678" s="26">
        <v>1628</v>
      </c>
      <c r="B1678" s="82">
        <f t="shared" si="206"/>
        <v>0</v>
      </c>
      <c r="C1678" s="58">
        <f t="shared" si="202"/>
        <v>171.9194128119324</v>
      </c>
      <c r="D1678" s="83">
        <f t="shared" si="207"/>
        <v>733.33333333333326</v>
      </c>
      <c r="E1678">
        <f t="shared" si="203"/>
        <v>0</v>
      </c>
      <c r="G1678">
        <v>1628</v>
      </c>
      <c r="H1678" s="13">
        <f t="shared" si="208"/>
        <v>-1.0275684203264746E-2</v>
      </c>
      <c r="I1678">
        <f t="shared" si="209"/>
        <v>155.1905989290174</v>
      </c>
      <c r="J1678">
        <f t="shared" si="204"/>
        <v>672.35384775868522</v>
      </c>
      <c r="K1678" s="27">
        <f t="shared" si="205"/>
        <v>-4644.2718809331864</v>
      </c>
    </row>
    <row r="1679" spans="1:11" x14ac:dyDescent="0.25">
      <c r="A1679" s="26">
        <v>1629</v>
      </c>
      <c r="B1679" s="82">
        <f t="shared" si="206"/>
        <v>0</v>
      </c>
      <c r="C1679" s="58">
        <f t="shared" si="202"/>
        <v>171.9194128119324</v>
      </c>
      <c r="D1679" s="83">
        <f t="shared" si="207"/>
        <v>733.33333333333326</v>
      </c>
      <c r="E1679">
        <f t="shared" si="203"/>
        <v>0</v>
      </c>
      <c r="G1679">
        <v>1629</v>
      </c>
      <c r="H1679" s="13">
        <f t="shared" si="208"/>
        <v>-1.0275684203264746E-2</v>
      </c>
      <c r="I1679">
        <f t="shared" si="209"/>
        <v>155.18032324481413</v>
      </c>
      <c r="J1679">
        <f t="shared" si="204"/>
        <v>672.2162183579776</v>
      </c>
      <c r="K1679" s="27">
        <f t="shared" si="205"/>
        <v>-4642.359643801562</v>
      </c>
    </row>
    <row r="1680" spans="1:11" x14ac:dyDescent="0.25">
      <c r="A1680" s="26">
        <v>1630</v>
      </c>
      <c r="B1680" s="82">
        <f t="shared" si="206"/>
        <v>0</v>
      </c>
      <c r="C1680" s="58">
        <f t="shared" ref="C1680:C1743" si="210">($C$37-$C$36)/2000+C1679</f>
        <v>171.9194128119324</v>
      </c>
      <c r="D1680" s="83">
        <f t="shared" si="207"/>
        <v>733.33333333333326</v>
      </c>
      <c r="E1680">
        <f t="shared" si="203"/>
        <v>0</v>
      </c>
      <c r="G1680">
        <v>1630</v>
      </c>
      <c r="H1680" s="13">
        <f t="shared" si="208"/>
        <v>-1.0275684203264746E-2</v>
      </c>
      <c r="I1680">
        <f t="shared" si="209"/>
        <v>155.17004756061087</v>
      </c>
      <c r="J1680">
        <f t="shared" si="204"/>
        <v>672.07701189514341</v>
      </c>
      <c r="K1680" s="27">
        <f t="shared" si="205"/>
        <v>-4640.4256391345807</v>
      </c>
    </row>
    <row r="1681" spans="1:11" x14ac:dyDescent="0.25">
      <c r="A1681" s="26">
        <v>1631</v>
      </c>
      <c r="B1681" s="82">
        <f t="shared" si="206"/>
        <v>0</v>
      </c>
      <c r="C1681" s="58">
        <f t="shared" si="210"/>
        <v>171.9194128119324</v>
      </c>
      <c r="D1681" s="83">
        <f t="shared" si="207"/>
        <v>733.33333333333326</v>
      </c>
      <c r="E1681">
        <f t="shared" si="203"/>
        <v>0</v>
      </c>
      <c r="G1681">
        <v>1631</v>
      </c>
      <c r="H1681" s="13">
        <f t="shared" si="208"/>
        <v>-1.0275684203264746E-2</v>
      </c>
      <c r="I1681">
        <f t="shared" si="209"/>
        <v>155.1597718764076</v>
      </c>
      <c r="J1681">
        <f t="shared" si="204"/>
        <v>671.93617319251496</v>
      </c>
      <c r="K1681" s="27">
        <f t="shared" si="205"/>
        <v>-4638.4690961355818</v>
      </c>
    </row>
    <row r="1682" spans="1:11" x14ac:dyDescent="0.25">
      <c r="A1682" s="26">
        <v>1632</v>
      </c>
      <c r="B1682" s="82">
        <f t="shared" si="206"/>
        <v>0</v>
      </c>
      <c r="C1682" s="58">
        <f t="shared" si="210"/>
        <v>171.9194128119324</v>
      </c>
      <c r="D1682" s="83">
        <f t="shared" si="207"/>
        <v>733.33333333333326</v>
      </c>
      <c r="E1682">
        <f t="shared" si="203"/>
        <v>0</v>
      </c>
      <c r="G1682">
        <v>1632</v>
      </c>
      <c r="H1682" s="13">
        <f t="shared" si="208"/>
        <v>-1.0275684203264746E-2</v>
      </c>
      <c r="I1682">
        <f t="shared" si="209"/>
        <v>155.14949619220434</v>
      </c>
      <c r="J1682">
        <f t="shared" si="204"/>
        <v>671.79364377402555</v>
      </c>
      <c r="K1682" s="27">
        <f t="shared" si="205"/>
        <v>-4636.4891973500989</v>
      </c>
    </row>
    <row r="1683" spans="1:11" x14ac:dyDescent="0.25">
      <c r="A1683" s="26">
        <v>1633</v>
      </c>
      <c r="B1683" s="82">
        <f t="shared" si="206"/>
        <v>0</v>
      </c>
      <c r="C1683" s="58">
        <f t="shared" si="210"/>
        <v>171.9194128119324</v>
      </c>
      <c r="D1683" s="83">
        <f t="shared" si="207"/>
        <v>733.33333333333326</v>
      </c>
      <c r="E1683">
        <f t="shared" si="203"/>
        <v>0</v>
      </c>
      <c r="G1683">
        <v>1633</v>
      </c>
      <c r="H1683" s="13">
        <f t="shared" si="208"/>
        <v>-1.0275684203264746E-2</v>
      </c>
      <c r="I1683">
        <f t="shared" si="209"/>
        <v>155.13922050800107</v>
      </c>
      <c r="J1683">
        <f t="shared" si="204"/>
        <v>671.64936158234195</v>
      </c>
      <c r="K1683" s="27">
        <f t="shared" si="205"/>
        <v>-4634.4850746121456</v>
      </c>
    </row>
    <row r="1684" spans="1:11" x14ac:dyDescent="0.25">
      <c r="A1684" s="26">
        <v>1634</v>
      </c>
      <c r="B1684" s="82">
        <f t="shared" si="206"/>
        <v>0</v>
      </c>
      <c r="C1684" s="58">
        <f t="shared" si="210"/>
        <v>171.9194128119324</v>
      </c>
      <c r="D1684" s="83">
        <f t="shared" si="207"/>
        <v>733.33333333333326</v>
      </c>
      <c r="E1684">
        <f t="shared" si="203"/>
        <v>0</v>
      </c>
      <c r="G1684">
        <v>1634</v>
      </c>
      <c r="H1684" s="13">
        <f t="shared" si="208"/>
        <v>-1.0275684203264746E-2</v>
      </c>
      <c r="I1684">
        <f t="shared" si="209"/>
        <v>155.12894482379781</v>
      </c>
      <c r="J1684">
        <f t="shared" si="204"/>
        <v>671.50326066401624</v>
      </c>
      <c r="K1684" s="27">
        <f t="shared" si="205"/>
        <v>-4632.4558045260246</v>
      </c>
    </row>
    <row r="1685" spans="1:11" x14ac:dyDescent="0.25">
      <c r="A1685" s="26">
        <v>1635</v>
      </c>
      <c r="B1685" s="82">
        <f t="shared" si="206"/>
        <v>0</v>
      </c>
      <c r="C1685" s="58">
        <f t="shared" si="210"/>
        <v>171.9194128119324</v>
      </c>
      <c r="D1685" s="83">
        <f t="shared" si="207"/>
        <v>733.33333333333326</v>
      </c>
      <c r="E1685">
        <f t="shared" si="203"/>
        <v>0</v>
      </c>
      <c r="G1685">
        <v>1635</v>
      </c>
      <c r="H1685" s="13">
        <f t="shared" si="208"/>
        <v>-1.0275684203264746E-2</v>
      </c>
      <c r="I1685">
        <f t="shared" si="209"/>
        <v>155.11866913959454</v>
      </c>
      <c r="J1685">
        <f t="shared" si="204"/>
        <v>671.35527081813075</v>
      </c>
      <c r="K1685" s="27">
        <f t="shared" si="205"/>
        <v>-4630.4004034168802</v>
      </c>
    </row>
    <row r="1686" spans="1:11" x14ac:dyDescent="0.25">
      <c r="A1686" s="26">
        <v>1636</v>
      </c>
      <c r="B1686" s="82">
        <f t="shared" si="206"/>
        <v>0</v>
      </c>
      <c r="C1686" s="58">
        <f t="shared" si="210"/>
        <v>171.9194128119324</v>
      </c>
      <c r="D1686" s="83">
        <f t="shared" si="207"/>
        <v>733.33333333333326</v>
      </c>
      <c r="E1686">
        <f t="shared" si="203"/>
        <v>0</v>
      </c>
      <c r="G1686">
        <v>1636</v>
      </c>
      <c r="H1686" s="13">
        <f t="shared" si="208"/>
        <v>-1.0275684203264746E-2</v>
      </c>
      <c r="I1686">
        <f t="shared" si="209"/>
        <v>155.10839345539128</v>
      </c>
      <c r="J1686">
        <f t="shared" si="204"/>
        <v>671.20531720311874</v>
      </c>
      <c r="K1686" s="27">
        <f t="shared" si="205"/>
        <v>-4628.3178216715969</v>
      </c>
    </row>
    <row r="1687" spans="1:11" x14ac:dyDescent="0.25">
      <c r="A1687" s="26">
        <v>1637</v>
      </c>
      <c r="B1687" s="82">
        <f t="shared" si="206"/>
        <v>0</v>
      </c>
      <c r="C1687" s="58">
        <f t="shared" si="210"/>
        <v>171.9194128119324</v>
      </c>
      <c r="D1687" s="83">
        <f t="shared" si="207"/>
        <v>733.33333333333326</v>
      </c>
      <c r="E1687">
        <f t="shared" si="203"/>
        <v>0</v>
      </c>
      <c r="G1687">
        <v>1637</v>
      </c>
      <c r="H1687" s="13">
        <f t="shared" si="208"/>
        <v>-1.0275684203264746E-2</v>
      </c>
      <c r="I1687">
        <f t="shared" si="209"/>
        <v>155.09811777118802</v>
      </c>
      <c r="J1687">
        <f t="shared" si="204"/>
        <v>671.05331989551337</v>
      </c>
      <c r="K1687" s="27">
        <f t="shared" si="205"/>
        <v>-4626.2069373775312</v>
      </c>
    </row>
    <row r="1688" spans="1:11" x14ac:dyDescent="0.25">
      <c r="A1688" s="26">
        <v>1638</v>
      </c>
      <c r="B1688" s="82">
        <f t="shared" si="206"/>
        <v>0</v>
      </c>
      <c r="C1688" s="58">
        <f t="shared" si="210"/>
        <v>171.9194128119324</v>
      </c>
      <c r="D1688" s="83">
        <f t="shared" si="207"/>
        <v>733.33333333333326</v>
      </c>
      <c r="E1688">
        <f t="shared" si="203"/>
        <v>0</v>
      </c>
      <c r="G1688">
        <v>1638</v>
      </c>
      <c r="H1688" s="13">
        <f t="shared" si="208"/>
        <v>-1.0275684203264746E-2</v>
      </c>
      <c r="I1688">
        <f t="shared" si="209"/>
        <v>155.08784208698475</v>
      </c>
      <c r="J1688">
        <f t="shared" si="204"/>
        <v>670.8991933932391</v>
      </c>
      <c r="K1688" s="27">
        <f t="shared" si="205"/>
        <v>-4624.0665491495811</v>
      </c>
    </row>
    <row r="1689" spans="1:11" x14ac:dyDescent="0.25">
      <c r="A1689" s="26">
        <v>1639</v>
      </c>
      <c r="B1689" s="82">
        <f t="shared" si="206"/>
        <v>0</v>
      </c>
      <c r="C1689" s="58">
        <f t="shared" si="210"/>
        <v>171.9194128119324</v>
      </c>
      <c r="D1689" s="83">
        <f t="shared" si="207"/>
        <v>733.33333333333326</v>
      </c>
      <c r="E1689">
        <f t="shared" si="203"/>
        <v>0</v>
      </c>
      <c r="G1689">
        <v>1639</v>
      </c>
      <c r="H1689" s="13">
        <f t="shared" si="208"/>
        <v>-1.0275684203264746E-2</v>
      </c>
      <c r="I1689">
        <f t="shared" si="209"/>
        <v>155.07756640278149</v>
      </c>
      <c r="J1689">
        <f t="shared" si="204"/>
        <v>670.74284605467881</v>
      </c>
      <c r="K1689" s="27">
        <f t="shared" si="205"/>
        <v>-4621.8953680152399</v>
      </c>
    </row>
    <row r="1690" spans="1:11" x14ac:dyDescent="0.25">
      <c r="A1690" s="26">
        <v>1640</v>
      </c>
      <c r="B1690" s="82">
        <f t="shared" si="206"/>
        <v>0</v>
      </c>
      <c r="C1690" s="58">
        <f t="shared" si="210"/>
        <v>171.9194128119324</v>
      </c>
      <c r="D1690" s="83">
        <f t="shared" si="207"/>
        <v>733.33333333333326</v>
      </c>
      <c r="E1690">
        <f t="shared" si="203"/>
        <v>0</v>
      </c>
      <c r="G1690">
        <v>1640</v>
      </c>
      <c r="H1690" s="13">
        <f t="shared" si="208"/>
        <v>-1.0275684203264746E-2</v>
      </c>
      <c r="I1690">
        <f t="shared" si="209"/>
        <v>155.06729071857822</v>
      </c>
      <c r="J1690">
        <f t="shared" si="204"/>
        <v>670.58417946306918</v>
      </c>
      <c r="K1690" s="27">
        <f t="shared" si="205"/>
        <v>-4619.6920082018632</v>
      </c>
    </row>
    <row r="1691" spans="1:11" x14ac:dyDescent="0.25">
      <c r="A1691" s="26">
        <v>1641</v>
      </c>
      <c r="B1691" s="82">
        <f t="shared" si="206"/>
        <v>0</v>
      </c>
      <c r="C1691" s="58">
        <f t="shared" si="210"/>
        <v>171.9194128119324</v>
      </c>
      <c r="D1691" s="83">
        <f t="shared" si="207"/>
        <v>733.33333333333326</v>
      </c>
      <c r="E1691">
        <f t="shared" si="203"/>
        <v>0</v>
      </c>
      <c r="G1691">
        <v>1641</v>
      </c>
      <c r="H1691" s="13">
        <f t="shared" si="208"/>
        <v>-1.0275684203264746E-2</v>
      </c>
      <c r="I1691">
        <f t="shared" si="209"/>
        <v>155.05701503437496</v>
      </c>
      <c r="J1691">
        <f t="shared" si="204"/>
        <v>670.42308770369948</v>
      </c>
      <c r="K1691" s="27">
        <f t="shared" si="205"/>
        <v>-4617.4549766389082</v>
      </c>
    </row>
    <row r="1692" spans="1:11" x14ac:dyDescent="0.25">
      <c r="A1692" s="26">
        <v>1642</v>
      </c>
      <c r="B1692" s="82">
        <f t="shared" si="206"/>
        <v>0</v>
      </c>
      <c r="C1692" s="58">
        <f t="shared" si="210"/>
        <v>171.9194128119324</v>
      </c>
      <c r="D1692" s="83">
        <f t="shared" si="207"/>
        <v>733.33333333333326</v>
      </c>
      <c r="E1692">
        <f t="shared" si="203"/>
        <v>0</v>
      </c>
      <c r="G1692">
        <v>1642</v>
      </c>
      <c r="H1692" s="13">
        <f t="shared" si="208"/>
        <v>-1.0275684203264746E-2</v>
      </c>
      <c r="I1692">
        <f t="shared" si="209"/>
        <v>155.04673935017169</v>
      </c>
      <c r="J1692">
        <f t="shared" si="204"/>
        <v>670.25945653883275</v>
      </c>
      <c r="K1692" s="27">
        <f t="shared" si="205"/>
        <v>-4615.182660948989</v>
      </c>
    </row>
    <row r="1693" spans="1:11" x14ac:dyDescent="0.25">
      <c r="A1693" s="26">
        <v>1643</v>
      </c>
      <c r="B1693" s="82">
        <f t="shared" si="206"/>
        <v>0</v>
      </c>
      <c r="C1693" s="58">
        <f t="shared" si="210"/>
        <v>171.9194128119324</v>
      </c>
      <c r="D1693" s="83">
        <f t="shared" si="207"/>
        <v>733.33333333333326</v>
      </c>
      <c r="E1693">
        <f t="shared" si="203"/>
        <v>0</v>
      </c>
      <c r="G1693">
        <v>1643</v>
      </c>
      <c r="H1693" s="13">
        <f t="shared" si="208"/>
        <v>-1.0275684203264746E-2</v>
      </c>
      <c r="I1693">
        <f t="shared" si="209"/>
        <v>155.03646366596843</v>
      </c>
      <c r="J1693">
        <f t="shared" si="204"/>
        <v>670.09316246208357</v>
      </c>
      <c r="K1693" s="27">
        <f t="shared" si="205"/>
        <v>-4612.8733156529715</v>
      </c>
    </row>
    <row r="1694" spans="1:11" x14ac:dyDescent="0.25">
      <c r="A1694" s="26">
        <v>1644</v>
      </c>
      <c r="B1694" s="82">
        <f t="shared" si="206"/>
        <v>0</v>
      </c>
      <c r="C1694" s="58">
        <f t="shared" si="210"/>
        <v>171.9194128119324</v>
      </c>
      <c r="D1694" s="83">
        <f t="shared" si="207"/>
        <v>733.33333333333326</v>
      </c>
      <c r="E1694">
        <f t="shared" si="203"/>
        <v>0</v>
      </c>
      <c r="G1694">
        <v>1644</v>
      </c>
      <c r="H1694" s="13">
        <f t="shared" si="208"/>
        <v>-1.0275684203264746E-2</v>
      </c>
      <c r="I1694">
        <f t="shared" si="209"/>
        <v>155.02618798176516</v>
      </c>
      <c r="J1694">
        <f t="shared" si="204"/>
        <v>669.92407161000244</v>
      </c>
      <c r="K1694" s="27">
        <f t="shared" si="205"/>
        <v>-4610.5250462532094</v>
      </c>
    </row>
    <row r="1695" spans="1:11" x14ac:dyDescent="0.25">
      <c r="A1695" s="26">
        <v>1645</v>
      </c>
      <c r="B1695" s="82">
        <f t="shared" si="206"/>
        <v>0</v>
      </c>
      <c r="C1695" s="58">
        <f t="shared" si="210"/>
        <v>171.9194128119324</v>
      </c>
      <c r="D1695" s="83">
        <f t="shared" si="207"/>
        <v>733.33333333333326</v>
      </c>
      <c r="E1695">
        <f t="shared" si="203"/>
        <v>0</v>
      </c>
      <c r="G1695">
        <v>1645</v>
      </c>
      <c r="H1695" s="13">
        <f t="shared" si="208"/>
        <v>-1.0275684203264746E-2</v>
      </c>
      <c r="I1695">
        <f t="shared" si="209"/>
        <v>155.0159122975619</v>
      </c>
      <c r="J1695">
        <f t="shared" si="204"/>
        <v>669.75203850359117</v>
      </c>
      <c r="K1695" s="27">
        <f t="shared" si="205"/>
        <v>-4608.1357907817301</v>
      </c>
    </row>
    <row r="1696" spans="1:11" x14ac:dyDescent="0.25">
      <c r="A1696" s="26">
        <v>1646</v>
      </c>
      <c r="B1696" s="82">
        <f t="shared" si="206"/>
        <v>0</v>
      </c>
      <c r="C1696" s="58">
        <f t="shared" si="210"/>
        <v>171.9194128119324</v>
      </c>
      <c r="D1696" s="83">
        <f t="shared" si="207"/>
        <v>733.33333333333326</v>
      </c>
      <c r="E1696">
        <f t="shared" si="203"/>
        <v>0</v>
      </c>
      <c r="G1696">
        <v>1646</v>
      </c>
      <c r="H1696" s="13">
        <f t="shared" si="208"/>
        <v>-1.0275684203264746E-2</v>
      </c>
      <c r="I1696">
        <f t="shared" si="209"/>
        <v>155.00563661335863</v>
      </c>
      <c r="J1696">
        <f t="shared" si="204"/>
        <v>669.57690458609795</v>
      </c>
      <c r="K1696" s="27">
        <f t="shared" si="205"/>
        <v>-4605.7032983014697</v>
      </c>
    </row>
    <row r="1697" spans="1:11" x14ac:dyDescent="0.25">
      <c r="A1697" s="26">
        <v>1647</v>
      </c>
      <c r="B1697" s="82">
        <f t="shared" si="206"/>
        <v>0</v>
      </c>
      <c r="C1697" s="58">
        <f t="shared" si="210"/>
        <v>171.9194128119324</v>
      </c>
      <c r="D1697" s="83">
        <f t="shared" si="207"/>
        <v>733.33333333333326</v>
      </c>
      <c r="E1697">
        <f t="shared" si="203"/>
        <v>0</v>
      </c>
      <c r="G1697">
        <v>1647</v>
      </c>
      <c r="H1697" s="13">
        <f t="shared" si="208"/>
        <v>-1.0275684203264746E-2</v>
      </c>
      <c r="I1697">
        <f t="shared" si="209"/>
        <v>154.99536092915537</v>
      </c>
      <c r="J1697">
        <f t="shared" si="204"/>
        <v>669.39849651527061</v>
      </c>
      <c r="K1697" s="27">
        <f t="shared" si="205"/>
        <v>-4603.2251037218839</v>
      </c>
    </row>
    <row r="1698" spans="1:11" x14ac:dyDescent="0.25">
      <c r="A1698" s="26">
        <v>1648</v>
      </c>
      <c r="B1698" s="82">
        <f t="shared" si="206"/>
        <v>0</v>
      </c>
      <c r="C1698" s="58">
        <f t="shared" si="210"/>
        <v>171.9194128119324</v>
      </c>
      <c r="D1698" s="83">
        <f t="shared" si="207"/>
        <v>733.33333333333326</v>
      </c>
      <c r="E1698">
        <f t="shared" si="203"/>
        <v>0</v>
      </c>
      <c r="G1698">
        <v>1648</v>
      </c>
      <c r="H1698" s="13">
        <f t="shared" si="208"/>
        <v>-1.0275684203264746E-2</v>
      </c>
      <c r="I1698">
        <f t="shared" si="209"/>
        <v>154.9850852449521</v>
      </c>
      <c r="J1698">
        <f t="shared" si="204"/>
        <v>669.21662415771152</v>
      </c>
      <c r="K1698" s="27">
        <f t="shared" si="205"/>
        <v>-4600.6984981255582</v>
      </c>
    </row>
    <row r="1699" spans="1:11" x14ac:dyDescent="0.25">
      <c r="A1699" s="26">
        <v>1649</v>
      </c>
      <c r="B1699" s="82">
        <f t="shared" si="206"/>
        <v>0</v>
      </c>
      <c r="C1699" s="58">
        <f t="shared" si="210"/>
        <v>171.9194128119324</v>
      </c>
      <c r="D1699" s="83">
        <f t="shared" si="207"/>
        <v>733.33333333333326</v>
      </c>
      <c r="E1699">
        <f t="shared" si="203"/>
        <v>0</v>
      </c>
      <c r="G1699">
        <v>1649</v>
      </c>
      <c r="H1699" s="13">
        <f t="shared" si="208"/>
        <v>-1.0275684203264746E-2</v>
      </c>
      <c r="I1699">
        <f t="shared" si="209"/>
        <v>154.97480956074884</v>
      </c>
      <c r="J1699">
        <f t="shared" si="204"/>
        <v>669.03107821924345</v>
      </c>
      <c r="K1699" s="27">
        <f t="shared" si="205"/>
        <v>-4598.1204935869046</v>
      </c>
    </row>
    <row r="1700" spans="1:11" x14ac:dyDescent="0.25">
      <c r="A1700" s="26">
        <v>1650</v>
      </c>
      <c r="B1700" s="82">
        <f t="shared" si="206"/>
        <v>0</v>
      </c>
      <c r="C1700" s="58">
        <f t="shared" si="210"/>
        <v>171.9194128119324</v>
      </c>
      <c r="D1700" s="83">
        <f t="shared" si="207"/>
        <v>733.33333333333326</v>
      </c>
      <c r="E1700">
        <f t="shared" si="203"/>
        <v>0</v>
      </c>
      <c r="G1700">
        <v>1650</v>
      </c>
      <c r="H1700" s="13">
        <f t="shared" si="208"/>
        <v>-1.0275684203264746E-2</v>
      </c>
      <c r="I1700">
        <f t="shared" si="209"/>
        <v>154.96453387654557</v>
      </c>
      <c r="J1700">
        <f t="shared" si="204"/>
        <v>668.84162742713727</v>
      </c>
      <c r="K1700" s="27">
        <f t="shared" si="205"/>
        <v>-4595.4877811786855</v>
      </c>
    </row>
    <row r="1701" spans="1:11" x14ac:dyDescent="0.25">
      <c r="A1701" s="26">
        <v>1651</v>
      </c>
      <c r="B1701" s="82">
        <f t="shared" si="206"/>
        <v>0</v>
      </c>
      <c r="C1701" s="58">
        <f t="shared" si="210"/>
        <v>171.9194128119324</v>
      </c>
      <c r="D1701" s="83">
        <f t="shared" si="207"/>
        <v>733.33333333333326</v>
      </c>
      <c r="E1701">
        <f t="shared" si="203"/>
        <v>0</v>
      </c>
      <c r="G1701">
        <v>1651</v>
      </c>
      <c r="H1701" s="13">
        <f t="shared" si="208"/>
        <v>-1.0275684203264746E-2</v>
      </c>
      <c r="I1701">
        <f t="shared" si="209"/>
        <v>154.95425819234231</v>
      </c>
      <c r="J1701">
        <f t="shared" si="204"/>
        <v>668.6480151560429</v>
      </c>
      <c r="K1701" s="27">
        <f t="shared" si="205"/>
        <v>-4592.79668048041</v>
      </c>
    </row>
    <row r="1702" spans="1:11" x14ac:dyDescent="0.25">
      <c r="A1702" s="26">
        <v>1652</v>
      </c>
      <c r="B1702" s="82">
        <f t="shared" si="206"/>
        <v>0</v>
      </c>
      <c r="C1702" s="58">
        <f t="shared" si="210"/>
        <v>171.9194128119324</v>
      </c>
      <c r="D1702" s="83">
        <f t="shared" si="207"/>
        <v>733.33333333333326</v>
      </c>
      <c r="E1702">
        <f t="shared" si="203"/>
        <v>0</v>
      </c>
      <c r="G1702">
        <v>1652</v>
      </c>
      <c r="H1702" s="13">
        <f t="shared" si="208"/>
        <v>-1.0275684203264746E-2</v>
      </c>
      <c r="I1702">
        <f t="shared" si="209"/>
        <v>154.94398250813904</v>
      </c>
      <c r="J1702">
        <f t="shared" si="204"/>
        <v>668.4499553571967</v>
      </c>
      <c r="K1702" s="27">
        <f t="shared" si="205"/>
        <v>-4590.0430783858756</v>
      </c>
    </row>
    <row r="1703" spans="1:11" x14ac:dyDescent="0.25">
      <c r="A1703" s="26">
        <v>1653</v>
      </c>
      <c r="B1703" s="82">
        <f t="shared" si="206"/>
        <v>0</v>
      </c>
      <c r="C1703" s="58">
        <f t="shared" si="210"/>
        <v>171.9194128119324</v>
      </c>
      <c r="D1703" s="83">
        <f t="shared" si="207"/>
        <v>733.33333333333326</v>
      </c>
      <c r="E1703">
        <f t="shared" si="203"/>
        <v>0</v>
      </c>
      <c r="G1703">
        <v>1653</v>
      </c>
      <c r="H1703" s="13">
        <f t="shared" si="208"/>
        <v>-1.0275684203264746E-2</v>
      </c>
      <c r="I1703">
        <f t="shared" si="209"/>
        <v>154.93370682393578</v>
      </c>
      <c r="J1703">
        <f t="shared" si="204"/>
        <v>668.24712760654961</v>
      </c>
      <c r="K1703" s="27">
        <f t="shared" si="205"/>
        <v>-4587.2223542983547</v>
      </c>
    </row>
    <row r="1704" spans="1:11" x14ac:dyDescent="0.25">
      <c r="A1704" s="26">
        <v>1654</v>
      </c>
      <c r="B1704" s="82">
        <f t="shared" si="206"/>
        <v>0</v>
      </c>
      <c r="C1704" s="58">
        <f t="shared" si="210"/>
        <v>171.9194128119324</v>
      </c>
      <c r="D1704" s="83">
        <f t="shared" si="207"/>
        <v>733.33333333333326</v>
      </c>
      <c r="E1704">
        <f t="shared" si="203"/>
        <v>0</v>
      </c>
      <c r="G1704">
        <v>1654</v>
      </c>
      <c r="H1704" s="13">
        <f t="shared" si="208"/>
        <v>-1.0275684203264746E-2</v>
      </c>
      <c r="I1704">
        <f t="shared" si="209"/>
        <v>154.92343113973251</v>
      </c>
      <c r="J1704">
        <f t="shared" si="204"/>
        <v>668.03917102688081</v>
      </c>
      <c r="K1704" s="27">
        <f t="shared" si="205"/>
        <v>-4584.3292878159336</v>
      </c>
    </row>
    <row r="1705" spans="1:11" x14ac:dyDescent="0.25">
      <c r="A1705" s="26">
        <v>1655</v>
      </c>
      <c r="B1705" s="82">
        <f t="shared" si="206"/>
        <v>0</v>
      </c>
      <c r="C1705" s="58">
        <f t="shared" si="210"/>
        <v>171.9194128119324</v>
      </c>
      <c r="D1705" s="83">
        <f t="shared" si="207"/>
        <v>733.33333333333326</v>
      </c>
      <c r="E1705">
        <f t="shared" si="203"/>
        <v>0</v>
      </c>
      <c r="G1705">
        <v>1655</v>
      </c>
      <c r="H1705" s="13">
        <f t="shared" si="208"/>
        <v>-1.0275684203264746E-2</v>
      </c>
      <c r="I1705">
        <f t="shared" si="209"/>
        <v>154.91315545552925</v>
      </c>
      <c r="J1705">
        <f t="shared" si="204"/>
        <v>667.82567675417238</v>
      </c>
      <c r="K1705" s="27">
        <f t="shared" si="205"/>
        <v>-4581.3579436168347</v>
      </c>
    </row>
    <row r="1706" spans="1:11" x14ac:dyDescent="0.25">
      <c r="A1706" s="26">
        <v>1656</v>
      </c>
      <c r="B1706" s="82">
        <f t="shared" si="206"/>
        <v>0</v>
      </c>
      <c r="C1706" s="58">
        <f t="shared" si="210"/>
        <v>171.9194128119324</v>
      </c>
      <c r="D1706" s="83">
        <f t="shared" si="207"/>
        <v>733.33333333333326</v>
      </c>
      <c r="E1706">
        <f t="shared" si="203"/>
        <v>0</v>
      </c>
      <c r="G1706">
        <v>1656</v>
      </c>
      <c r="H1706" s="13">
        <f t="shared" si="208"/>
        <v>-1.0275684203264746E-2</v>
      </c>
      <c r="I1706">
        <f t="shared" si="209"/>
        <v>154.90287977132598</v>
      </c>
      <c r="J1706">
        <f t="shared" si="204"/>
        <v>667.60617849795642</v>
      </c>
      <c r="K1706" s="27">
        <f t="shared" si="205"/>
        <v>-4578.3015262532517</v>
      </c>
    </row>
    <row r="1707" spans="1:11" x14ac:dyDescent="0.25">
      <c r="A1707" s="26">
        <v>1657</v>
      </c>
      <c r="B1707" s="82">
        <f t="shared" si="206"/>
        <v>0</v>
      </c>
      <c r="C1707" s="58">
        <f t="shared" si="210"/>
        <v>171.9194128119324</v>
      </c>
      <c r="D1707" s="83">
        <f t="shared" si="207"/>
        <v>733.33333333333326</v>
      </c>
      <c r="E1707">
        <f t="shared" si="203"/>
        <v>0</v>
      </c>
      <c r="G1707">
        <v>1657</v>
      </c>
      <c r="H1707" s="13">
        <f t="shared" si="208"/>
        <v>-1.0275684203264746E-2</v>
      </c>
      <c r="I1707">
        <f t="shared" si="209"/>
        <v>154.89260408712272</v>
      </c>
      <c r="J1707">
        <f t="shared" si="204"/>
        <v>667.38014057084195</v>
      </c>
      <c r="K1707" s="27">
        <f t="shared" si="205"/>
        <v>-4575.1521946322218</v>
      </c>
    </row>
    <row r="1708" spans="1:11" x14ac:dyDescent="0.25">
      <c r="A1708" s="26">
        <v>1658</v>
      </c>
      <c r="B1708" s="82">
        <f t="shared" si="206"/>
        <v>0</v>
      </c>
      <c r="C1708" s="58">
        <f t="shared" si="210"/>
        <v>171.9194128119324</v>
      </c>
      <c r="D1708" s="83">
        <f t="shared" si="207"/>
        <v>733.33333333333326</v>
      </c>
      <c r="E1708">
        <f t="shared" si="203"/>
        <v>0</v>
      </c>
      <c r="G1708">
        <v>1658</v>
      </c>
      <c r="H1708" s="13">
        <f t="shared" si="208"/>
        <v>-1.0275684203264746E-2</v>
      </c>
      <c r="I1708">
        <f t="shared" si="209"/>
        <v>154.88232840291946</v>
      </c>
      <c r="J1708">
        <f t="shared" si="204"/>
        <v>667.14694250491959</v>
      </c>
      <c r="K1708" s="27">
        <f t="shared" si="205"/>
        <v>-4571.9008215816939</v>
      </c>
    </row>
    <row r="1709" spans="1:11" x14ac:dyDescent="0.25">
      <c r="A1709" s="26">
        <v>1659</v>
      </c>
      <c r="B1709" s="82">
        <f t="shared" si="206"/>
        <v>0</v>
      </c>
      <c r="C1709" s="58">
        <f t="shared" si="210"/>
        <v>171.9194128119324</v>
      </c>
      <c r="D1709" s="83">
        <f t="shared" si="207"/>
        <v>733.33333333333326</v>
      </c>
      <c r="E1709">
        <f t="shared" si="203"/>
        <v>0</v>
      </c>
      <c r="G1709">
        <v>1659</v>
      </c>
      <c r="H1709" s="13">
        <f t="shared" si="208"/>
        <v>-1.0275684203264746E-2</v>
      </c>
      <c r="I1709">
        <f t="shared" si="209"/>
        <v>154.87205271871619</v>
      </c>
      <c r="J1709">
        <f t="shared" si="204"/>
        <v>666.90585898440543</v>
      </c>
      <c r="K1709" s="27">
        <f t="shared" si="205"/>
        <v>-4568.5366771964736</v>
      </c>
    </row>
    <row r="1710" spans="1:11" x14ac:dyDescent="0.25">
      <c r="A1710" s="26">
        <v>1660</v>
      </c>
      <c r="B1710" s="82">
        <f t="shared" si="206"/>
        <v>0</v>
      </c>
      <c r="C1710" s="58">
        <f t="shared" si="210"/>
        <v>171.9194128119324</v>
      </c>
      <c r="D1710" s="83">
        <f t="shared" si="207"/>
        <v>733.33333333333326</v>
      </c>
      <c r="E1710">
        <f t="shared" si="203"/>
        <v>0</v>
      </c>
      <c r="G1710">
        <v>1660</v>
      </c>
      <c r="H1710" s="13">
        <f t="shared" si="208"/>
        <v>-1.0275684203264746E-2</v>
      </c>
      <c r="I1710">
        <f t="shared" si="209"/>
        <v>154.86177703451293</v>
      </c>
      <c r="J1710">
        <f t="shared" si="204"/>
        <v>666.65603322384936</v>
      </c>
      <c r="K1710" s="27">
        <f t="shared" si="205"/>
        <v>-4565.0470041264389</v>
      </c>
    </row>
    <row r="1711" spans="1:11" x14ac:dyDescent="0.25">
      <c r="A1711" s="26">
        <v>1661</v>
      </c>
      <c r="B1711" s="82">
        <f t="shared" si="206"/>
        <v>0</v>
      </c>
      <c r="C1711" s="58">
        <f t="shared" si="210"/>
        <v>171.9194128119324</v>
      </c>
      <c r="D1711" s="83">
        <f t="shared" si="207"/>
        <v>733.33333333333326</v>
      </c>
      <c r="E1711">
        <f t="shared" si="203"/>
        <v>0</v>
      </c>
      <c r="G1711">
        <v>1661</v>
      </c>
      <c r="H1711" s="13">
        <f t="shared" si="208"/>
        <v>-1.0275684203264746E-2</v>
      </c>
      <c r="I1711">
        <f t="shared" si="209"/>
        <v>154.85150135030966</v>
      </c>
      <c r="J1711">
        <f t="shared" si="204"/>
        <v>666.39644096839095</v>
      </c>
      <c r="K1711" s="27">
        <f t="shared" si="205"/>
        <v>-4561.41643591923</v>
      </c>
    </row>
    <row r="1712" spans="1:11" x14ac:dyDescent="0.25">
      <c r="A1712" s="26">
        <v>1662</v>
      </c>
      <c r="B1712" s="82">
        <f t="shared" si="206"/>
        <v>0</v>
      </c>
      <c r="C1712" s="58">
        <f t="shared" si="210"/>
        <v>171.9194128119324</v>
      </c>
      <c r="D1712" s="83">
        <f t="shared" si="207"/>
        <v>733.33333333333326</v>
      </c>
      <c r="E1712">
        <f t="shared" si="203"/>
        <v>0</v>
      </c>
      <c r="G1712">
        <v>1662</v>
      </c>
      <c r="H1712" s="13">
        <f t="shared" si="208"/>
        <v>-1.0275684203264746E-2</v>
      </c>
      <c r="I1712">
        <f t="shared" si="209"/>
        <v>154.8412256661064</v>
      </c>
      <c r="J1712">
        <f t="shared" si="204"/>
        <v>666.12584073151311</v>
      </c>
      <c r="K1712" s="27">
        <f t="shared" si="205"/>
        <v>-4557.6261809643565</v>
      </c>
    </row>
    <row r="1713" spans="1:11" x14ac:dyDescent="0.25">
      <c r="A1713" s="26">
        <v>1663</v>
      </c>
      <c r="B1713" s="82">
        <f t="shared" si="206"/>
        <v>0</v>
      </c>
      <c r="C1713" s="58">
        <f t="shared" si="210"/>
        <v>171.9194128119324</v>
      </c>
      <c r="D1713" s="83">
        <f t="shared" si="207"/>
        <v>733.33333333333326</v>
      </c>
      <c r="E1713">
        <f t="shared" si="203"/>
        <v>0</v>
      </c>
      <c r="G1713">
        <v>1663</v>
      </c>
      <c r="H1713" s="13">
        <f t="shared" si="208"/>
        <v>-1.0275684203264746E-2</v>
      </c>
      <c r="I1713">
        <f t="shared" si="209"/>
        <v>154.83094998190313</v>
      </c>
      <c r="J1713">
        <f t="shared" si="204"/>
        <v>665.84270323516807</v>
      </c>
      <c r="K1713" s="27">
        <f t="shared" si="205"/>
        <v>-4553.6528447863329</v>
      </c>
    </row>
    <row r="1714" spans="1:11" x14ac:dyDescent="0.25">
      <c r="A1714" s="26">
        <v>1664</v>
      </c>
      <c r="B1714" s="82">
        <f t="shared" si="206"/>
        <v>0</v>
      </c>
      <c r="C1714" s="58">
        <f t="shared" si="210"/>
        <v>171.9194128119324</v>
      </c>
      <c r="D1714" s="83">
        <f t="shared" si="207"/>
        <v>733.33333333333326</v>
      </c>
      <c r="E1714">
        <f t="shared" si="203"/>
        <v>0</v>
      </c>
      <c r="G1714">
        <v>1664</v>
      </c>
      <c r="H1714" s="13">
        <f t="shared" si="208"/>
        <v>-1.0275684203264746E-2</v>
      </c>
      <c r="I1714">
        <f t="shared" si="209"/>
        <v>154.82067429769987</v>
      </c>
      <c r="J1714">
        <f t="shared" si="204"/>
        <v>665.5451083254751</v>
      </c>
      <c r="K1714" s="27">
        <f t="shared" si="205"/>
        <v>-4549.4666724603039</v>
      </c>
    </row>
    <row r="1715" spans="1:11" x14ac:dyDescent="0.25">
      <c r="A1715" s="26">
        <v>1665</v>
      </c>
      <c r="B1715" s="82">
        <f t="shared" si="206"/>
        <v>0</v>
      </c>
      <c r="C1715" s="58">
        <f t="shared" si="210"/>
        <v>171.9194128119324</v>
      </c>
      <c r="D1715" s="83">
        <f t="shared" si="207"/>
        <v>733.33333333333326</v>
      </c>
      <c r="E1715">
        <f t="shared" ref="E1715:E1778" si="211">((D1715^2)+(D1715*D1716)+(D1716^2))*B1716/3</f>
        <v>0</v>
      </c>
      <c r="G1715">
        <v>1665</v>
      </c>
      <c r="H1715" s="13">
        <f t="shared" si="208"/>
        <v>-1.0275684203264746E-2</v>
      </c>
      <c r="I1715">
        <f t="shared" si="209"/>
        <v>154.8103986134966</v>
      </c>
      <c r="J1715">
        <f t="shared" ref="J1715:J1778" si="212">IF($G$28&lt;$C$14,0,((($C$11^2)-((I1715-$C$13)^2))^0.5)+$C$16)</f>
        <v>665.23058891606763</v>
      </c>
      <c r="K1715" s="27">
        <f t="shared" ref="K1715:K1778" si="213">((J1715^2)+(J1715*J1716)+(J1716^2))*H1716/3</f>
        <v>-4545.0288171827187</v>
      </c>
    </row>
    <row r="1716" spans="1:11" x14ac:dyDescent="0.25">
      <c r="A1716" s="26">
        <v>1666</v>
      </c>
      <c r="B1716" s="82">
        <f t="shared" ref="B1716:B1779" si="214">C1716-C1715</f>
        <v>0</v>
      </c>
      <c r="C1716" s="58">
        <f t="shared" si="210"/>
        <v>171.9194128119324</v>
      </c>
      <c r="D1716" s="83">
        <f t="shared" ref="D1716:D1779" si="215">IF($G$28&lt;$C$14,0,((($C$11^2)-((C1716-$C$13)^2))^0.5)+$C$16)</f>
        <v>733.33333333333326</v>
      </c>
      <c r="E1716">
        <f t="shared" si="211"/>
        <v>0</v>
      </c>
      <c r="G1716">
        <v>1666</v>
      </c>
      <c r="H1716" s="13">
        <f t="shared" ref="H1716:H1779" si="216">I1716-I1715</f>
        <v>-1.0275684203264746E-2</v>
      </c>
      <c r="I1716">
        <f t="shared" ref="I1716:I1779" si="217">($G$27-$C$14)/2000+I1715</f>
        <v>154.80012292929334</v>
      </c>
      <c r="J1716">
        <f t="shared" si="212"/>
        <v>664.89588432228095</v>
      </c>
      <c r="K1716" s="27">
        <f t="shared" si="213"/>
        <v>-4540.2868776167952</v>
      </c>
    </row>
    <row r="1717" spans="1:11" x14ac:dyDescent="0.25">
      <c r="A1717" s="26">
        <v>1667</v>
      </c>
      <c r="B1717" s="82">
        <f t="shared" si="214"/>
        <v>0</v>
      </c>
      <c r="C1717" s="58">
        <f t="shared" si="210"/>
        <v>171.9194128119324</v>
      </c>
      <c r="D1717" s="83">
        <f t="shared" si="215"/>
        <v>733.33333333333326</v>
      </c>
      <c r="E1717">
        <f t="shared" si="211"/>
        <v>0</v>
      </c>
      <c r="G1717">
        <v>1667</v>
      </c>
      <c r="H1717" s="13">
        <f t="shared" si="216"/>
        <v>-1.0275684203264746E-2</v>
      </c>
      <c r="I1717">
        <f t="shared" si="217"/>
        <v>154.78984724509007</v>
      </c>
      <c r="J1717">
        <f t="shared" si="212"/>
        <v>664.53652896012443</v>
      </c>
      <c r="K1717" s="27">
        <f t="shared" si="213"/>
        <v>-4535.1671282977595</v>
      </c>
    </row>
    <row r="1718" spans="1:11" x14ac:dyDescent="0.25">
      <c r="A1718" s="26">
        <v>1668</v>
      </c>
      <c r="B1718" s="82">
        <f t="shared" si="214"/>
        <v>0</v>
      </c>
      <c r="C1718" s="58">
        <f t="shared" si="210"/>
        <v>171.9194128119324</v>
      </c>
      <c r="D1718" s="83">
        <f t="shared" si="215"/>
        <v>733.33333333333326</v>
      </c>
      <c r="E1718">
        <f t="shared" si="211"/>
        <v>0</v>
      </c>
      <c r="G1718">
        <v>1668</v>
      </c>
      <c r="H1718" s="13">
        <f t="shared" si="216"/>
        <v>-1.0275684203264746E-2</v>
      </c>
      <c r="I1718">
        <f t="shared" si="217"/>
        <v>154.77957156088681</v>
      </c>
      <c r="J1718">
        <f t="shared" si="212"/>
        <v>664.1461181285116</v>
      </c>
      <c r="K1718" s="27">
        <f t="shared" si="213"/>
        <v>-4529.5598094874176</v>
      </c>
    </row>
    <row r="1719" spans="1:11" x14ac:dyDescent="0.25">
      <c r="A1719" s="26">
        <v>1669</v>
      </c>
      <c r="B1719" s="82">
        <f t="shared" si="214"/>
        <v>0</v>
      </c>
      <c r="C1719" s="58">
        <f t="shared" si="210"/>
        <v>171.9194128119324</v>
      </c>
      <c r="D1719" s="83">
        <f t="shared" si="215"/>
        <v>733.33333333333326</v>
      </c>
      <c r="E1719">
        <f t="shared" si="211"/>
        <v>0</v>
      </c>
      <c r="G1719">
        <v>1669</v>
      </c>
      <c r="H1719" s="13">
        <f t="shared" si="216"/>
        <v>-1.0275684203264746E-2</v>
      </c>
      <c r="I1719">
        <f t="shared" si="217"/>
        <v>154.76929587668354</v>
      </c>
      <c r="J1719">
        <f t="shared" si="212"/>
        <v>663.7148734683326</v>
      </c>
      <c r="K1719" s="27">
        <f t="shared" si="213"/>
        <v>-4523.2878266839716</v>
      </c>
    </row>
    <row r="1720" spans="1:11" x14ac:dyDescent="0.25">
      <c r="A1720" s="26">
        <v>1670</v>
      </c>
      <c r="B1720" s="82">
        <f t="shared" si="214"/>
        <v>0</v>
      </c>
      <c r="C1720" s="58">
        <f t="shared" si="210"/>
        <v>171.9194128119324</v>
      </c>
      <c r="D1720" s="83">
        <f t="shared" si="215"/>
        <v>733.33333333333326</v>
      </c>
      <c r="E1720">
        <f t="shared" si="211"/>
        <v>0</v>
      </c>
      <c r="G1720">
        <v>1670</v>
      </c>
      <c r="H1720" s="13">
        <f t="shared" si="216"/>
        <v>-1.0275684203264746E-2</v>
      </c>
      <c r="I1720">
        <f t="shared" si="217"/>
        <v>154.75902019248028</v>
      </c>
      <c r="J1720">
        <f t="shared" si="212"/>
        <v>663.22646293276409</v>
      </c>
      <c r="K1720" s="27">
        <f t="shared" si="213"/>
        <v>-4516.0272339980029</v>
      </c>
    </row>
    <row r="1721" spans="1:11" x14ac:dyDescent="0.25">
      <c r="A1721" s="26">
        <v>1671</v>
      </c>
      <c r="B1721" s="82">
        <f t="shared" si="214"/>
        <v>0</v>
      </c>
      <c r="C1721" s="58">
        <f t="shared" si="210"/>
        <v>171.9194128119324</v>
      </c>
      <c r="D1721" s="83">
        <f t="shared" si="215"/>
        <v>733.33333333333326</v>
      </c>
      <c r="E1721">
        <f t="shared" si="211"/>
        <v>0</v>
      </c>
      <c r="G1721">
        <v>1671</v>
      </c>
      <c r="H1721" s="13">
        <f t="shared" si="216"/>
        <v>-1.0275684203264746E-2</v>
      </c>
      <c r="I1721">
        <f t="shared" si="217"/>
        <v>154.74874450827701</v>
      </c>
      <c r="J1721">
        <f t="shared" si="212"/>
        <v>662.64945844426882</v>
      </c>
      <c r="K1721" s="27">
        <f t="shared" si="213"/>
        <v>-4507.0298476053767</v>
      </c>
    </row>
    <row r="1722" spans="1:11" x14ac:dyDescent="0.25">
      <c r="A1722" s="26">
        <v>1672</v>
      </c>
      <c r="B1722" s="82">
        <f t="shared" si="214"/>
        <v>0</v>
      </c>
      <c r="C1722" s="58">
        <f t="shared" si="210"/>
        <v>171.9194128119324</v>
      </c>
      <c r="D1722" s="83">
        <f t="shared" si="215"/>
        <v>733.33333333333326</v>
      </c>
      <c r="E1722">
        <f t="shared" si="211"/>
        <v>0</v>
      </c>
      <c r="G1722">
        <v>1672</v>
      </c>
      <c r="H1722" s="13">
        <f t="shared" si="216"/>
        <v>-1.0275684203264746E-2</v>
      </c>
      <c r="I1722">
        <f t="shared" si="217"/>
        <v>154.73846882407375</v>
      </c>
      <c r="J1722">
        <f t="shared" si="212"/>
        <v>661.90498972699095</v>
      </c>
      <c r="K1722" s="27">
        <f t="shared" si="213"/>
        <v>-4492.333515404599</v>
      </c>
    </row>
    <row r="1723" spans="1:11" x14ac:dyDescent="0.25">
      <c r="A1723" s="26">
        <v>1673</v>
      </c>
      <c r="B1723" s="82">
        <f t="shared" si="214"/>
        <v>0</v>
      </c>
      <c r="C1723" s="58">
        <f t="shared" si="210"/>
        <v>171.9194128119324</v>
      </c>
      <c r="D1723" s="83">
        <f t="shared" si="215"/>
        <v>733.33333333333326</v>
      </c>
      <c r="E1723">
        <f t="shared" si="211"/>
        <v>0</v>
      </c>
      <c r="G1723">
        <v>1673</v>
      </c>
      <c r="H1723" s="13">
        <f t="shared" si="216"/>
        <v>-1.0275684203264746E-2</v>
      </c>
      <c r="I1723">
        <f t="shared" si="217"/>
        <v>154.72819313987048</v>
      </c>
      <c r="J1723">
        <f t="shared" si="212"/>
        <v>660.48798616026045</v>
      </c>
      <c r="K1723" s="27" t="e">
        <f t="shared" si="213"/>
        <v>#NUM!</v>
      </c>
    </row>
    <row r="1724" spans="1:11" x14ac:dyDescent="0.25">
      <c r="A1724" s="26">
        <v>1674</v>
      </c>
      <c r="B1724" s="82">
        <f t="shared" si="214"/>
        <v>0</v>
      </c>
      <c r="C1724" s="58">
        <f t="shared" si="210"/>
        <v>171.9194128119324</v>
      </c>
      <c r="D1724" s="83">
        <f t="shared" si="215"/>
        <v>733.33333333333326</v>
      </c>
      <c r="E1724">
        <f t="shared" si="211"/>
        <v>0</v>
      </c>
      <c r="G1724">
        <v>1674</v>
      </c>
      <c r="H1724" s="13">
        <f t="shared" si="216"/>
        <v>-1.0275684203264746E-2</v>
      </c>
      <c r="I1724">
        <f t="shared" si="217"/>
        <v>154.71791745566722</v>
      </c>
      <c r="J1724" t="e">
        <f t="shared" si="212"/>
        <v>#NUM!</v>
      </c>
      <c r="K1724" s="27" t="e">
        <f t="shared" si="213"/>
        <v>#NUM!</v>
      </c>
    </row>
    <row r="1725" spans="1:11" x14ac:dyDescent="0.25">
      <c r="A1725" s="26">
        <v>1675</v>
      </c>
      <c r="B1725" s="82">
        <f t="shared" si="214"/>
        <v>0</v>
      </c>
      <c r="C1725" s="58">
        <f t="shared" si="210"/>
        <v>171.9194128119324</v>
      </c>
      <c r="D1725" s="83">
        <f t="shared" si="215"/>
        <v>733.33333333333326</v>
      </c>
      <c r="E1725">
        <f t="shared" si="211"/>
        <v>0</v>
      </c>
      <c r="G1725">
        <v>1675</v>
      </c>
      <c r="H1725" s="13">
        <f t="shared" si="216"/>
        <v>-1.0275684203264746E-2</v>
      </c>
      <c r="I1725">
        <f t="shared" si="217"/>
        <v>154.70764177146395</v>
      </c>
      <c r="J1725" t="e">
        <f t="shared" si="212"/>
        <v>#NUM!</v>
      </c>
      <c r="K1725" s="27" t="e">
        <f t="shared" si="213"/>
        <v>#NUM!</v>
      </c>
    </row>
    <row r="1726" spans="1:11" x14ac:dyDescent="0.25">
      <c r="A1726" s="26">
        <v>1676</v>
      </c>
      <c r="B1726" s="82">
        <f t="shared" si="214"/>
        <v>0</v>
      </c>
      <c r="C1726" s="58">
        <f t="shared" si="210"/>
        <v>171.9194128119324</v>
      </c>
      <c r="D1726" s="83">
        <f t="shared" si="215"/>
        <v>733.33333333333326</v>
      </c>
      <c r="E1726">
        <f t="shared" si="211"/>
        <v>0</v>
      </c>
      <c r="G1726">
        <v>1676</v>
      </c>
      <c r="H1726" s="13">
        <f t="shared" si="216"/>
        <v>-1.0275684203264746E-2</v>
      </c>
      <c r="I1726">
        <f t="shared" si="217"/>
        <v>154.69736608726069</v>
      </c>
      <c r="J1726" t="e">
        <f t="shared" si="212"/>
        <v>#NUM!</v>
      </c>
      <c r="K1726" s="27" t="e">
        <f t="shared" si="213"/>
        <v>#NUM!</v>
      </c>
    </row>
    <row r="1727" spans="1:11" x14ac:dyDescent="0.25">
      <c r="A1727" s="26">
        <v>1677</v>
      </c>
      <c r="B1727" s="82">
        <f t="shared" si="214"/>
        <v>0</v>
      </c>
      <c r="C1727" s="58">
        <f t="shared" si="210"/>
        <v>171.9194128119324</v>
      </c>
      <c r="D1727" s="83">
        <f t="shared" si="215"/>
        <v>733.33333333333326</v>
      </c>
      <c r="E1727">
        <f t="shared" si="211"/>
        <v>0</v>
      </c>
      <c r="G1727">
        <v>1677</v>
      </c>
      <c r="H1727" s="13">
        <f t="shared" si="216"/>
        <v>-1.0275684203264746E-2</v>
      </c>
      <c r="I1727">
        <f t="shared" si="217"/>
        <v>154.68709040305743</v>
      </c>
      <c r="J1727" t="e">
        <f t="shared" si="212"/>
        <v>#NUM!</v>
      </c>
      <c r="K1727" s="27" t="e">
        <f t="shared" si="213"/>
        <v>#NUM!</v>
      </c>
    </row>
    <row r="1728" spans="1:11" x14ac:dyDescent="0.25">
      <c r="A1728" s="26">
        <v>1678</v>
      </c>
      <c r="B1728" s="82">
        <f t="shared" si="214"/>
        <v>0</v>
      </c>
      <c r="C1728" s="58">
        <f t="shared" si="210"/>
        <v>171.9194128119324</v>
      </c>
      <c r="D1728" s="83">
        <f t="shared" si="215"/>
        <v>733.33333333333326</v>
      </c>
      <c r="E1728">
        <f t="shared" si="211"/>
        <v>0</v>
      </c>
      <c r="G1728">
        <v>1678</v>
      </c>
      <c r="H1728" s="13">
        <f t="shared" si="216"/>
        <v>-1.0275684203264746E-2</v>
      </c>
      <c r="I1728">
        <f t="shared" si="217"/>
        <v>154.67681471885416</v>
      </c>
      <c r="J1728" t="e">
        <f t="shared" si="212"/>
        <v>#NUM!</v>
      </c>
      <c r="K1728" s="27" t="e">
        <f t="shared" si="213"/>
        <v>#NUM!</v>
      </c>
    </row>
    <row r="1729" spans="1:11" x14ac:dyDescent="0.25">
      <c r="A1729" s="26">
        <v>1679</v>
      </c>
      <c r="B1729" s="82">
        <f t="shared" si="214"/>
        <v>0</v>
      </c>
      <c r="C1729" s="58">
        <f t="shared" si="210"/>
        <v>171.9194128119324</v>
      </c>
      <c r="D1729" s="83">
        <f t="shared" si="215"/>
        <v>733.33333333333326</v>
      </c>
      <c r="E1729">
        <f t="shared" si="211"/>
        <v>0</v>
      </c>
      <c r="G1729">
        <v>1679</v>
      </c>
      <c r="H1729" s="13">
        <f t="shared" si="216"/>
        <v>-1.0275684203264746E-2</v>
      </c>
      <c r="I1729">
        <f t="shared" si="217"/>
        <v>154.6665390346509</v>
      </c>
      <c r="J1729" t="e">
        <f t="shared" si="212"/>
        <v>#NUM!</v>
      </c>
      <c r="K1729" s="27" t="e">
        <f t="shared" si="213"/>
        <v>#NUM!</v>
      </c>
    </row>
    <row r="1730" spans="1:11" x14ac:dyDescent="0.25">
      <c r="A1730" s="26">
        <v>1680</v>
      </c>
      <c r="B1730" s="82">
        <f t="shared" si="214"/>
        <v>0</v>
      </c>
      <c r="C1730" s="58">
        <f t="shared" si="210"/>
        <v>171.9194128119324</v>
      </c>
      <c r="D1730" s="83">
        <f t="shared" si="215"/>
        <v>733.33333333333326</v>
      </c>
      <c r="E1730">
        <f t="shared" si="211"/>
        <v>0</v>
      </c>
      <c r="G1730">
        <v>1680</v>
      </c>
      <c r="H1730" s="13">
        <f t="shared" si="216"/>
        <v>-1.0275684203264746E-2</v>
      </c>
      <c r="I1730">
        <f t="shared" si="217"/>
        <v>154.65626335044763</v>
      </c>
      <c r="J1730" t="e">
        <f t="shared" si="212"/>
        <v>#NUM!</v>
      </c>
      <c r="K1730" s="27" t="e">
        <f t="shared" si="213"/>
        <v>#NUM!</v>
      </c>
    </row>
    <row r="1731" spans="1:11" x14ac:dyDescent="0.25">
      <c r="A1731" s="26">
        <v>1681</v>
      </c>
      <c r="B1731" s="82">
        <f t="shared" si="214"/>
        <v>0</v>
      </c>
      <c r="C1731" s="58">
        <f t="shared" si="210"/>
        <v>171.9194128119324</v>
      </c>
      <c r="D1731" s="83">
        <f t="shared" si="215"/>
        <v>733.33333333333326</v>
      </c>
      <c r="E1731">
        <f t="shared" si="211"/>
        <v>0</v>
      </c>
      <c r="G1731">
        <v>1681</v>
      </c>
      <c r="H1731" s="13">
        <f t="shared" si="216"/>
        <v>-1.0275684203264746E-2</v>
      </c>
      <c r="I1731">
        <f t="shared" si="217"/>
        <v>154.64598766624437</v>
      </c>
      <c r="J1731" t="e">
        <f t="shared" si="212"/>
        <v>#NUM!</v>
      </c>
      <c r="K1731" s="27" t="e">
        <f t="shared" si="213"/>
        <v>#NUM!</v>
      </c>
    </row>
    <row r="1732" spans="1:11" x14ac:dyDescent="0.25">
      <c r="A1732" s="26">
        <v>1682</v>
      </c>
      <c r="B1732" s="82">
        <f t="shared" si="214"/>
        <v>0</v>
      </c>
      <c r="C1732" s="58">
        <f t="shared" si="210"/>
        <v>171.9194128119324</v>
      </c>
      <c r="D1732" s="83">
        <f t="shared" si="215"/>
        <v>733.33333333333326</v>
      </c>
      <c r="E1732">
        <f t="shared" si="211"/>
        <v>0</v>
      </c>
      <c r="G1732">
        <v>1682</v>
      </c>
      <c r="H1732" s="13">
        <f t="shared" si="216"/>
        <v>-1.0275684203264746E-2</v>
      </c>
      <c r="I1732">
        <f t="shared" si="217"/>
        <v>154.6357119820411</v>
      </c>
      <c r="J1732" t="e">
        <f t="shared" si="212"/>
        <v>#NUM!</v>
      </c>
      <c r="K1732" s="27" t="e">
        <f t="shared" si="213"/>
        <v>#NUM!</v>
      </c>
    </row>
    <row r="1733" spans="1:11" x14ac:dyDescent="0.25">
      <c r="A1733" s="26">
        <v>1683</v>
      </c>
      <c r="B1733" s="82">
        <f t="shared" si="214"/>
        <v>0</v>
      </c>
      <c r="C1733" s="58">
        <f t="shared" si="210"/>
        <v>171.9194128119324</v>
      </c>
      <c r="D1733" s="83">
        <f t="shared" si="215"/>
        <v>733.33333333333326</v>
      </c>
      <c r="E1733">
        <f t="shared" si="211"/>
        <v>0</v>
      </c>
      <c r="G1733">
        <v>1683</v>
      </c>
      <c r="H1733" s="13">
        <f t="shared" si="216"/>
        <v>-1.0275684203264746E-2</v>
      </c>
      <c r="I1733">
        <f t="shared" si="217"/>
        <v>154.62543629783784</v>
      </c>
      <c r="J1733" t="e">
        <f t="shared" si="212"/>
        <v>#NUM!</v>
      </c>
      <c r="K1733" s="27" t="e">
        <f t="shared" si="213"/>
        <v>#NUM!</v>
      </c>
    </row>
    <row r="1734" spans="1:11" x14ac:dyDescent="0.25">
      <c r="A1734" s="26">
        <v>1684</v>
      </c>
      <c r="B1734" s="82">
        <f t="shared" si="214"/>
        <v>0</v>
      </c>
      <c r="C1734" s="58">
        <f t="shared" si="210"/>
        <v>171.9194128119324</v>
      </c>
      <c r="D1734" s="83">
        <f t="shared" si="215"/>
        <v>733.33333333333326</v>
      </c>
      <c r="E1734">
        <f t="shared" si="211"/>
        <v>0</v>
      </c>
      <c r="G1734">
        <v>1684</v>
      </c>
      <c r="H1734" s="13">
        <f t="shared" si="216"/>
        <v>-1.0275684203264746E-2</v>
      </c>
      <c r="I1734">
        <f t="shared" si="217"/>
        <v>154.61516061363457</v>
      </c>
      <c r="J1734" t="e">
        <f t="shared" si="212"/>
        <v>#NUM!</v>
      </c>
      <c r="K1734" s="27" t="e">
        <f t="shared" si="213"/>
        <v>#NUM!</v>
      </c>
    </row>
    <row r="1735" spans="1:11" x14ac:dyDescent="0.25">
      <c r="A1735" s="26">
        <v>1685</v>
      </c>
      <c r="B1735" s="82">
        <f t="shared" si="214"/>
        <v>0</v>
      </c>
      <c r="C1735" s="58">
        <f t="shared" si="210"/>
        <v>171.9194128119324</v>
      </c>
      <c r="D1735" s="83">
        <f t="shared" si="215"/>
        <v>733.33333333333326</v>
      </c>
      <c r="E1735">
        <f t="shared" si="211"/>
        <v>0</v>
      </c>
      <c r="G1735">
        <v>1685</v>
      </c>
      <c r="H1735" s="13">
        <f t="shared" si="216"/>
        <v>-1.0275684203264746E-2</v>
      </c>
      <c r="I1735">
        <f t="shared" si="217"/>
        <v>154.60488492943131</v>
      </c>
      <c r="J1735" t="e">
        <f t="shared" si="212"/>
        <v>#NUM!</v>
      </c>
      <c r="K1735" s="27" t="e">
        <f t="shared" si="213"/>
        <v>#NUM!</v>
      </c>
    </row>
    <row r="1736" spans="1:11" x14ac:dyDescent="0.25">
      <c r="A1736" s="26">
        <v>1686</v>
      </c>
      <c r="B1736" s="82">
        <f t="shared" si="214"/>
        <v>0</v>
      </c>
      <c r="C1736" s="58">
        <f t="shared" si="210"/>
        <v>171.9194128119324</v>
      </c>
      <c r="D1736" s="83">
        <f t="shared" si="215"/>
        <v>733.33333333333326</v>
      </c>
      <c r="E1736">
        <f t="shared" si="211"/>
        <v>0</v>
      </c>
      <c r="G1736">
        <v>1686</v>
      </c>
      <c r="H1736" s="13">
        <f t="shared" si="216"/>
        <v>-1.0275684203264746E-2</v>
      </c>
      <c r="I1736">
        <f t="shared" si="217"/>
        <v>154.59460924522804</v>
      </c>
      <c r="J1736" t="e">
        <f t="shared" si="212"/>
        <v>#NUM!</v>
      </c>
      <c r="K1736" s="27" t="e">
        <f t="shared" si="213"/>
        <v>#NUM!</v>
      </c>
    </row>
    <row r="1737" spans="1:11" x14ac:dyDescent="0.25">
      <c r="A1737" s="26">
        <v>1687</v>
      </c>
      <c r="B1737" s="82">
        <f t="shared" si="214"/>
        <v>0</v>
      </c>
      <c r="C1737" s="58">
        <f t="shared" si="210"/>
        <v>171.9194128119324</v>
      </c>
      <c r="D1737" s="83">
        <f t="shared" si="215"/>
        <v>733.33333333333326</v>
      </c>
      <c r="E1737">
        <f t="shared" si="211"/>
        <v>0</v>
      </c>
      <c r="G1737">
        <v>1687</v>
      </c>
      <c r="H1737" s="13">
        <f t="shared" si="216"/>
        <v>-1.0275684203264746E-2</v>
      </c>
      <c r="I1737">
        <f t="shared" si="217"/>
        <v>154.58433356102478</v>
      </c>
      <c r="J1737" t="e">
        <f t="shared" si="212"/>
        <v>#NUM!</v>
      </c>
      <c r="K1737" s="27" t="e">
        <f t="shared" si="213"/>
        <v>#NUM!</v>
      </c>
    </row>
    <row r="1738" spans="1:11" x14ac:dyDescent="0.25">
      <c r="A1738" s="26">
        <v>1688</v>
      </c>
      <c r="B1738" s="82">
        <f t="shared" si="214"/>
        <v>0</v>
      </c>
      <c r="C1738" s="58">
        <f t="shared" si="210"/>
        <v>171.9194128119324</v>
      </c>
      <c r="D1738" s="83">
        <f t="shared" si="215"/>
        <v>733.33333333333326</v>
      </c>
      <c r="E1738">
        <f t="shared" si="211"/>
        <v>0</v>
      </c>
      <c r="G1738">
        <v>1688</v>
      </c>
      <c r="H1738" s="13">
        <f t="shared" si="216"/>
        <v>-1.0275684203264746E-2</v>
      </c>
      <c r="I1738">
        <f t="shared" si="217"/>
        <v>154.57405787682151</v>
      </c>
      <c r="J1738" t="e">
        <f t="shared" si="212"/>
        <v>#NUM!</v>
      </c>
      <c r="K1738" s="27" t="e">
        <f t="shared" si="213"/>
        <v>#NUM!</v>
      </c>
    </row>
    <row r="1739" spans="1:11" x14ac:dyDescent="0.25">
      <c r="A1739" s="26">
        <v>1689</v>
      </c>
      <c r="B1739" s="82">
        <f t="shared" si="214"/>
        <v>0</v>
      </c>
      <c r="C1739" s="58">
        <f t="shared" si="210"/>
        <v>171.9194128119324</v>
      </c>
      <c r="D1739" s="83">
        <f t="shared" si="215"/>
        <v>733.33333333333326</v>
      </c>
      <c r="E1739">
        <f t="shared" si="211"/>
        <v>0</v>
      </c>
      <c r="G1739">
        <v>1689</v>
      </c>
      <c r="H1739" s="13">
        <f t="shared" si="216"/>
        <v>-1.0275684203264746E-2</v>
      </c>
      <c r="I1739">
        <f t="shared" si="217"/>
        <v>154.56378219261825</v>
      </c>
      <c r="J1739" t="e">
        <f t="shared" si="212"/>
        <v>#NUM!</v>
      </c>
      <c r="K1739" s="27" t="e">
        <f t="shared" si="213"/>
        <v>#NUM!</v>
      </c>
    </row>
    <row r="1740" spans="1:11" x14ac:dyDescent="0.25">
      <c r="A1740" s="26">
        <v>1690</v>
      </c>
      <c r="B1740" s="82">
        <f t="shared" si="214"/>
        <v>0</v>
      </c>
      <c r="C1740" s="58">
        <f t="shared" si="210"/>
        <v>171.9194128119324</v>
      </c>
      <c r="D1740" s="83">
        <f t="shared" si="215"/>
        <v>733.33333333333326</v>
      </c>
      <c r="E1740">
        <f t="shared" si="211"/>
        <v>0</v>
      </c>
      <c r="G1740">
        <v>1690</v>
      </c>
      <c r="H1740" s="13">
        <f t="shared" si="216"/>
        <v>-1.0275684203264746E-2</v>
      </c>
      <c r="I1740">
        <f t="shared" si="217"/>
        <v>154.55350650841498</v>
      </c>
      <c r="J1740" t="e">
        <f t="shared" si="212"/>
        <v>#NUM!</v>
      </c>
      <c r="K1740" s="27" t="e">
        <f t="shared" si="213"/>
        <v>#NUM!</v>
      </c>
    </row>
    <row r="1741" spans="1:11" x14ac:dyDescent="0.25">
      <c r="A1741" s="26">
        <v>1691</v>
      </c>
      <c r="B1741" s="82">
        <f t="shared" si="214"/>
        <v>0</v>
      </c>
      <c r="C1741" s="58">
        <f t="shared" si="210"/>
        <v>171.9194128119324</v>
      </c>
      <c r="D1741" s="83">
        <f t="shared" si="215"/>
        <v>733.33333333333326</v>
      </c>
      <c r="E1741">
        <f t="shared" si="211"/>
        <v>0</v>
      </c>
      <c r="G1741">
        <v>1691</v>
      </c>
      <c r="H1741" s="13">
        <f t="shared" si="216"/>
        <v>-1.0275684203264746E-2</v>
      </c>
      <c r="I1741">
        <f t="shared" si="217"/>
        <v>154.54323082421172</v>
      </c>
      <c r="J1741" t="e">
        <f t="shared" si="212"/>
        <v>#NUM!</v>
      </c>
      <c r="K1741" s="27" t="e">
        <f t="shared" si="213"/>
        <v>#NUM!</v>
      </c>
    </row>
    <row r="1742" spans="1:11" x14ac:dyDescent="0.25">
      <c r="A1742" s="26">
        <v>1692</v>
      </c>
      <c r="B1742" s="82">
        <f t="shared" si="214"/>
        <v>0</v>
      </c>
      <c r="C1742" s="58">
        <f t="shared" si="210"/>
        <v>171.9194128119324</v>
      </c>
      <c r="D1742" s="83">
        <f t="shared" si="215"/>
        <v>733.33333333333326</v>
      </c>
      <c r="E1742">
        <f t="shared" si="211"/>
        <v>0</v>
      </c>
      <c r="G1742">
        <v>1692</v>
      </c>
      <c r="H1742" s="13">
        <f t="shared" si="216"/>
        <v>-1.0275684203264746E-2</v>
      </c>
      <c r="I1742">
        <f t="shared" si="217"/>
        <v>154.53295514000845</v>
      </c>
      <c r="J1742" t="e">
        <f t="shared" si="212"/>
        <v>#NUM!</v>
      </c>
      <c r="K1742" s="27" t="e">
        <f t="shared" si="213"/>
        <v>#NUM!</v>
      </c>
    </row>
    <row r="1743" spans="1:11" x14ac:dyDescent="0.25">
      <c r="A1743" s="26">
        <v>1693</v>
      </c>
      <c r="B1743" s="82">
        <f t="shared" si="214"/>
        <v>0</v>
      </c>
      <c r="C1743" s="58">
        <f t="shared" si="210"/>
        <v>171.9194128119324</v>
      </c>
      <c r="D1743" s="83">
        <f t="shared" si="215"/>
        <v>733.33333333333326</v>
      </c>
      <c r="E1743">
        <f t="shared" si="211"/>
        <v>0</v>
      </c>
      <c r="G1743">
        <v>1693</v>
      </c>
      <c r="H1743" s="13">
        <f t="shared" si="216"/>
        <v>-1.0275684203264746E-2</v>
      </c>
      <c r="I1743">
        <f t="shared" si="217"/>
        <v>154.52267945580519</v>
      </c>
      <c r="J1743" t="e">
        <f t="shared" si="212"/>
        <v>#NUM!</v>
      </c>
      <c r="K1743" s="27" t="e">
        <f t="shared" si="213"/>
        <v>#NUM!</v>
      </c>
    </row>
    <row r="1744" spans="1:11" x14ac:dyDescent="0.25">
      <c r="A1744" s="26">
        <v>1694</v>
      </c>
      <c r="B1744" s="82">
        <f t="shared" si="214"/>
        <v>0</v>
      </c>
      <c r="C1744" s="58">
        <f t="shared" ref="C1744:C1807" si="218">($C$37-$C$36)/2000+C1743</f>
        <v>171.9194128119324</v>
      </c>
      <c r="D1744" s="83">
        <f t="shared" si="215"/>
        <v>733.33333333333326</v>
      </c>
      <c r="E1744">
        <f t="shared" si="211"/>
        <v>0</v>
      </c>
      <c r="G1744">
        <v>1694</v>
      </c>
      <c r="H1744" s="13">
        <f t="shared" si="216"/>
        <v>-1.0275684203264746E-2</v>
      </c>
      <c r="I1744">
        <f t="shared" si="217"/>
        <v>154.51240377160192</v>
      </c>
      <c r="J1744" t="e">
        <f t="shared" si="212"/>
        <v>#NUM!</v>
      </c>
      <c r="K1744" s="27" t="e">
        <f t="shared" si="213"/>
        <v>#NUM!</v>
      </c>
    </row>
    <row r="1745" spans="1:11" x14ac:dyDescent="0.25">
      <c r="A1745" s="26">
        <v>1695</v>
      </c>
      <c r="B1745" s="82">
        <f t="shared" si="214"/>
        <v>0</v>
      </c>
      <c r="C1745" s="58">
        <f t="shared" si="218"/>
        <v>171.9194128119324</v>
      </c>
      <c r="D1745" s="83">
        <f t="shared" si="215"/>
        <v>733.33333333333326</v>
      </c>
      <c r="E1745">
        <f t="shared" si="211"/>
        <v>0</v>
      </c>
      <c r="G1745">
        <v>1695</v>
      </c>
      <c r="H1745" s="13">
        <f t="shared" si="216"/>
        <v>-1.0275684203264746E-2</v>
      </c>
      <c r="I1745">
        <f t="shared" si="217"/>
        <v>154.50212808739866</v>
      </c>
      <c r="J1745" t="e">
        <f t="shared" si="212"/>
        <v>#NUM!</v>
      </c>
      <c r="K1745" s="27" t="e">
        <f t="shared" si="213"/>
        <v>#NUM!</v>
      </c>
    </row>
    <row r="1746" spans="1:11" x14ac:dyDescent="0.25">
      <c r="A1746" s="26">
        <v>1696</v>
      </c>
      <c r="B1746" s="82">
        <f t="shared" si="214"/>
        <v>0</v>
      </c>
      <c r="C1746" s="58">
        <f t="shared" si="218"/>
        <v>171.9194128119324</v>
      </c>
      <c r="D1746" s="83">
        <f t="shared" si="215"/>
        <v>733.33333333333326</v>
      </c>
      <c r="E1746">
        <f t="shared" si="211"/>
        <v>0</v>
      </c>
      <c r="G1746">
        <v>1696</v>
      </c>
      <c r="H1746" s="13">
        <f t="shared" si="216"/>
        <v>-1.0275684203264746E-2</v>
      </c>
      <c r="I1746">
        <f t="shared" si="217"/>
        <v>154.4918524031954</v>
      </c>
      <c r="J1746" t="e">
        <f t="shared" si="212"/>
        <v>#NUM!</v>
      </c>
      <c r="K1746" s="27" t="e">
        <f t="shared" si="213"/>
        <v>#NUM!</v>
      </c>
    </row>
    <row r="1747" spans="1:11" x14ac:dyDescent="0.25">
      <c r="A1747" s="26">
        <v>1697</v>
      </c>
      <c r="B1747" s="82">
        <f t="shared" si="214"/>
        <v>0</v>
      </c>
      <c r="C1747" s="58">
        <f t="shared" si="218"/>
        <v>171.9194128119324</v>
      </c>
      <c r="D1747" s="83">
        <f t="shared" si="215"/>
        <v>733.33333333333326</v>
      </c>
      <c r="E1747">
        <f t="shared" si="211"/>
        <v>0</v>
      </c>
      <c r="G1747">
        <v>1697</v>
      </c>
      <c r="H1747" s="13">
        <f t="shared" si="216"/>
        <v>-1.0275684203264746E-2</v>
      </c>
      <c r="I1747">
        <f t="shared" si="217"/>
        <v>154.48157671899213</v>
      </c>
      <c r="J1747" t="e">
        <f t="shared" si="212"/>
        <v>#NUM!</v>
      </c>
      <c r="K1747" s="27" t="e">
        <f t="shared" si="213"/>
        <v>#NUM!</v>
      </c>
    </row>
    <row r="1748" spans="1:11" x14ac:dyDescent="0.25">
      <c r="A1748" s="26">
        <v>1698</v>
      </c>
      <c r="B1748" s="82">
        <f t="shared" si="214"/>
        <v>0</v>
      </c>
      <c r="C1748" s="58">
        <f t="shared" si="218"/>
        <v>171.9194128119324</v>
      </c>
      <c r="D1748" s="83">
        <f t="shared" si="215"/>
        <v>733.33333333333326</v>
      </c>
      <c r="E1748">
        <f t="shared" si="211"/>
        <v>0</v>
      </c>
      <c r="G1748">
        <v>1698</v>
      </c>
      <c r="H1748" s="13">
        <f t="shared" si="216"/>
        <v>-1.0275684203264746E-2</v>
      </c>
      <c r="I1748">
        <f t="shared" si="217"/>
        <v>154.47130103478887</v>
      </c>
      <c r="J1748" t="e">
        <f t="shared" si="212"/>
        <v>#NUM!</v>
      </c>
      <c r="K1748" s="27" t="e">
        <f t="shared" si="213"/>
        <v>#NUM!</v>
      </c>
    </row>
    <row r="1749" spans="1:11" x14ac:dyDescent="0.25">
      <c r="A1749" s="26">
        <v>1699</v>
      </c>
      <c r="B1749" s="82">
        <f t="shared" si="214"/>
        <v>0</v>
      </c>
      <c r="C1749" s="58">
        <f t="shared" si="218"/>
        <v>171.9194128119324</v>
      </c>
      <c r="D1749" s="83">
        <f t="shared" si="215"/>
        <v>733.33333333333326</v>
      </c>
      <c r="E1749">
        <f t="shared" si="211"/>
        <v>0</v>
      </c>
      <c r="G1749">
        <v>1699</v>
      </c>
      <c r="H1749" s="13">
        <f t="shared" si="216"/>
        <v>-1.0275684203264746E-2</v>
      </c>
      <c r="I1749">
        <f t="shared" si="217"/>
        <v>154.4610253505856</v>
      </c>
      <c r="J1749" t="e">
        <f t="shared" si="212"/>
        <v>#NUM!</v>
      </c>
      <c r="K1749" s="27" t="e">
        <f t="shared" si="213"/>
        <v>#NUM!</v>
      </c>
    </row>
    <row r="1750" spans="1:11" x14ac:dyDescent="0.25">
      <c r="A1750" s="26">
        <v>1700</v>
      </c>
      <c r="B1750" s="82">
        <f t="shared" si="214"/>
        <v>0</v>
      </c>
      <c r="C1750" s="58">
        <f t="shared" si="218"/>
        <v>171.9194128119324</v>
      </c>
      <c r="D1750" s="83">
        <f t="shared" si="215"/>
        <v>733.33333333333326</v>
      </c>
      <c r="E1750">
        <f t="shared" si="211"/>
        <v>0</v>
      </c>
      <c r="G1750">
        <v>1700</v>
      </c>
      <c r="H1750" s="13">
        <f t="shared" si="216"/>
        <v>-1.0275684203264746E-2</v>
      </c>
      <c r="I1750">
        <f t="shared" si="217"/>
        <v>154.45074966638234</v>
      </c>
      <c r="J1750" t="e">
        <f t="shared" si="212"/>
        <v>#NUM!</v>
      </c>
      <c r="K1750" s="27" t="e">
        <f t="shared" si="213"/>
        <v>#NUM!</v>
      </c>
    </row>
    <row r="1751" spans="1:11" x14ac:dyDescent="0.25">
      <c r="A1751" s="26">
        <v>1701</v>
      </c>
      <c r="B1751" s="82">
        <f t="shared" si="214"/>
        <v>0</v>
      </c>
      <c r="C1751" s="58">
        <f t="shared" si="218"/>
        <v>171.9194128119324</v>
      </c>
      <c r="D1751" s="83">
        <f t="shared" si="215"/>
        <v>733.33333333333326</v>
      </c>
      <c r="E1751">
        <f t="shared" si="211"/>
        <v>0</v>
      </c>
      <c r="G1751">
        <v>1701</v>
      </c>
      <c r="H1751" s="13">
        <f t="shared" si="216"/>
        <v>-1.0275684203264746E-2</v>
      </c>
      <c r="I1751">
        <f t="shared" si="217"/>
        <v>154.44047398217907</v>
      </c>
      <c r="J1751" t="e">
        <f t="shared" si="212"/>
        <v>#NUM!</v>
      </c>
      <c r="K1751" s="27" t="e">
        <f t="shared" si="213"/>
        <v>#NUM!</v>
      </c>
    </row>
    <row r="1752" spans="1:11" x14ac:dyDescent="0.25">
      <c r="A1752" s="26">
        <v>1702</v>
      </c>
      <c r="B1752" s="82">
        <f t="shared" si="214"/>
        <v>0</v>
      </c>
      <c r="C1752" s="58">
        <f t="shared" si="218"/>
        <v>171.9194128119324</v>
      </c>
      <c r="D1752" s="83">
        <f t="shared" si="215"/>
        <v>733.33333333333326</v>
      </c>
      <c r="E1752">
        <f t="shared" si="211"/>
        <v>0</v>
      </c>
      <c r="G1752">
        <v>1702</v>
      </c>
      <c r="H1752" s="13">
        <f t="shared" si="216"/>
        <v>-1.0275684203264746E-2</v>
      </c>
      <c r="I1752">
        <f t="shared" si="217"/>
        <v>154.43019829797581</v>
      </c>
      <c r="J1752" t="e">
        <f t="shared" si="212"/>
        <v>#NUM!</v>
      </c>
      <c r="K1752" s="27" t="e">
        <f t="shared" si="213"/>
        <v>#NUM!</v>
      </c>
    </row>
    <row r="1753" spans="1:11" x14ac:dyDescent="0.25">
      <c r="A1753" s="26">
        <v>1703</v>
      </c>
      <c r="B1753" s="82">
        <f t="shared" si="214"/>
        <v>0</v>
      </c>
      <c r="C1753" s="58">
        <f t="shared" si="218"/>
        <v>171.9194128119324</v>
      </c>
      <c r="D1753" s="83">
        <f t="shared" si="215"/>
        <v>733.33333333333326</v>
      </c>
      <c r="E1753">
        <f t="shared" si="211"/>
        <v>0</v>
      </c>
      <c r="G1753">
        <v>1703</v>
      </c>
      <c r="H1753" s="13">
        <f t="shared" si="216"/>
        <v>-1.0275684203264746E-2</v>
      </c>
      <c r="I1753">
        <f t="shared" si="217"/>
        <v>154.41992261377254</v>
      </c>
      <c r="J1753" t="e">
        <f t="shared" si="212"/>
        <v>#NUM!</v>
      </c>
      <c r="K1753" s="27" t="e">
        <f t="shared" si="213"/>
        <v>#NUM!</v>
      </c>
    </row>
    <row r="1754" spans="1:11" x14ac:dyDescent="0.25">
      <c r="A1754" s="26">
        <v>1704</v>
      </c>
      <c r="B1754" s="82">
        <f t="shared" si="214"/>
        <v>0</v>
      </c>
      <c r="C1754" s="58">
        <f t="shared" si="218"/>
        <v>171.9194128119324</v>
      </c>
      <c r="D1754" s="83">
        <f t="shared" si="215"/>
        <v>733.33333333333326</v>
      </c>
      <c r="E1754">
        <f t="shared" si="211"/>
        <v>0</v>
      </c>
      <c r="G1754">
        <v>1704</v>
      </c>
      <c r="H1754" s="13">
        <f t="shared" si="216"/>
        <v>-1.0275684203264746E-2</v>
      </c>
      <c r="I1754">
        <f t="shared" si="217"/>
        <v>154.40964692956928</v>
      </c>
      <c r="J1754" t="e">
        <f t="shared" si="212"/>
        <v>#NUM!</v>
      </c>
      <c r="K1754" s="27" t="e">
        <f t="shared" si="213"/>
        <v>#NUM!</v>
      </c>
    </row>
    <row r="1755" spans="1:11" x14ac:dyDescent="0.25">
      <c r="A1755" s="26">
        <v>1705</v>
      </c>
      <c r="B1755" s="82">
        <f t="shared" si="214"/>
        <v>0</v>
      </c>
      <c r="C1755" s="58">
        <f t="shared" si="218"/>
        <v>171.9194128119324</v>
      </c>
      <c r="D1755" s="83">
        <f t="shared" si="215"/>
        <v>733.33333333333326</v>
      </c>
      <c r="E1755">
        <f t="shared" si="211"/>
        <v>0</v>
      </c>
      <c r="G1755">
        <v>1705</v>
      </c>
      <c r="H1755" s="13">
        <f t="shared" si="216"/>
        <v>-1.0275684203264746E-2</v>
      </c>
      <c r="I1755">
        <f t="shared" si="217"/>
        <v>154.39937124536601</v>
      </c>
      <c r="J1755" t="e">
        <f t="shared" si="212"/>
        <v>#NUM!</v>
      </c>
      <c r="K1755" s="27" t="e">
        <f t="shared" si="213"/>
        <v>#NUM!</v>
      </c>
    </row>
    <row r="1756" spans="1:11" x14ac:dyDescent="0.25">
      <c r="A1756" s="26">
        <v>1706</v>
      </c>
      <c r="B1756" s="82">
        <f t="shared" si="214"/>
        <v>0</v>
      </c>
      <c r="C1756" s="58">
        <f t="shared" si="218"/>
        <v>171.9194128119324</v>
      </c>
      <c r="D1756" s="83">
        <f t="shared" si="215"/>
        <v>733.33333333333326</v>
      </c>
      <c r="E1756">
        <f t="shared" si="211"/>
        <v>0</v>
      </c>
      <c r="G1756">
        <v>1706</v>
      </c>
      <c r="H1756" s="13">
        <f t="shared" si="216"/>
        <v>-1.0275684203264746E-2</v>
      </c>
      <c r="I1756">
        <f t="shared" si="217"/>
        <v>154.38909556116275</v>
      </c>
      <c r="J1756" t="e">
        <f t="shared" si="212"/>
        <v>#NUM!</v>
      </c>
      <c r="K1756" s="27" t="e">
        <f t="shared" si="213"/>
        <v>#NUM!</v>
      </c>
    </row>
    <row r="1757" spans="1:11" x14ac:dyDescent="0.25">
      <c r="A1757" s="26">
        <v>1707</v>
      </c>
      <c r="B1757" s="82">
        <f t="shared" si="214"/>
        <v>0</v>
      </c>
      <c r="C1757" s="58">
        <f t="shared" si="218"/>
        <v>171.9194128119324</v>
      </c>
      <c r="D1757" s="83">
        <f t="shared" si="215"/>
        <v>733.33333333333326</v>
      </c>
      <c r="E1757">
        <f t="shared" si="211"/>
        <v>0</v>
      </c>
      <c r="G1757">
        <v>1707</v>
      </c>
      <c r="H1757" s="13">
        <f t="shared" si="216"/>
        <v>-1.0275684203264746E-2</v>
      </c>
      <c r="I1757">
        <f t="shared" si="217"/>
        <v>154.37881987695948</v>
      </c>
      <c r="J1757" t="e">
        <f t="shared" si="212"/>
        <v>#NUM!</v>
      </c>
      <c r="K1757" s="27" t="e">
        <f t="shared" si="213"/>
        <v>#NUM!</v>
      </c>
    </row>
    <row r="1758" spans="1:11" x14ac:dyDescent="0.25">
      <c r="A1758" s="26">
        <v>1708</v>
      </c>
      <c r="B1758" s="82">
        <f t="shared" si="214"/>
        <v>0</v>
      </c>
      <c r="C1758" s="58">
        <f t="shared" si="218"/>
        <v>171.9194128119324</v>
      </c>
      <c r="D1758" s="83">
        <f t="shared" si="215"/>
        <v>733.33333333333326</v>
      </c>
      <c r="E1758">
        <f t="shared" si="211"/>
        <v>0</v>
      </c>
      <c r="G1758">
        <v>1708</v>
      </c>
      <c r="H1758" s="13">
        <f t="shared" si="216"/>
        <v>-1.0275684203264746E-2</v>
      </c>
      <c r="I1758">
        <f t="shared" si="217"/>
        <v>154.36854419275622</v>
      </c>
      <c r="J1758" t="e">
        <f t="shared" si="212"/>
        <v>#NUM!</v>
      </c>
      <c r="K1758" s="27" t="e">
        <f t="shared" si="213"/>
        <v>#NUM!</v>
      </c>
    </row>
    <row r="1759" spans="1:11" x14ac:dyDescent="0.25">
      <c r="A1759" s="26">
        <v>1709</v>
      </c>
      <c r="B1759" s="82">
        <f t="shared" si="214"/>
        <v>0</v>
      </c>
      <c r="C1759" s="58">
        <f t="shared" si="218"/>
        <v>171.9194128119324</v>
      </c>
      <c r="D1759" s="83">
        <f t="shared" si="215"/>
        <v>733.33333333333326</v>
      </c>
      <c r="E1759">
        <f t="shared" si="211"/>
        <v>0</v>
      </c>
      <c r="G1759">
        <v>1709</v>
      </c>
      <c r="H1759" s="13">
        <f t="shared" si="216"/>
        <v>-1.0275684203264746E-2</v>
      </c>
      <c r="I1759">
        <f t="shared" si="217"/>
        <v>154.35826850855295</v>
      </c>
      <c r="J1759" t="e">
        <f t="shared" si="212"/>
        <v>#NUM!</v>
      </c>
      <c r="K1759" s="27" t="e">
        <f t="shared" si="213"/>
        <v>#NUM!</v>
      </c>
    </row>
    <row r="1760" spans="1:11" x14ac:dyDescent="0.25">
      <c r="A1760" s="26">
        <v>1710</v>
      </c>
      <c r="B1760" s="82">
        <f t="shared" si="214"/>
        <v>0</v>
      </c>
      <c r="C1760" s="58">
        <f t="shared" si="218"/>
        <v>171.9194128119324</v>
      </c>
      <c r="D1760" s="83">
        <f t="shared" si="215"/>
        <v>733.33333333333326</v>
      </c>
      <c r="E1760">
        <f t="shared" si="211"/>
        <v>0</v>
      </c>
      <c r="G1760">
        <v>1710</v>
      </c>
      <c r="H1760" s="13">
        <f t="shared" si="216"/>
        <v>-1.0275684203264746E-2</v>
      </c>
      <c r="I1760">
        <f t="shared" si="217"/>
        <v>154.34799282434969</v>
      </c>
      <c r="J1760" t="e">
        <f t="shared" si="212"/>
        <v>#NUM!</v>
      </c>
      <c r="K1760" s="27" t="e">
        <f t="shared" si="213"/>
        <v>#NUM!</v>
      </c>
    </row>
    <row r="1761" spans="1:11" x14ac:dyDescent="0.25">
      <c r="A1761" s="26">
        <v>1711</v>
      </c>
      <c r="B1761" s="82">
        <f t="shared" si="214"/>
        <v>0</v>
      </c>
      <c r="C1761" s="58">
        <f t="shared" si="218"/>
        <v>171.9194128119324</v>
      </c>
      <c r="D1761" s="83">
        <f t="shared" si="215"/>
        <v>733.33333333333326</v>
      </c>
      <c r="E1761">
        <f t="shared" si="211"/>
        <v>0</v>
      </c>
      <c r="G1761">
        <v>1711</v>
      </c>
      <c r="H1761" s="13">
        <f t="shared" si="216"/>
        <v>-1.0275684203264746E-2</v>
      </c>
      <c r="I1761">
        <f t="shared" si="217"/>
        <v>154.33771714014642</v>
      </c>
      <c r="J1761" t="e">
        <f t="shared" si="212"/>
        <v>#NUM!</v>
      </c>
      <c r="K1761" s="27" t="e">
        <f t="shared" si="213"/>
        <v>#NUM!</v>
      </c>
    </row>
    <row r="1762" spans="1:11" x14ac:dyDescent="0.25">
      <c r="A1762" s="26">
        <v>1712</v>
      </c>
      <c r="B1762" s="82">
        <f t="shared" si="214"/>
        <v>0</v>
      </c>
      <c r="C1762" s="58">
        <f t="shared" si="218"/>
        <v>171.9194128119324</v>
      </c>
      <c r="D1762" s="83">
        <f t="shared" si="215"/>
        <v>733.33333333333326</v>
      </c>
      <c r="E1762">
        <f t="shared" si="211"/>
        <v>0</v>
      </c>
      <c r="G1762">
        <v>1712</v>
      </c>
      <c r="H1762" s="13">
        <f t="shared" si="216"/>
        <v>-1.0275684203264746E-2</v>
      </c>
      <c r="I1762">
        <f t="shared" si="217"/>
        <v>154.32744145594316</v>
      </c>
      <c r="J1762" t="e">
        <f t="shared" si="212"/>
        <v>#NUM!</v>
      </c>
      <c r="K1762" s="27" t="e">
        <f t="shared" si="213"/>
        <v>#NUM!</v>
      </c>
    </row>
    <row r="1763" spans="1:11" x14ac:dyDescent="0.25">
      <c r="A1763" s="26">
        <v>1713</v>
      </c>
      <c r="B1763" s="82">
        <f t="shared" si="214"/>
        <v>0</v>
      </c>
      <c r="C1763" s="58">
        <f t="shared" si="218"/>
        <v>171.9194128119324</v>
      </c>
      <c r="D1763" s="83">
        <f t="shared" si="215"/>
        <v>733.33333333333326</v>
      </c>
      <c r="E1763">
        <f t="shared" si="211"/>
        <v>0</v>
      </c>
      <c r="G1763">
        <v>1713</v>
      </c>
      <c r="H1763" s="13">
        <f t="shared" si="216"/>
        <v>-1.0275684203264746E-2</v>
      </c>
      <c r="I1763">
        <f t="shared" si="217"/>
        <v>154.31716577173989</v>
      </c>
      <c r="J1763" t="e">
        <f t="shared" si="212"/>
        <v>#NUM!</v>
      </c>
      <c r="K1763" s="27" t="e">
        <f t="shared" si="213"/>
        <v>#NUM!</v>
      </c>
    </row>
    <row r="1764" spans="1:11" x14ac:dyDescent="0.25">
      <c r="A1764" s="26">
        <v>1714</v>
      </c>
      <c r="B1764" s="82">
        <f t="shared" si="214"/>
        <v>0</v>
      </c>
      <c r="C1764" s="58">
        <f t="shared" si="218"/>
        <v>171.9194128119324</v>
      </c>
      <c r="D1764" s="83">
        <f t="shared" si="215"/>
        <v>733.33333333333326</v>
      </c>
      <c r="E1764">
        <f t="shared" si="211"/>
        <v>0</v>
      </c>
      <c r="G1764">
        <v>1714</v>
      </c>
      <c r="H1764" s="13">
        <f t="shared" si="216"/>
        <v>-1.0275684203264746E-2</v>
      </c>
      <c r="I1764">
        <f t="shared" si="217"/>
        <v>154.30689008753663</v>
      </c>
      <c r="J1764" t="e">
        <f t="shared" si="212"/>
        <v>#NUM!</v>
      </c>
      <c r="K1764" s="27" t="e">
        <f t="shared" si="213"/>
        <v>#NUM!</v>
      </c>
    </row>
    <row r="1765" spans="1:11" x14ac:dyDescent="0.25">
      <c r="A1765" s="26">
        <v>1715</v>
      </c>
      <c r="B1765" s="82">
        <f t="shared" si="214"/>
        <v>0</v>
      </c>
      <c r="C1765" s="58">
        <f t="shared" si="218"/>
        <v>171.9194128119324</v>
      </c>
      <c r="D1765" s="83">
        <f t="shared" si="215"/>
        <v>733.33333333333326</v>
      </c>
      <c r="E1765">
        <f t="shared" si="211"/>
        <v>0</v>
      </c>
      <c r="G1765">
        <v>1715</v>
      </c>
      <c r="H1765" s="13">
        <f t="shared" si="216"/>
        <v>-1.0275684203264746E-2</v>
      </c>
      <c r="I1765">
        <f t="shared" si="217"/>
        <v>154.29661440333336</v>
      </c>
      <c r="J1765" t="e">
        <f t="shared" si="212"/>
        <v>#NUM!</v>
      </c>
      <c r="K1765" s="27" t="e">
        <f t="shared" si="213"/>
        <v>#NUM!</v>
      </c>
    </row>
    <row r="1766" spans="1:11" x14ac:dyDescent="0.25">
      <c r="A1766" s="26">
        <v>1716</v>
      </c>
      <c r="B1766" s="82">
        <f t="shared" si="214"/>
        <v>0</v>
      </c>
      <c r="C1766" s="58">
        <f t="shared" si="218"/>
        <v>171.9194128119324</v>
      </c>
      <c r="D1766" s="83">
        <f t="shared" si="215"/>
        <v>733.33333333333326</v>
      </c>
      <c r="E1766">
        <f t="shared" si="211"/>
        <v>0</v>
      </c>
      <c r="G1766">
        <v>1716</v>
      </c>
      <c r="H1766" s="13">
        <f t="shared" si="216"/>
        <v>-1.0275684203264746E-2</v>
      </c>
      <c r="I1766">
        <f t="shared" si="217"/>
        <v>154.2863387191301</v>
      </c>
      <c r="J1766" t="e">
        <f t="shared" si="212"/>
        <v>#NUM!</v>
      </c>
      <c r="K1766" s="27" t="e">
        <f t="shared" si="213"/>
        <v>#NUM!</v>
      </c>
    </row>
    <row r="1767" spans="1:11" x14ac:dyDescent="0.25">
      <c r="A1767" s="26">
        <v>1717</v>
      </c>
      <c r="B1767" s="82">
        <f t="shared" si="214"/>
        <v>0</v>
      </c>
      <c r="C1767" s="58">
        <f t="shared" si="218"/>
        <v>171.9194128119324</v>
      </c>
      <c r="D1767" s="83">
        <f t="shared" si="215"/>
        <v>733.33333333333326</v>
      </c>
      <c r="E1767">
        <f t="shared" si="211"/>
        <v>0</v>
      </c>
      <c r="G1767">
        <v>1717</v>
      </c>
      <c r="H1767" s="13">
        <f t="shared" si="216"/>
        <v>-1.0275684203264746E-2</v>
      </c>
      <c r="I1767">
        <f t="shared" si="217"/>
        <v>154.27606303492684</v>
      </c>
      <c r="J1767" t="e">
        <f t="shared" si="212"/>
        <v>#NUM!</v>
      </c>
      <c r="K1767" s="27" t="e">
        <f t="shared" si="213"/>
        <v>#NUM!</v>
      </c>
    </row>
    <row r="1768" spans="1:11" x14ac:dyDescent="0.25">
      <c r="A1768" s="26">
        <v>1718</v>
      </c>
      <c r="B1768" s="82">
        <f t="shared" si="214"/>
        <v>0</v>
      </c>
      <c r="C1768" s="58">
        <f t="shared" si="218"/>
        <v>171.9194128119324</v>
      </c>
      <c r="D1768" s="83">
        <f t="shared" si="215"/>
        <v>733.33333333333326</v>
      </c>
      <c r="E1768">
        <f t="shared" si="211"/>
        <v>0</v>
      </c>
      <c r="G1768">
        <v>1718</v>
      </c>
      <c r="H1768" s="13">
        <f t="shared" si="216"/>
        <v>-1.0275684203264746E-2</v>
      </c>
      <c r="I1768">
        <f t="shared" si="217"/>
        <v>154.26578735072357</v>
      </c>
      <c r="J1768" t="e">
        <f t="shared" si="212"/>
        <v>#NUM!</v>
      </c>
      <c r="K1768" s="27" t="e">
        <f t="shared" si="213"/>
        <v>#NUM!</v>
      </c>
    </row>
    <row r="1769" spans="1:11" x14ac:dyDescent="0.25">
      <c r="A1769" s="26">
        <v>1719</v>
      </c>
      <c r="B1769" s="82">
        <f t="shared" si="214"/>
        <v>0</v>
      </c>
      <c r="C1769" s="58">
        <f t="shared" si="218"/>
        <v>171.9194128119324</v>
      </c>
      <c r="D1769" s="83">
        <f t="shared" si="215"/>
        <v>733.33333333333326</v>
      </c>
      <c r="E1769">
        <f t="shared" si="211"/>
        <v>0</v>
      </c>
      <c r="G1769">
        <v>1719</v>
      </c>
      <c r="H1769" s="13">
        <f t="shared" si="216"/>
        <v>-1.0275684203264746E-2</v>
      </c>
      <c r="I1769">
        <f t="shared" si="217"/>
        <v>154.25551166652031</v>
      </c>
      <c r="J1769" t="e">
        <f t="shared" si="212"/>
        <v>#NUM!</v>
      </c>
      <c r="K1769" s="27" t="e">
        <f t="shared" si="213"/>
        <v>#NUM!</v>
      </c>
    </row>
    <row r="1770" spans="1:11" x14ac:dyDescent="0.25">
      <c r="A1770" s="26">
        <v>1720</v>
      </c>
      <c r="B1770" s="82">
        <f t="shared" si="214"/>
        <v>0</v>
      </c>
      <c r="C1770" s="58">
        <f t="shared" si="218"/>
        <v>171.9194128119324</v>
      </c>
      <c r="D1770" s="83">
        <f t="shared" si="215"/>
        <v>733.33333333333326</v>
      </c>
      <c r="E1770">
        <f t="shared" si="211"/>
        <v>0</v>
      </c>
      <c r="G1770">
        <v>1720</v>
      </c>
      <c r="H1770" s="13">
        <f t="shared" si="216"/>
        <v>-1.0275684203264746E-2</v>
      </c>
      <c r="I1770">
        <f t="shared" si="217"/>
        <v>154.24523598231704</v>
      </c>
      <c r="J1770" t="e">
        <f t="shared" si="212"/>
        <v>#NUM!</v>
      </c>
      <c r="K1770" s="27" t="e">
        <f t="shared" si="213"/>
        <v>#NUM!</v>
      </c>
    </row>
    <row r="1771" spans="1:11" x14ac:dyDescent="0.25">
      <c r="A1771" s="26">
        <v>1721</v>
      </c>
      <c r="B1771" s="82">
        <f t="shared" si="214"/>
        <v>0</v>
      </c>
      <c r="C1771" s="58">
        <f t="shared" si="218"/>
        <v>171.9194128119324</v>
      </c>
      <c r="D1771" s="83">
        <f t="shared" si="215"/>
        <v>733.33333333333326</v>
      </c>
      <c r="E1771">
        <f t="shared" si="211"/>
        <v>0</v>
      </c>
      <c r="G1771">
        <v>1721</v>
      </c>
      <c r="H1771" s="13">
        <f t="shared" si="216"/>
        <v>-1.0275684203264746E-2</v>
      </c>
      <c r="I1771">
        <f t="shared" si="217"/>
        <v>154.23496029811378</v>
      </c>
      <c r="J1771" t="e">
        <f t="shared" si="212"/>
        <v>#NUM!</v>
      </c>
      <c r="K1771" s="27" t="e">
        <f t="shared" si="213"/>
        <v>#NUM!</v>
      </c>
    </row>
    <row r="1772" spans="1:11" x14ac:dyDescent="0.25">
      <c r="A1772" s="26">
        <v>1722</v>
      </c>
      <c r="B1772" s="82">
        <f t="shared" si="214"/>
        <v>0</v>
      </c>
      <c r="C1772" s="58">
        <f t="shared" si="218"/>
        <v>171.9194128119324</v>
      </c>
      <c r="D1772" s="83">
        <f t="shared" si="215"/>
        <v>733.33333333333326</v>
      </c>
      <c r="E1772">
        <f t="shared" si="211"/>
        <v>0</v>
      </c>
      <c r="G1772">
        <v>1722</v>
      </c>
      <c r="H1772" s="13">
        <f t="shared" si="216"/>
        <v>-1.0275684203264746E-2</v>
      </c>
      <c r="I1772">
        <f t="shared" si="217"/>
        <v>154.22468461391051</v>
      </c>
      <c r="J1772" t="e">
        <f t="shared" si="212"/>
        <v>#NUM!</v>
      </c>
      <c r="K1772" s="27" t="e">
        <f t="shared" si="213"/>
        <v>#NUM!</v>
      </c>
    </row>
    <row r="1773" spans="1:11" x14ac:dyDescent="0.25">
      <c r="A1773" s="26">
        <v>1723</v>
      </c>
      <c r="B1773" s="82">
        <f t="shared" si="214"/>
        <v>0</v>
      </c>
      <c r="C1773" s="58">
        <f t="shared" si="218"/>
        <v>171.9194128119324</v>
      </c>
      <c r="D1773" s="83">
        <f t="shared" si="215"/>
        <v>733.33333333333326</v>
      </c>
      <c r="E1773">
        <f t="shared" si="211"/>
        <v>0</v>
      </c>
      <c r="G1773">
        <v>1723</v>
      </c>
      <c r="H1773" s="13">
        <f t="shared" si="216"/>
        <v>-1.0275684203264746E-2</v>
      </c>
      <c r="I1773">
        <f t="shared" si="217"/>
        <v>154.21440892970725</v>
      </c>
      <c r="J1773" t="e">
        <f t="shared" si="212"/>
        <v>#NUM!</v>
      </c>
      <c r="K1773" s="27" t="e">
        <f t="shared" si="213"/>
        <v>#NUM!</v>
      </c>
    </row>
    <row r="1774" spans="1:11" x14ac:dyDescent="0.25">
      <c r="A1774" s="26">
        <v>1724</v>
      </c>
      <c r="B1774" s="82">
        <f t="shared" si="214"/>
        <v>0</v>
      </c>
      <c r="C1774" s="58">
        <f t="shared" si="218"/>
        <v>171.9194128119324</v>
      </c>
      <c r="D1774" s="83">
        <f t="shared" si="215"/>
        <v>733.33333333333326</v>
      </c>
      <c r="E1774">
        <f t="shared" si="211"/>
        <v>0</v>
      </c>
      <c r="G1774">
        <v>1724</v>
      </c>
      <c r="H1774" s="13">
        <f t="shared" si="216"/>
        <v>-1.0275684203264746E-2</v>
      </c>
      <c r="I1774">
        <f t="shared" si="217"/>
        <v>154.20413324550398</v>
      </c>
      <c r="J1774" t="e">
        <f t="shared" si="212"/>
        <v>#NUM!</v>
      </c>
      <c r="K1774" s="27" t="e">
        <f t="shared" si="213"/>
        <v>#NUM!</v>
      </c>
    </row>
    <row r="1775" spans="1:11" x14ac:dyDescent="0.25">
      <c r="A1775" s="26">
        <v>1725</v>
      </c>
      <c r="B1775" s="82">
        <f t="shared" si="214"/>
        <v>0</v>
      </c>
      <c r="C1775" s="58">
        <f t="shared" si="218"/>
        <v>171.9194128119324</v>
      </c>
      <c r="D1775" s="83">
        <f t="shared" si="215"/>
        <v>733.33333333333326</v>
      </c>
      <c r="E1775">
        <f t="shared" si="211"/>
        <v>0</v>
      </c>
      <c r="G1775">
        <v>1725</v>
      </c>
      <c r="H1775" s="13">
        <f t="shared" si="216"/>
        <v>-1.0275684203264746E-2</v>
      </c>
      <c r="I1775">
        <f t="shared" si="217"/>
        <v>154.19385756130072</v>
      </c>
      <c r="J1775" t="e">
        <f t="shared" si="212"/>
        <v>#NUM!</v>
      </c>
      <c r="K1775" s="27" t="e">
        <f t="shared" si="213"/>
        <v>#NUM!</v>
      </c>
    </row>
    <row r="1776" spans="1:11" x14ac:dyDescent="0.25">
      <c r="A1776" s="26">
        <v>1726</v>
      </c>
      <c r="B1776" s="82">
        <f t="shared" si="214"/>
        <v>0</v>
      </c>
      <c r="C1776" s="58">
        <f t="shared" si="218"/>
        <v>171.9194128119324</v>
      </c>
      <c r="D1776" s="83">
        <f t="shared" si="215"/>
        <v>733.33333333333326</v>
      </c>
      <c r="E1776">
        <f t="shared" si="211"/>
        <v>0</v>
      </c>
      <c r="G1776">
        <v>1726</v>
      </c>
      <c r="H1776" s="13">
        <f t="shared" si="216"/>
        <v>-1.0275684203264746E-2</v>
      </c>
      <c r="I1776">
        <f t="shared" si="217"/>
        <v>154.18358187709745</v>
      </c>
      <c r="J1776" t="e">
        <f t="shared" si="212"/>
        <v>#NUM!</v>
      </c>
      <c r="K1776" s="27" t="e">
        <f t="shared" si="213"/>
        <v>#NUM!</v>
      </c>
    </row>
    <row r="1777" spans="1:11" x14ac:dyDescent="0.25">
      <c r="A1777" s="26">
        <v>1727</v>
      </c>
      <c r="B1777" s="82">
        <f t="shared" si="214"/>
        <v>0</v>
      </c>
      <c r="C1777" s="58">
        <f t="shared" si="218"/>
        <v>171.9194128119324</v>
      </c>
      <c r="D1777" s="83">
        <f t="shared" si="215"/>
        <v>733.33333333333326</v>
      </c>
      <c r="E1777">
        <f t="shared" si="211"/>
        <v>0</v>
      </c>
      <c r="G1777">
        <v>1727</v>
      </c>
      <c r="H1777" s="13">
        <f t="shared" si="216"/>
        <v>-1.0275684203264746E-2</v>
      </c>
      <c r="I1777">
        <f t="shared" si="217"/>
        <v>154.17330619289419</v>
      </c>
      <c r="J1777" t="e">
        <f t="shared" si="212"/>
        <v>#NUM!</v>
      </c>
      <c r="K1777" s="27" t="e">
        <f t="shared" si="213"/>
        <v>#NUM!</v>
      </c>
    </row>
    <row r="1778" spans="1:11" x14ac:dyDescent="0.25">
      <c r="A1778" s="26">
        <v>1728</v>
      </c>
      <c r="B1778" s="82">
        <f t="shared" si="214"/>
        <v>0</v>
      </c>
      <c r="C1778" s="58">
        <f t="shared" si="218"/>
        <v>171.9194128119324</v>
      </c>
      <c r="D1778" s="83">
        <f t="shared" si="215"/>
        <v>733.33333333333326</v>
      </c>
      <c r="E1778">
        <f t="shared" si="211"/>
        <v>0</v>
      </c>
      <c r="G1778">
        <v>1728</v>
      </c>
      <c r="H1778" s="13">
        <f t="shared" si="216"/>
        <v>-1.0275684203264746E-2</v>
      </c>
      <c r="I1778">
        <f t="shared" si="217"/>
        <v>154.16303050869092</v>
      </c>
      <c r="J1778" t="e">
        <f t="shared" si="212"/>
        <v>#NUM!</v>
      </c>
      <c r="K1778" s="27" t="e">
        <f t="shared" si="213"/>
        <v>#NUM!</v>
      </c>
    </row>
    <row r="1779" spans="1:11" x14ac:dyDescent="0.25">
      <c r="A1779" s="26">
        <v>1729</v>
      </c>
      <c r="B1779" s="82">
        <f t="shared" si="214"/>
        <v>0</v>
      </c>
      <c r="C1779" s="58">
        <f t="shared" si="218"/>
        <v>171.9194128119324</v>
      </c>
      <c r="D1779" s="83">
        <f t="shared" si="215"/>
        <v>733.33333333333326</v>
      </c>
      <c r="E1779">
        <f t="shared" ref="E1779:E1842" si="219">((D1779^2)+(D1779*D1780)+(D1780^2))*B1780/3</f>
        <v>0</v>
      </c>
      <c r="G1779">
        <v>1729</v>
      </c>
      <c r="H1779" s="13">
        <f t="shared" si="216"/>
        <v>-1.0275684203264746E-2</v>
      </c>
      <c r="I1779">
        <f t="shared" si="217"/>
        <v>154.15275482448766</v>
      </c>
      <c r="J1779" t="e">
        <f t="shared" ref="J1779:J1842" si="220">IF($G$28&lt;$C$14,0,((($C$11^2)-((I1779-$C$13)^2))^0.5)+$C$16)</f>
        <v>#NUM!</v>
      </c>
      <c r="K1779" s="27" t="e">
        <f t="shared" ref="K1779:K1842" si="221">((J1779^2)+(J1779*J1780)+(J1780^2))*H1780/3</f>
        <v>#NUM!</v>
      </c>
    </row>
    <row r="1780" spans="1:11" x14ac:dyDescent="0.25">
      <c r="A1780" s="26">
        <v>1730</v>
      </c>
      <c r="B1780" s="82">
        <f t="shared" ref="B1780:B1843" si="222">C1780-C1779</f>
        <v>0</v>
      </c>
      <c r="C1780" s="58">
        <f t="shared" si="218"/>
        <v>171.9194128119324</v>
      </c>
      <c r="D1780" s="83">
        <f t="shared" ref="D1780:D1843" si="223">IF($G$28&lt;$C$14,0,((($C$11^2)-((C1780-$C$13)^2))^0.5)+$C$16)</f>
        <v>733.33333333333326</v>
      </c>
      <c r="E1780">
        <f t="shared" si="219"/>
        <v>0</v>
      </c>
      <c r="G1780">
        <v>1730</v>
      </c>
      <c r="H1780" s="13">
        <f t="shared" ref="H1780:H1843" si="224">I1780-I1779</f>
        <v>-1.0275684203264746E-2</v>
      </c>
      <c r="I1780">
        <f t="shared" ref="I1780:I1843" si="225">($G$27-$C$14)/2000+I1779</f>
        <v>154.14247914028439</v>
      </c>
      <c r="J1780" t="e">
        <f t="shared" si="220"/>
        <v>#NUM!</v>
      </c>
      <c r="K1780" s="27" t="e">
        <f t="shared" si="221"/>
        <v>#NUM!</v>
      </c>
    </row>
    <row r="1781" spans="1:11" x14ac:dyDescent="0.25">
      <c r="A1781" s="26">
        <v>1731</v>
      </c>
      <c r="B1781" s="82">
        <f t="shared" si="222"/>
        <v>0</v>
      </c>
      <c r="C1781" s="58">
        <f t="shared" si="218"/>
        <v>171.9194128119324</v>
      </c>
      <c r="D1781" s="83">
        <f t="shared" si="223"/>
        <v>733.33333333333326</v>
      </c>
      <c r="E1781">
        <f t="shared" si="219"/>
        <v>0</v>
      </c>
      <c r="G1781">
        <v>1731</v>
      </c>
      <c r="H1781" s="13">
        <f t="shared" si="224"/>
        <v>-1.0275684203264746E-2</v>
      </c>
      <c r="I1781">
        <f t="shared" si="225"/>
        <v>154.13220345608113</v>
      </c>
      <c r="J1781" t="e">
        <f t="shared" si="220"/>
        <v>#NUM!</v>
      </c>
      <c r="K1781" s="27" t="e">
        <f t="shared" si="221"/>
        <v>#NUM!</v>
      </c>
    </row>
    <row r="1782" spans="1:11" x14ac:dyDescent="0.25">
      <c r="A1782" s="26">
        <v>1732</v>
      </c>
      <c r="B1782" s="82">
        <f t="shared" si="222"/>
        <v>0</v>
      </c>
      <c r="C1782" s="58">
        <f t="shared" si="218"/>
        <v>171.9194128119324</v>
      </c>
      <c r="D1782" s="83">
        <f t="shared" si="223"/>
        <v>733.33333333333326</v>
      </c>
      <c r="E1782">
        <f t="shared" si="219"/>
        <v>0</v>
      </c>
      <c r="G1782">
        <v>1732</v>
      </c>
      <c r="H1782" s="13">
        <f t="shared" si="224"/>
        <v>-1.0275684203264746E-2</v>
      </c>
      <c r="I1782">
        <f t="shared" si="225"/>
        <v>154.12192777187786</v>
      </c>
      <c r="J1782" t="e">
        <f t="shared" si="220"/>
        <v>#NUM!</v>
      </c>
      <c r="K1782" s="27" t="e">
        <f t="shared" si="221"/>
        <v>#NUM!</v>
      </c>
    </row>
    <row r="1783" spans="1:11" x14ac:dyDescent="0.25">
      <c r="A1783" s="26">
        <v>1733</v>
      </c>
      <c r="B1783" s="82">
        <f t="shared" si="222"/>
        <v>0</v>
      </c>
      <c r="C1783" s="58">
        <f t="shared" si="218"/>
        <v>171.9194128119324</v>
      </c>
      <c r="D1783" s="83">
        <f t="shared" si="223"/>
        <v>733.33333333333326</v>
      </c>
      <c r="E1783">
        <f t="shared" si="219"/>
        <v>0</v>
      </c>
      <c r="G1783">
        <v>1733</v>
      </c>
      <c r="H1783" s="13">
        <f t="shared" si="224"/>
        <v>-1.0275684203264746E-2</v>
      </c>
      <c r="I1783">
        <f t="shared" si="225"/>
        <v>154.1116520876746</v>
      </c>
      <c r="J1783" t="e">
        <f t="shared" si="220"/>
        <v>#NUM!</v>
      </c>
      <c r="K1783" s="27" t="e">
        <f t="shared" si="221"/>
        <v>#NUM!</v>
      </c>
    </row>
    <row r="1784" spans="1:11" x14ac:dyDescent="0.25">
      <c r="A1784" s="26">
        <v>1734</v>
      </c>
      <c r="B1784" s="82">
        <f t="shared" si="222"/>
        <v>0</v>
      </c>
      <c r="C1784" s="58">
        <f t="shared" si="218"/>
        <v>171.9194128119324</v>
      </c>
      <c r="D1784" s="83">
        <f t="shared" si="223"/>
        <v>733.33333333333326</v>
      </c>
      <c r="E1784">
        <f t="shared" si="219"/>
        <v>0</v>
      </c>
      <c r="G1784">
        <v>1734</v>
      </c>
      <c r="H1784" s="13">
        <f t="shared" si="224"/>
        <v>-1.0275684203264746E-2</v>
      </c>
      <c r="I1784">
        <f t="shared" si="225"/>
        <v>154.10137640347133</v>
      </c>
      <c r="J1784" t="e">
        <f t="shared" si="220"/>
        <v>#NUM!</v>
      </c>
      <c r="K1784" s="27" t="e">
        <f t="shared" si="221"/>
        <v>#NUM!</v>
      </c>
    </row>
    <row r="1785" spans="1:11" x14ac:dyDescent="0.25">
      <c r="A1785" s="26">
        <v>1735</v>
      </c>
      <c r="B1785" s="82">
        <f t="shared" si="222"/>
        <v>0</v>
      </c>
      <c r="C1785" s="58">
        <f t="shared" si="218"/>
        <v>171.9194128119324</v>
      </c>
      <c r="D1785" s="83">
        <f t="shared" si="223"/>
        <v>733.33333333333326</v>
      </c>
      <c r="E1785">
        <f t="shared" si="219"/>
        <v>0</v>
      </c>
      <c r="G1785">
        <v>1735</v>
      </c>
      <c r="H1785" s="13">
        <f t="shared" si="224"/>
        <v>-1.0275684203264746E-2</v>
      </c>
      <c r="I1785">
        <f t="shared" si="225"/>
        <v>154.09110071926807</v>
      </c>
      <c r="J1785" t="e">
        <f t="shared" si="220"/>
        <v>#NUM!</v>
      </c>
      <c r="K1785" s="27" t="e">
        <f t="shared" si="221"/>
        <v>#NUM!</v>
      </c>
    </row>
    <row r="1786" spans="1:11" x14ac:dyDescent="0.25">
      <c r="A1786" s="26">
        <v>1736</v>
      </c>
      <c r="B1786" s="82">
        <f t="shared" si="222"/>
        <v>0</v>
      </c>
      <c r="C1786" s="58">
        <f t="shared" si="218"/>
        <v>171.9194128119324</v>
      </c>
      <c r="D1786" s="83">
        <f t="shared" si="223"/>
        <v>733.33333333333326</v>
      </c>
      <c r="E1786">
        <f t="shared" si="219"/>
        <v>0</v>
      </c>
      <c r="G1786">
        <v>1736</v>
      </c>
      <c r="H1786" s="13">
        <f t="shared" si="224"/>
        <v>-1.0275684203264746E-2</v>
      </c>
      <c r="I1786">
        <f t="shared" si="225"/>
        <v>154.08082503506481</v>
      </c>
      <c r="J1786" t="e">
        <f t="shared" si="220"/>
        <v>#NUM!</v>
      </c>
      <c r="K1786" s="27" t="e">
        <f t="shared" si="221"/>
        <v>#NUM!</v>
      </c>
    </row>
    <row r="1787" spans="1:11" x14ac:dyDescent="0.25">
      <c r="A1787" s="26">
        <v>1737</v>
      </c>
      <c r="B1787" s="82">
        <f t="shared" si="222"/>
        <v>0</v>
      </c>
      <c r="C1787" s="58">
        <f t="shared" si="218"/>
        <v>171.9194128119324</v>
      </c>
      <c r="D1787" s="83">
        <f t="shared" si="223"/>
        <v>733.33333333333326</v>
      </c>
      <c r="E1787">
        <f t="shared" si="219"/>
        <v>0</v>
      </c>
      <c r="G1787">
        <v>1737</v>
      </c>
      <c r="H1787" s="13">
        <f t="shared" si="224"/>
        <v>-1.0275684203264746E-2</v>
      </c>
      <c r="I1787">
        <f t="shared" si="225"/>
        <v>154.07054935086154</v>
      </c>
      <c r="J1787" t="e">
        <f t="shared" si="220"/>
        <v>#NUM!</v>
      </c>
      <c r="K1787" s="27" t="e">
        <f t="shared" si="221"/>
        <v>#NUM!</v>
      </c>
    </row>
    <row r="1788" spans="1:11" x14ac:dyDescent="0.25">
      <c r="A1788" s="26">
        <v>1738</v>
      </c>
      <c r="B1788" s="82">
        <f t="shared" si="222"/>
        <v>0</v>
      </c>
      <c r="C1788" s="58">
        <f t="shared" si="218"/>
        <v>171.9194128119324</v>
      </c>
      <c r="D1788" s="83">
        <f t="shared" si="223"/>
        <v>733.33333333333326</v>
      </c>
      <c r="E1788">
        <f t="shared" si="219"/>
        <v>0</v>
      </c>
      <c r="G1788">
        <v>1738</v>
      </c>
      <c r="H1788" s="13">
        <f t="shared" si="224"/>
        <v>-1.0275684203264746E-2</v>
      </c>
      <c r="I1788">
        <f t="shared" si="225"/>
        <v>154.06027366665828</v>
      </c>
      <c r="J1788" t="e">
        <f t="shared" si="220"/>
        <v>#NUM!</v>
      </c>
      <c r="K1788" s="27" t="e">
        <f t="shared" si="221"/>
        <v>#NUM!</v>
      </c>
    </row>
    <row r="1789" spans="1:11" x14ac:dyDescent="0.25">
      <c r="A1789" s="26">
        <v>1739</v>
      </c>
      <c r="B1789" s="82">
        <f t="shared" si="222"/>
        <v>0</v>
      </c>
      <c r="C1789" s="58">
        <f t="shared" si="218"/>
        <v>171.9194128119324</v>
      </c>
      <c r="D1789" s="83">
        <f t="shared" si="223"/>
        <v>733.33333333333326</v>
      </c>
      <c r="E1789">
        <f t="shared" si="219"/>
        <v>0</v>
      </c>
      <c r="G1789">
        <v>1739</v>
      </c>
      <c r="H1789" s="13">
        <f t="shared" si="224"/>
        <v>-1.0275684203264746E-2</v>
      </c>
      <c r="I1789">
        <f t="shared" si="225"/>
        <v>154.04999798245501</v>
      </c>
      <c r="J1789" t="e">
        <f t="shared" si="220"/>
        <v>#NUM!</v>
      </c>
      <c r="K1789" s="27" t="e">
        <f t="shared" si="221"/>
        <v>#NUM!</v>
      </c>
    </row>
    <row r="1790" spans="1:11" x14ac:dyDescent="0.25">
      <c r="A1790" s="26">
        <v>1740</v>
      </c>
      <c r="B1790" s="82">
        <f t="shared" si="222"/>
        <v>0</v>
      </c>
      <c r="C1790" s="58">
        <f t="shared" si="218"/>
        <v>171.9194128119324</v>
      </c>
      <c r="D1790" s="83">
        <f t="shared" si="223"/>
        <v>733.33333333333326</v>
      </c>
      <c r="E1790">
        <f t="shared" si="219"/>
        <v>0</v>
      </c>
      <c r="G1790">
        <v>1740</v>
      </c>
      <c r="H1790" s="13">
        <f t="shared" si="224"/>
        <v>-1.0275684203264746E-2</v>
      </c>
      <c r="I1790">
        <f t="shared" si="225"/>
        <v>154.03972229825175</v>
      </c>
      <c r="J1790" t="e">
        <f t="shared" si="220"/>
        <v>#NUM!</v>
      </c>
      <c r="K1790" s="27" t="e">
        <f t="shared" si="221"/>
        <v>#NUM!</v>
      </c>
    </row>
    <row r="1791" spans="1:11" x14ac:dyDescent="0.25">
      <c r="A1791" s="26">
        <v>1741</v>
      </c>
      <c r="B1791" s="82">
        <f t="shared" si="222"/>
        <v>0</v>
      </c>
      <c r="C1791" s="58">
        <f t="shared" si="218"/>
        <v>171.9194128119324</v>
      </c>
      <c r="D1791" s="83">
        <f t="shared" si="223"/>
        <v>733.33333333333326</v>
      </c>
      <c r="E1791">
        <f t="shared" si="219"/>
        <v>0</v>
      </c>
      <c r="G1791">
        <v>1741</v>
      </c>
      <c r="H1791" s="13">
        <f t="shared" si="224"/>
        <v>-1.0275684203264746E-2</v>
      </c>
      <c r="I1791">
        <f t="shared" si="225"/>
        <v>154.02944661404848</v>
      </c>
      <c r="J1791" t="e">
        <f t="shared" si="220"/>
        <v>#NUM!</v>
      </c>
      <c r="K1791" s="27" t="e">
        <f t="shared" si="221"/>
        <v>#NUM!</v>
      </c>
    </row>
    <row r="1792" spans="1:11" x14ac:dyDescent="0.25">
      <c r="A1792" s="26">
        <v>1742</v>
      </c>
      <c r="B1792" s="82">
        <f t="shared" si="222"/>
        <v>0</v>
      </c>
      <c r="C1792" s="58">
        <f t="shared" si="218"/>
        <v>171.9194128119324</v>
      </c>
      <c r="D1792" s="83">
        <f t="shared" si="223"/>
        <v>733.33333333333326</v>
      </c>
      <c r="E1792">
        <f t="shared" si="219"/>
        <v>0</v>
      </c>
      <c r="G1792">
        <v>1742</v>
      </c>
      <c r="H1792" s="13">
        <f t="shared" si="224"/>
        <v>-1.0275684203264746E-2</v>
      </c>
      <c r="I1792">
        <f t="shared" si="225"/>
        <v>154.01917092984522</v>
      </c>
      <c r="J1792" t="e">
        <f t="shared" si="220"/>
        <v>#NUM!</v>
      </c>
      <c r="K1792" s="27" t="e">
        <f t="shared" si="221"/>
        <v>#NUM!</v>
      </c>
    </row>
    <row r="1793" spans="1:11" x14ac:dyDescent="0.25">
      <c r="A1793" s="26">
        <v>1743</v>
      </c>
      <c r="B1793" s="82">
        <f t="shared" si="222"/>
        <v>0</v>
      </c>
      <c r="C1793" s="58">
        <f t="shared" si="218"/>
        <v>171.9194128119324</v>
      </c>
      <c r="D1793" s="83">
        <f t="shared" si="223"/>
        <v>733.33333333333326</v>
      </c>
      <c r="E1793">
        <f t="shared" si="219"/>
        <v>0</v>
      </c>
      <c r="G1793">
        <v>1743</v>
      </c>
      <c r="H1793" s="13">
        <f t="shared" si="224"/>
        <v>-1.0275684203264746E-2</v>
      </c>
      <c r="I1793">
        <f t="shared" si="225"/>
        <v>154.00889524564195</v>
      </c>
      <c r="J1793" t="e">
        <f t="shared" si="220"/>
        <v>#NUM!</v>
      </c>
      <c r="K1793" s="27" t="e">
        <f t="shared" si="221"/>
        <v>#NUM!</v>
      </c>
    </row>
    <row r="1794" spans="1:11" x14ac:dyDescent="0.25">
      <c r="A1794" s="26">
        <v>1744</v>
      </c>
      <c r="B1794" s="82">
        <f t="shared" si="222"/>
        <v>0</v>
      </c>
      <c r="C1794" s="58">
        <f t="shared" si="218"/>
        <v>171.9194128119324</v>
      </c>
      <c r="D1794" s="83">
        <f t="shared" si="223"/>
        <v>733.33333333333326</v>
      </c>
      <c r="E1794">
        <f t="shared" si="219"/>
        <v>0</v>
      </c>
      <c r="G1794">
        <v>1744</v>
      </c>
      <c r="H1794" s="13">
        <f t="shared" si="224"/>
        <v>-1.0275684203264746E-2</v>
      </c>
      <c r="I1794">
        <f t="shared" si="225"/>
        <v>153.99861956143869</v>
      </c>
      <c r="J1794" t="e">
        <f t="shared" si="220"/>
        <v>#NUM!</v>
      </c>
      <c r="K1794" s="27" t="e">
        <f t="shared" si="221"/>
        <v>#NUM!</v>
      </c>
    </row>
    <row r="1795" spans="1:11" x14ac:dyDescent="0.25">
      <c r="A1795" s="26">
        <v>1745</v>
      </c>
      <c r="B1795" s="82">
        <f t="shared" si="222"/>
        <v>0</v>
      </c>
      <c r="C1795" s="58">
        <f t="shared" si="218"/>
        <v>171.9194128119324</v>
      </c>
      <c r="D1795" s="83">
        <f t="shared" si="223"/>
        <v>733.33333333333326</v>
      </c>
      <c r="E1795">
        <f t="shared" si="219"/>
        <v>0</v>
      </c>
      <c r="G1795">
        <v>1745</v>
      </c>
      <c r="H1795" s="13">
        <f t="shared" si="224"/>
        <v>-1.0275684203264746E-2</v>
      </c>
      <c r="I1795">
        <f t="shared" si="225"/>
        <v>153.98834387723542</v>
      </c>
      <c r="J1795" t="e">
        <f t="shared" si="220"/>
        <v>#NUM!</v>
      </c>
      <c r="K1795" s="27" t="e">
        <f t="shared" si="221"/>
        <v>#NUM!</v>
      </c>
    </row>
    <row r="1796" spans="1:11" x14ac:dyDescent="0.25">
      <c r="A1796" s="26">
        <v>1746</v>
      </c>
      <c r="B1796" s="82">
        <f t="shared" si="222"/>
        <v>0</v>
      </c>
      <c r="C1796" s="58">
        <f t="shared" si="218"/>
        <v>171.9194128119324</v>
      </c>
      <c r="D1796" s="83">
        <f t="shared" si="223"/>
        <v>733.33333333333326</v>
      </c>
      <c r="E1796">
        <f t="shared" si="219"/>
        <v>0</v>
      </c>
      <c r="G1796">
        <v>1746</v>
      </c>
      <c r="H1796" s="13">
        <f t="shared" si="224"/>
        <v>-1.0275684203264746E-2</v>
      </c>
      <c r="I1796">
        <f t="shared" si="225"/>
        <v>153.97806819303216</v>
      </c>
      <c r="J1796" t="e">
        <f t="shared" si="220"/>
        <v>#NUM!</v>
      </c>
      <c r="K1796" s="27" t="e">
        <f t="shared" si="221"/>
        <v>#NUM!</v>
      </c>
    </row>
    <row r="1797" spans="1:11" x14ac:dyDescent="0.25">
      <c r="A1797" s="26">
        <v>1747</v>
      </c>
      <c r="B1797" s="82">
        <f t="shared" si="222"/>
        <v>0</v>
      </c>
      <c r="C1797" s="58">
        <f t="shared" si="218"/>
        <v>171.9194128119324</v>
      </c>
      <c r="D1797" s="83">
        <f t="shared" si="223"/>
        <v>733.33333333333326</v>
      </c>
      <c r="E1797">
        <f t="shared" si="219"/>
        <v>0</v>
      </c>
      <c r="G1797">
        <v>1747</v>
      </c>
      <c r="H1797" s="13">
        <f t="shared" si="224"/>
        <v>-1.0275684203264746E-2</v>
      </c>
      <c r="I1797">
        <f t="shared" si="225"/>
        <v>153.96779250882889</v>
      </c>
      <c r="J1797" t="e">
        <f t="shared" si="220"/>
        <v>#NUM!</v>
      </c>
      <c r="K1797" s="27" t="e">
        <f t="shared" si="221"/>
        <v>#NUM!</v>
      </c>
    </row>
    <row r="1798" spans="1:11" x14ac:dyDescent="0.25">
      <c r="A1798" s="26">
        <v>1748</v>
      </c>
      <c r="B1798" s="82">
        <f t="shared" si="222"/>
        <v>0</v>
      </c>
      <c r="C1798" s="58">
        <f t="shared" si="218"/>
        <v>171.9194128119324</v>
      </c>
      <c r="D1798" s="83">
        <f t="shared" si="223"/>
        <v>733.33333333333326</v>
      </c>
      <c r="E1798">
        <f t="shared" si="219"/>
        <v>0</v>
      </c>
      <c r="G1798">
        <v>1748</v>
      </c>
      <c r="H1798" s="13">
        <f t="shared" si="224"/>
        <v>-1.0275684203264746E-2</v>
      </c>
      <c r="I1798">
        <f t="shared" si="225"/>
        <v>153.95751682462563</v>
      </c>
      <c r="J1798" t="e">
        <f t="shared" si="220"/>
        <v>#NUM!</v>
      </c>
      <c r="K1798" s="27" t="e">
        <f t="shared" si="221"/>
        <v>#NUM!</v>
      </c>
    </row>
    <row r="1799" spans="1:11" x14ac:dyDescent="0.25">
      <c r="A1799" s="26">
        <v>1749</v>
      </c>
      <c r="B1799" s="82">
        <f t="shared" si="222"/>
        <v>0</v>
      </c>
      <c r="C1799" s="58">
        <f t="shared" si="218"/>
        <v>171.9194128119324</v>
      </c>
      <c r="D1799" s="83">
        <f t="shared" si="223"/>
        <v>733.33333333333326</v>
      </c>
      <c r="E1799">
        <f t="shared" si="219"/>
        <v>0</v>
      </c>
      <c r="G1799">
        <v>1749</v>
      </c>
      <c r="H1799" s="13">
        <f t="shared" si="224"/>
        <v>-1.0275684203264746E-2</v>
      </c>
      <c r="I1799">
        <f t="shared" si="225"/>
        <v>153.94724114042236</v>
      </c>
      <c r="J1799" t="e">
        <f t="shared" si="220"/>
        <v>#NUM!</v>
      </c>
      <c r="K1799" s="27" t="e">
        <f t="shared" si="221"/>
        <v>#NUM!</v>
      </c>
    </row>
    <row r="1800" spans="1:11" x14ac:dyDescent="0.25">
      <c r="A1800" s="26">
        <v>1750</v>
      </c>
      <c r="B1800" s="82">
        <f t="shared" si="222"/>
        <v>0</v>
      </c>
      <c r="C1800" s="58">
        <f t="shared" si="218"/>
        <v>171.9194128119324</v>
      </c>
      <c r="D1800" s="83">
        <f t="shared" si="223"/>
        <v>733.33333333333326</v>
      </c>
      <c r="E1800">
        <f t="shared" si="219"/>
        <v>0</v>
      </c>
      <c r="G1800">
        <v>1750</v>
      </c>
      <c r="H1800" s="13">
        <f t="shared" si="224"/>
        <v>-1.0275684203264746E-2</v>
      </c>
      <c r="I1800">
        <f t="shared" si="225"/>
        <v>153.9369654562191</v>
      </c>
      <c r="J1800" t="e">
        <f t="shared" si="220"/>
        <v>#NUM!</v>
      </c>
      <c r="K1800" s="27" t="e">
        <f t="shared" si="221"/>
        <v>#NUM!</v>
      </c>
    </row>
    <row r="1801" spans="1:11" x14ac:dyDescent="0.25">
      <c r="A1801" s="26">
        <v>1751</v>
      </c>
      <c r="B1801" s="82">
        <f t="shared" si="222"/>
        <v>0</v>
      </c>
      <c r="C1801" s="58">
        <f t="shared" si="218"/>
        <v>171.9194128119324</v>
      </c>
      <c r="D1801" s="83">
        <f t="shared" si="223"/>
        <v>733.33333333333326</v>
      </c>
      <c r="E1801">
        <f t="shared" si="219"/>
        <v>0</v>
      </c>
      <c r="G1801">
        <v>1751</v>
      </c>
      <c r="H1801" s="13">
        <f t="shared" si="224"/>
        <v>-1.0275684203264746E-2</v>
      </c>
      <c r="I1801">
        <f t="shared" si="225"/>
        <v>153.92668977201583</v>
      </c>
      <c r="J1801" t="e">
        <f t="shared" si="220"/>
        <v>#NUM!</v>
      </c>
      <c r="K1801" s="27" t="e">
        <f t="shared" si="221"/>
        <v>#NUM!</v>
      </c>
    </row>
    <row r="1802" spans="1:11" x14ac:dyDescent="0.25">
      <c r="A1802" s="26">
        <v>1752</v>
      </c>
      <c r="B1802" s="82">
        <f t="shared" si="222"/>
        <v>0</v>
      </c>
      <c r="C1802" s="58">
        <f t="shared" si="218"/>
        <v>171.9194128119324</v>
      </c>
      <c r="D1802" s="83">
        <f t="shared" si="223"/>
        <v>733.33333333333326</v>
      </c>
      <c r="E1802">
        <f t="shared" si="219"/>
        <v>0</v>
      </c>
      <c r="G1802">
        <v>1752</v>
      </c>
      <c r="H1802" s="13">
        <f t="shared" si="224"/>
        <v>-1.0275684203264746E-2</v>
      </c>
      <c r="I1802">
        <f t="shared" si="225"/>
        <v>153.91641408781257</v>
      </c>
      <c r="J1802" t="e">
        <f t="shared" si="220"/>
        <v>#NUM!</v>
      </c>
      <c r="K1802" s="27" t="e">
        <f t="shared" si="221"/>
        <v>#NUM!</v>
      </c>
    </row>
    <row r="1803" spans="1:11" x14ac:dyDescent="0.25">
      <c r="A1803" s="26">
        <v>1753</v>
      </c>
      <c r="B1803" s="82">
        <f t="shared" si="222"/>
        <v>0</v>
      </c>
      <c r="C1803" s="58">
        <f t="shared" si="218"/>
        <v>171.9194128119324</v>
      </c>
      <c r="D1803" s="83">
        <f t="shared" si="223"/>
        <v>733.33333333333326</v>
      </c>
      <c r="E1803">
        <f t="shared" si="219"/>
        <v>0</v>
      </c>
      <c r="G1803">
        <v>1753</v>
      </c>
      <c r="H1803" s="13">
        <f t="shared" si="224"/>
        <v>-1.0275684203264746E-2</v>
      </c>
      <c r="I1803">
        <f t="shared" si="225"/>
        <v>153.9061384036093</v>
      </c>
      <c r="J1803" t="e">
        <f t="shared" si="220"/>
        <v>#NUM!</v>
      </c>
      <c r="K1803" s="27" t="e">
        <f t="shared" si="221"/>
        <v>#NUM!</v>
      </c>
    </row>
    <row r="1804" spans="1:11" x14ac:dyDescent="0.25">
      <c r="A1804" s="26">
        <v>1754</v>
      </c>
      <c r="B1804" s="82">
        <f t="shared" si="222"/>
        <v>0</v>
      </c>
      <c r="C1804" s="58">
        <f t="shared" si="218"/>
        <v>171.9194128119324</v>
      </c>
      <c r="D1804" s="83">
        <f t="shared" si="223"/>
        <v>733.33333333333326</v>
      </c>
      <c r="E1804">
        <f t="shared" si="219"/>
        <v>0</v>
      </c>
      <c r="G1804">
        <v>1754</v>
      </c>
      <c r="H1804" s="13">
        <f t="shared" si="224"/>
        <v>-1.0275684203264746E-2</v>
      </c>
      <c r="I1804">
        <f t="shared" si="225"/>
        <v>153.89586271940604</v>
      </c>
      <c r="J1804" t="e">
        <f t="shared" si="220"/>
        <v>#NUM!</v>
      </c>
      <c r="K1804" s="27" t="e">
        <f t="shared" si="221"/>
        <v>#NUM!</v>
      </c>
    </row>
    <row r="1805" spans="1:11" x14ac:dyDescent="0.25">
      <c r="A1805" s="26">
        <v>1755</v>
      </c>
      <c r="B1805" s="82">
        <f t="shared" si="222"/>
        <v>0</v>
      </c>
      <c r="C1805" s="58">
        <f t="shared" si="218"/>
        <v>171.9194128119324</v>
      </c>
      <c r="D1805" s="83">
        <f t="shared" si="223"/>
        <v>733.33333333333326</v>
      </c>
      <c r="E1805">
        <f t="shared" si="219"/>
        <v>0</v>
      </c>
      <c r="G1805">
        <v>1755</v>
      </c>
      <c r="H1805" s="13">
        <f t="shared" si="224"/>
        <v>-1.0275684203264746E-2</v>
      </c>
      <c r="I1805">
        <f t="shared" si="225"/>
        <v>153.88558703520278</v>
      </c>
      <c r="J1805" t="e">
        <f t="shared" si="220"/>
        <v>#NUM!</v>
      </c>
      <c r="K1805" s="27" t="e">
        <f t="shared" si="221"/>
        <v>#NUM!</v>
      </c>
    </row>
    <row r="1806" spans="1:11" x14ac:dyDescent="0.25">
      <c r="A1806" s="26">
        <v>1756</v>
      </c>
      <c r="B1806" s="82">
        <f t="shared" si="222"/>
        <v>0</v>
      </c>
      <c r="C1806" s="58">
        <f t="shared" si="218"/>
        <v>171.9194128119324</v>
      </c>
      <c r="D1806" s="83">
        <f t="shared" si="223"/>
        <v>733.33333333333326</v>
      </c>
      <c r="E1806">
        <f t="shared" si="219"/>
        <v>0</v>
      </c>
      <c r="G1806">
        <v>1756</v>
      </c>
      <c r="H1806" s="13">
        <f t="shared" si="224"/>
        <v>-1.0275684203264746E-2</v>
      </c>
      <c r="I1806">
        <f t="shared" si="225"/>
        <v>153.87531135099951</v>
      </c>
      <c r="J1806" t="e">
        <f t="shared" si="220"/>
        <v>#NUM!</v>
      </c>
      <c r="K1806" s="27" t="e">
        <f t="shared" si="221"/>
        <v>#NUM!</v>
      </c>
    </row>
    <row r="1807" spans="1:11" x14ac:dyDescent="0.25">
      <c r="A1807" s="26">
        <v>1757</v>
      </c>
      <c r="B1807" s="82">
        <f t="shared" si="222"/>
        <v>0</v>
      </c>
      <c r="C1807" s="58">
        <f t="shared" si="218"/>
        <v>171.9194128119324</v>
      </c>
      <c r="D1807" s="83">
        <f t="shared" si="223"/>
        <v>733.33333333333326</v>
      </c>
      <c r="E1807">
        <f t="shared" si="219"/>
        <v>0</v>
      </c>
      <c r="G1807">
        <v>1757</v>
      </c>
      <c r="H1807" s="13">
        <f t="shared" si="224"/>
        <v>-1.0275684203264746E-2</v>
      </c>
      <c r="I1807">
        <f t="shared" si="225"/>
        <v>153.86503566679625</v>
      </c>
      <c r="J1807" t="e">
        <f t="shared" si="220"/>
        <v>#NUM!</v>
      </c>
      <c r="K1807" s="27" t="e">
        <f t="shared" si="221"/>
        <v>#NUM!</v>
      </c>
    </row>
    <row r="1808" spans="1:11" x14ac:dyDescent="0.25">
      <c r="A1808" s="26">
        <v>1758</v>
      </c>
      <c r="B1808" s="82">
        <f t="shared" si="222"/>
        <v>0</v>
      </c>
      <c r="C1808" s="58">
        <f t="shared" ref="C1808:C1871" si="226">($C$37-$C$36)/2000+C1807</f>
        <v>171.9194128119324</v>
      </c>
      <c r="D1808" s="83">
        <f t="shared" si="223"/>
        <v>733.33333333333326</v>
      </c>
      <c r="E1808">
        <f t="shared" si="219"/>
        <v>0</v>
      </c>
      <c r="G1808">
        <v>1758</v>
      </c>
      <c r="H1808" s="13">
        <f t="shared" si="224"/>
        <v>-1.0275684203264746E-2</v>
      </c>
      <c r="I1808">
        <f t="shared" si="225"/>
        <v>153.85475998259298</v>
      </c>
      <c r="J1808" t="e">
        <f t="shared" si="220"/>
        <v>#NUM!</v>
      </c>
      <c r="K1808" s="27" t="e">
        <f t="shared" si="221"/>
        <v>#NUM!</v>
      </c>
    </row>
    <row r="1809" spans="1:11" x14ac:dyDescent="0.25">
      <c r="A1809" s="26">
        <v>1759</v>
      </c>
      <c r="B1809" s="82">
        <f t="shared" si="222"/>
        <v>0</v>
      </c>
      <c r="C1809" s="58">
        <f t="shared" si="226"/>
        <v>171.9194128119324</v>
      </c>
      <c r="D1809" s="83">
        <f t="shared" si="223"/>
        <v>733.33333333333326</v>
      </c>
      <c r="E1809">
        <f t="shared" si="219"/>
        <v>0</v>
      </c>
      <c r="G1809">
        <v>1759</v>
      </c>
      <c r="H1809" s="13">
        <f t="shared" si="224"/>
        <v>-1.0275684203264746E-2</v>
      </c>
      <c r="I1809">
        <f t="shared" si="225"/>
        <v>153.84448429838972</v>
      </c>
      <c r="J1809" t="e">
        <f t="shared" si="220"/>
        <v>#NUM!</v>
      </c>
      <c r="K1809" s="27" t="e">
        <f t="shared" si="221"/>
        <v>#NUM!</v>
      </c>
    </row>
    <row r="1810" spans="1:11" x14ac:dyDescent="0.25">
      <c r="A1810" s="26">
        <v>1760</v>
      </c>
      <c r="B1810" s="82">
        <f t="shared" si="222"/>
        <v>0</v>
      </c>
      <c r="C1810" s="58">
        <f t="shared" si="226"/>
        <v>171.9194128119324</v>
      </c>
      <c r="D1810" s="83">
        <f t="shared" si="223"/>
        <v>733.33333333333326</v>
      </c>
      <c r="E1810">
        <f t="shared" si="219"/>
        <v>0</v>
      </c>
      <c r="G1810">
        <v>1760</v>
      </c>
      <c r="H1810" s="13">
        <f t="shared" si="224"/>
        <v>-1.0275684203264746E-2</v>
      </c>
      <c r="I1810">
        <f t="shared" si="225"/>
        <v>153.83420861418645</v>
      </c>
      <c r="J1810" t="e">
        <f t="shared" si="220"/>
        <v>#NUM!</v>
      </c>
      <c r="K1810" s="27" t="e">
        <f t="shared" si="221"/>
        <v>#NUM!</v>
      </c>
    </row>
    <row r="1811" spans="1:11" x14ac:dyDescent="0.25">
      <c r="A1811" s="26">
        <v>1761</v>
      </c>
      <c r="B1811" s="82">
        <f t="shared" si="222"/>
        <v>0</v>
      </c>
      <c r="C1811" s="58">
        <f t="shared" si="226"/>
        <v>171.9194128119324</v>
      </c>
      <c r="D1811" s="83">
        <f t="shared" si="223"/>
        <v>733.33333333333326</v>
      </c>
      <c r="E1811">
        <f t="shared" si="219"/>
        <v>0</v>
      </c>
      <c r="G1811">
        <v>1761</v>
      </c>
      <c r="H1811" s="13">
        <f t="shared" si="224"/>
        <v>-1.0275684203264746E-2</v>
      </c>
      <c r="I1811">
        <f t="shared" si="225"/>
        <v>153.82393292998319</v>
      </c>
      <c r="J1811" t="e">
        <f t="shared" si="220"/>
        <v>#NUM!</v>
      </c>
      <c r="K1811" s="27" t="e">
        <f t="shared" si="221"/>
        <v>#NUM!</v>
      </c>
    </row>
    <row r="1812" spans="1:11" x14ac:dyDescent="0.25">
      <c r="A1812" s="26">
        <v>1762</v>
      </c>
      <c r="B1812" s="82">
        <f t="shared" si="222"/>
        <v>0</v>
      </c>
      <c r="C1812" s="58">
        <f t="shared" si="226"/>
        <v>171.9194128119324</v>
      </c>
      <c r="D1812" s="83">
        <f t="shared" si="223"/>
        <v>733.33333333333326</v>
      </c>
      <c r="E1812">
        <f t="shared" si="219"/>
        <v>0</v>
      </c>
      <c r="G1812">
        <v>1762</v>
      </c>
      <c r="H1812" s="13">
        <f t="shared" si="224"/>
        <v>-1.0275684203264746E-2</v>
      </c>
      <c r="I1812">
        <f t="shared" si="225"/>
        <v>153.81365724577992</v>
      </c>
      <c r="J1812" t="e">
        <f t="shared" si="220"/>
        <v>#NUM!</v>
      </c>
      <c r="K1812" s="27" t="e">
        <f t="shared" si="221"/>
        <v>#NUM!</v>
      </c>
    </row>
    <row r="1813" spans="1:11" x14ac:dyDescent="0.25">
      <c r="A1813" s="26">
        <v>1763</v>
      </c>
      <c r="B1813" s="82">
        <f t="shared" si="222"/>
        <v>0</v>
      </c>
      <c r="C1813" s="58">
        <f t="shared" si="226"/>
        <v>171.9194128119324</v>
      </c>
      <c r="D1813" s="83">
        <f t="shared" si="223"/>
        <v>733.33333333333326</v>
      </c>
      <c r="E1813">
        <f t="shared" si="219"/>
        <v>0</v>
      </c>
      <c r="G1813">
        <v>1763</v>
      </c>
      <c r="H1813" s="13">
        <f t="shared" si="224"/>
        <v>-1.0275684203264746E-2</v>
      </c>
      <c r="I1813">
        <f t="shared" si="225"/>
        <v>153.80338156157666</v>
      </c>
      <c r="J1813" t="e">
        <f t="shared" si="220"/>
        <v>#NUM!</v>
      </c>
      <c r="K1813" s="27" t="e">
        <f t="shared" si="221"/>
        <v>#NUM!</v>
      </c>
    </row>
    <row r="1814" spans="1:11" x14ac:dyDescent="0.25">
      <c r="A1814" s="26">
        <v>1764</v>
      </c>
      <c r="B1814" s="82">
        <f t="shared" si="222"/>
        <v>0</v>
      </c>
      <c r="C1814" s="58">
        <f t="shared" si="226"/>
        <v>171.9194128119324</v>
      </c>
      <c r="D1814" s="83">
        <f t="shared" si="223"/>
        <v>733.33333333333326</v>
      </c>
      <c r="E1814">
        <f t="shared" si="219"/>
        <v>0</v>
      </c>
      <c r="G1814">
        <v>1764</v>
      </c>
      <c r="H1814" s="13">
        <f t="shared" si="224"/>
        <v>-1.0275684203264746E-2</v>
      </c>
      <c r="I1814">
        <f t="shared" si="225"/>
        <v>153.79310587737339</v>
      </c>
      <c r="J1814" t="e">
        <f t="shared" si="220"/>
        <v>#NUM!</v>
      </c>
      <c r="K1814" s="27" t="e">
        <f t="shared" si="221"/>
        <v>#NUM!</v>
      </c>
    </row>
    <row r="1815" spans="1:11" x14ac:dyDescent="0.25">
      <c r="A1815" s="26">
        <v>1765</v>
      </c>
      <c r="B1815" s="82">
        <f t="shared" si="222"/>
        <v>0</v>
      </c>
      <c r="C1815" s="58">
        <f t="shared" si="226"/>
        <v>171.9194128119324</v>
      </c>
      <c r="D1815" s="83">
        <f t="shared" si="223"/>
        <v>733.33333333333326</v>
      </c>
      <c r="E1815">
        <f t="shared" si="219"/>
        <v>0</v>
      </c>
      <c r="G1815">
        <v>1765</v>
      </c>
      <c r="H1815" s="13">
        <f t="shared" si="224"/>
        <v>-1.0275684203264746E-2</v>
      </c>
      <c r="I1815">
        <f t="shared" si="225"/>
        <v>153.78283019317013</v>
      </c>
      <c r="J1815" t="e">
        <f t="shared" si="220"/>
        <v>#NUM!</v>
      </c>
      <c r="K1815" s="27" t="e">
        <f t="shared" si="221"/>
        <v>#NUM!</v>
      </c>
    </row>
    <row r="1816" spans="1:11" x14ac:dyDescent="0.25">
      <c r="A1816" s="26">
        <v>1766</v>
      </c>
      <c r="B1816" s="82">
        <f t="shared" si="222"/>
        <v>0</v>
      </c>
      <c r="C1816" s="58">
        <f t="shared" si="226"/>
        <v>171.9194128119324</v>
      </c>
      <c r="D1816" s="83">
        <f t="shared" si="223"/>
        <v>733.33333333333326</v>
      </c>
      <c r="E1816">
        <f t="shared" si="219"/>
        <v>0</v>
      </c>
      <c r="G1816">
        <v>1766</v>
      </c>
      <c r="H1816" s="13">
        <f t="shared" si="224"/>
        <v>-1.0275684203264746E-2</v>
      </c>
      <c r="I1816">
        <f t="shared" si="225"/>
        <v>153.77255450896686</v>
      </c>
      <c r="J1816" t="e">
        <f t="shared" si="220"/>
        <v>#NUM!</v>
      </c>
      <c r="K1816" s="27" t="e">
        <f t="shared" si="221"/>
        <v>#NUM!</v>
      </c>
    </row>
    <row r="1817" spans="1:11" x14ac:dyDescent="0.25">
      <c r="A1817" s="26">
        <v>1767</v>
      </c>
      <c r="B1817" s="82">
        <f t="shared" si="222"/>
        <v>0</v>
      </c>
      <c r="C1817" s="58">
        <f t="shared" si="226"/>
        <v>171.9194128119324</v>
      </c>
      <c r="D1817" s="83">
        <f t="shared" si="223"/>
        <v>733.33333333333326</v>
      </c>
      <c r="E1817">
        <f t="shared" si="219"/>
        <v>0</v>
      </c>
      <c r="G1817">
        <v>1767</v>
      </c>
      <c r="H1817" s="13">
        <f t="shared" si="224"/>
        <v>-1.0275684203264746E-2</v>
      </c>
      <c r="I1817">
        <f t="shared" si="225"/>
        <v>153.7622788247636</v>
      </c>
      <c r="J1817" t="e">
        <f t="shared" si="220"/>
        <v>#NUM!</v>
      </c>
      <c r="K1817" s="27" t="e">
        <f t="shared" si="221"/>
        <v>#NUM!</v>
      </c>
    </row>
    <row r="1818" spans="1:11" x14ac:dyDescent="0.25">
      <c r="A1818" s="26">
        <v>1768</v>
      </c>
      <c r="B1818" s="82">
        <f t="shared" si="222"/>
        <v>0</v>
      </c>
      <c r="C1818" s="58">
        <f t="shared" si="226"/>
        <v>171.9194128119324</v>
      </c>
      <c r="D1818" s="83">
        <f t="shared" si="223"/>
        <v>733.33333333333326</v>
      </c>
      <c r="E1818">
        <f t="shared" si="219"/>
        <v>0</v>
      </c>
      <c r="G1818">
        <v>1768</v>
      </c>
      <c r="H1818" s="13">
        <f t="shared" si="224"/>
        <v>-1.0275684203264746E-2</v>
      </c>
      <c r="I1818">
        <f t="shared" si="225"/>
        <v>153.75200314056033</v>
      </c>
      <c r="J1818" t="e">
        <f t="shared" si="220"/>
        <v>#NUM!</v>
      </c>
      <c r="K1818" s="27" t="e">
        <f t="shared" si="221"/>
        <v>#NUM!</v>
      </c>
    </row>
    <row r="1819" spans="1:11" x14ac:dyDescent="0.25">
      <c r="A1819" s="26">
        <v>1769</v>
      </c>
      <c r="B1819" s="82">
        <f t="shared" si="222"/>
        <v>0</v>
      </c>
      <c r="C1819" s="58">
        <f t="shared" si="226"/>
        <v>171.9194128119324</v>
      </c>
      <c r="D1819" s="83">
        <f t="shared" si="223"/>
        <v>733.33333333333326</v>
      </c>
      <c r="E1819">
        <f t="shared" si="219"/>
        <v>0</v>
      </c>
      <c r="G1819">
        <v>1769</v>
      </c>
      <c r="H1819" s="13">
        <f t="shared" si="224"/>
        <v>-1.0275684203264746E-2</v>
      </c>
      <c r="I1819">
        <f t="shared" si="225"/>
        <v>153.74172745635707</v>
      </c>
      <c r="J1819" t="e">
        <f t="shared" si="220"/>
        <v>#NUM!</v>
      </c>
      <c r="K1819" s="27" t="e">
        <f t="shared" si="221"/>
        <v>#NUM!</v>
      </c>
    </row>
    <row r="1820" spans="1:11" x14ac:dyDescent="0.25">
      <c r="A1820" s="26">
        <v>1770</v>
      </c>
      <c r="B1820" s="82">
        <f t="shared" si="222"/>
        <v>0</v>
      </c>
      <c r="C1820" s="58">
        <f t="shared" si="226"/>
        <v>171.9194128119324</v>
      </c>
      <c r="D1820" s="83">
        <f t="shared" si="223"/>
        <v>733.33333333333326</v>
      </c>
      <c r="E1820">
        <f t="shared" si="219"/>
        <v>0</v>
      </c>
      <c r="G1820">
        <v>1770</v>
      </c>
      <c r="H1820" s="13">
        <f t="shared" si="224"/>
        <v>-1.0275684203264746E-2</v>
      </c>
      <c r="I1820">
        <f t="shared" si="225"/>
        <v>153.7314517721538</v>
      </c>
      <c r="J1820" t="e">
        <f t="shared" si="220"/>
        <v>#NUM!</v>
      </c>
      <c r="K1820" s="27" t="e">
        <f t="shared" si="221"/>
        <v>#NUM!</v>
      </c>
    </row>
    <row r="1821" spans="1:11" x14ac:dyDescent="0.25">
      <c r="A1821" s="26">
        <v>1771</v>
      </c>
      <c r="B1821" s="82">
        <f t="shared" si="222"/>
        <v>0</v>
      </c>
      <c r="C1821" s="58">
        <f t="shared" si="226"/>
        <v>171.9194128119324</v>
      </c>
      <c r="D1821" s="83">
        <f t="shared" si="223"/>
        <v>733.33333333333326</v>
      </c>
      <c r="E1821">
        <f t="shared" si="219"/>
        <v>0</v>
      </c>
      <c r="G1821">
        <v>1771</v>
      </c>
      <c r="H1821" s="13">
        <f t="shared" si="224"/>
        <v>-1.0275684203264746E-2</v>
      </c>
      <c r="I1821">
        <f t="shared" si="225"/>
        <v>153.72117608795054</v>
      </c>
      <c r="J1821" t="e">
        <f t="shared" si="220"/>
        <v>#NUM!</v>
      </c>
      <c r="K1821" s="27" t="e">
        <f t="shared" si="221"/>
        <v>#NUM!</v>
      </c>
    </row>
    <row r="1822" spans="1:11" x14ac:dyDescent="0.25">
      <c r="A1822" s="26">
        <v>1772</v>
      </c>
      <c r="B1822" s="82">
        <f t="shared" si="222"/>
        <v>0</v>
      </c>
      <c r="C1822" s="58">
        <f t="shared" si="226"/>
        <v>171.9194128119324</v>
      </c>
      <c r="D1822" s="83">
        <f t="shared" si="223"/>
        <v>733.33333333333326</v>
      </c>
      <c r="E1822">
        <f t="shared" si="219"/>
        <v>0</v>
      </c>
      <c r="G1822">
        <v>1772</v>
      </c>
      <c r="H1822" s="13">
        <f t="shared" si="224"/>
        <v>-1.0275684203264746E-2</v>
      </c>
      <c r="I1822">
        <f t="shared" si="225"/>
        <v>153.71090040374727</v>
      </c>
      <c r="J1822" t="e">
        <f t="shared" si="220"/>
        <v>#NUM!</v>
      </c>
      <c r="K1822" s="27" t="e">
        <f t="shared" si="221"/>
        <v>#NUM!</v>
      </c>
    </row>
    <row r="1823" spans="1:11" x14ac:dyDescent="0.25">
      <c r="A1823" s="26">
        <v>1773</v>
      </c>
      <c r="B1823" s="82">
        <f t="shared" si="222"/>
        <v>0</v>
      </c>
      <c r="C1823" s="58">
        <f t="shared" si="226"/>
        <v>171.9194128119324</v>
      </c>
      <c r="D1823" s="83">
        <f t="shared" si="223"/>
        <v>733.33333333333326</v>
      </c>
      <c r="E1823">
        <f t="shared" si="219"/>
        <v>0</v>
      </c>
      <c r="G1823">
        <v>1773</v>
      </c>
      <c r="H1823" s="13">
        <f t="shared" si="224"/>
        <v>-1.0275684203264746E-2</v>
      </c>
      <c r="I1823">
        <f t="shared" si="225"/>
        <v>153.70062471954401</v>
      </c>
      <c r="J1823" t="e">
        <f t="shared" si="220"/>
        <v>#NUM!</v>
      </c>
      <c r="K1823" s="27" t="e">
        <f t="shared" si="221"/>
        <v>#NUM!</v>
      </c>
    </row>
    <row r="1824" spans="1:11" x14ac:dyDescent="0.25">
      <c r="A1824" s="26">
        <v>1774</v>
      </c>
      <c r="B1824" s="82">
        <f t="shared" si="222"/>
        <v>0</v>
      </c>
      <c r="C1824" s="58">
        <f t="shared" si="226"/>
        <v>171.9194128119324</v>
      </c>
      <c r="D1824" s="83">
        <f t="shared" si="223"/>
        <v>733.33333333333326</v>
      </c>
      <c r="E1824">
        <f t="shared" si="219"/>
        <v>0</v>
      </c>
      <c r="G1824">
        <v>1774</v>
      </c>
      <c r="H1824" s="13">
        <f t="shared" si="224"/>
        <v>-1.0275684203264746E-2</v>
      </c>
      <c r="I1824">
        <f t="shared" si="225"/>
        <v>153.69034903534074</v>
      </c>
      <c r="J1824" t="e">
        <f t="shared" si="220"/>
        <v>#NUM!</v>
      </c>
      <c r="K1824" s="27" t="e">
        <f t="shared" si="221"/>
        <v>#NUM!</v>
      </c>
    </row>
    <row r="1825" spans="1:11" x14ac:dyDescent="0.25">
      <c r="A1825" s="26">
        <v>1775</v>
      </c>
      <c r="B1825" s="82">
        <f t="shared" si="222"/>
        <v>0</v>
      </c>
      <c r="C1825" s="58">
        <f t="shared" si="226"/>
        <v>171.9194128119324</v>
      </c>
      <c r="D1825" s="83">
        <f t="shared" si="223"/>
        <v>733.33333333333326</v>
      </c>
      <c r="E1825">
        <f t="shared" si="219"/>
        <v>0</v>
      </c>
      <c r="G1825">
        <v>1775</v>
      </c>
      <c r="H1825" s="13">
        <f t="shared" si="224"/>
        <v>-1.0275684203264746E-2</v>
      </c>
      <c r="I1825">
        <f t="shared" si="225"/>
        <v>153.68007335113748</v>
      </c>
      <c r="J1825" t="e">
        <f t="shared" si="220"/>
        <v>#NUM!</v>
      </c>
      <c r="K1825" s="27" t="e">
        <f t="shared" si="221"/>
        <v>#NUM!</v>
      </c>
    </row>
    <row r="1826" spans="1:11" x14ac:dyDescent="0.25">
      <c r="A1826" s="26">
        <v>1776</v>
      </c>
      <c r="B1826" s="82">
        <f t="shared" si="222"/>
        <v>0</v>
      </c>
      <c r="C1826" s="58">
        <f t="shared" si="226"/>
        <v>171.9194128119324</v>
      </c>
      <c r="D1826" s="83">
        <f t="shared" si="223"/>
        <v>733.33333333333326</v>
      </c>
      <c r="E1826">
        <f t="shared" si="219"/>
        <v>0</v>
      </c>
      <c r="G1826">
        <v>1776</v>
      </c>
      <c r="H1826" s="13">
        <f t="shared" si="224"/>
        <v>-1.0275684203264746E-2</v>
      </c>
      <c r="I1826">
        <f t="shared" si="225"/>
        <v>153.66979766693422</v>
      </c>
      <c r="J1826" t="e">
        <f t="shared" si="220"/>
        <v>#NUM!</v>
      </c>
      <c r="K1826" s="27" t="e">
        <f t="shared" si="221"/>
        <v>#NUM!</v>
      </c>
    </row>
    <row r="1827" spans="1:11" x14ac:dyDescent="0.25">
      <c r="A1827" s="26">
        <v>1777</v>
      </c>
      <c r="B1827" s="82">
        <f t="shared" si="222"/>
        <v>0</v>
      </c>
      <c r="C1827" s="58">
        <f t="shared" si="226"/>
        <v>171.9194128119324</v>
      </c>
      <c r="D1827" s="83">
        <f t="shared" si="223"/>
        <v>733.33333333333326</v>
      </c>
      <c r="E1827">
        <f t="shared" si="219"/>
        <v>0</v>
      </c>
      <c r="G1827">
        <v>1777</v>
      </c>
      <c r="H1827" s="13">
        <f t="shared" si="224"/>
        <v>-1.0275684203264746E-2</v>
      </c>
      <c r="I1827">
        <f t="shared" si="225"/>
        <v>153.65952198273095</v>
      </c>
      <c r="J1827" t="e">
        <f t="shared" si="220"/>
        <v>#NUM!</v>
      </c>
      <c r="K1827" s="27" t="e">
        <f t="shared" si="221"/>
        <v>#NUM!</v>
      </c>
    </row>
    <row r="1828" spans="1:11" x14ac:dyDescent="0.25">
      <c r="A1828" s="26">
        <v>1778</v>
      </c>
      <c r="B1828" s="82">
        <f t="shared" si="222"/>
        <v>0</v>
      </c>
      <c r="C1828" s="58">
        <f t="shared" si="226"/>
        <v>171.9194128119324</v>
      </c>
      <c r="D1828" s="83">
        <f t="shared" si="223"/>
        <v>733.33333333333326</v>
      </c>
      <c r="E1828">
        <f t="shared" si="219"/>
        <v>0</v>
      </c>
      <c r="G1828">
        <v>1778</v>
      </c>
      <c r="H1828" s="13">
        <f t="shared" si="224"/>
        <v>-1.0275684203264746E-2</v>
      </c>
      <c r="I1828">
        <f t="shared" si="225"/>
        <v>153.64924629852769</v>
      </c>
      <c r="J1828" t="e">
        <f t="shared" si="220"/>
        <v>#NUM!</v>
      </c>
      <c r="K1828" s="27" t="e">
        <f t="shared" si="221"/>
        <v>#NUM!</v>
      </c>
    </row>
    <row r="1829" spans="1:11" x14ac:dyDescent="0.25">
      <c r="A1829" s="26">
        <v>1779</v>
      </c>
      <c r="B1829" s="82">
        <f t="shared" si="222"/>
        <v>0</v>
      </c>
      <c r="C1829" s="58">
        <f t="shared" si="226"/>
        <v>171.9194128119324</v>
      </c>
      <c r="D1829" s="83">
        <f t="shared" si="223"/>
        <v>733.33333333333326</v>
      </c>
      <c r="E1829">
        <f t="shared" si="219"/>
        <v>0</v>
      </c>
      <c r="G1829">
        <v>1779</v>
      </c>
      <c r="H1829" s="13">
        <f t="shared" si="224"/>
        <v>-1.0275684203264746E-2</v>
      </c>
      <c r="I1829">
        <f t="shared" si="225"/>
        <v>153.63897061432442</v>
      </c>
      <c r="J1829" t="e">
        <f t="shared" si="220"/>
        <v>#NUM!</v>
      </c>
      <c r="K1829" s="27" t="e">
        <f t="shared" si="221"/>
        <v>#NUM!</v>
      </c>
    </row>
    <row r="1830" spans="1:11" x14ac:dyDescent="0.25">
      <c r="A1830" s="26">
        <v>1780</v>
      </c>
      <c r="B1830" s="82">
        <f t="shared" si="222"/>
        <v>0</v>
      </c>
      <c r="C1830" s="58">
        <f t="shared" si="226"/>
        <v>171.9194128119324</v>
      </c>
      <c r="D1830" s="83">
        <f t="shared" si="223"/>
        <v>733.33333333333326</v>
      </c>
      <c r="E1830">
        <f t="shared" si="219"/>
        <v>0</v>
      </c>
      <c r="G1830">
        <v>1780</v>
      </c>
      <c r="H1830" s="13">
        <f t="shared" si="224"/>
        <v>-1.0275684203264746E-2</v>
      </c>
      <c r="I1830">
        <f t="shared" si="225"/>
        <v>153.62869493012116</v>
      </c>
      <c r="J1830" t="e">
        <f t="shared" si="220"/>
        <v>#NUM!</v>
      </c>
      <c r="K1830" s="27" t="e">
        <f t="shared" si="221"/>
        <v>#NUM!</v>
      </c>
    </row>
    <row r="1831" spans="1:11" x14ac:dyDescent="0.25">
      <c r="A1831" s="26">
        <v>1781</v>
      </c>
      <c r="B1831" s="82">
        <f t="shared" si="222"/>
        <v>0</v>
      </c>
      <c r="C1831" s="58">
        <f t="shared" si="226"/>
        <v>171.9194128119324</v>
      </c>
      <c r="D1831" s="83">
        <f t="shared" si="223"/>
        <v>733.33333333333326</v>
      </c>
      <c r="E1831">
        <f t="shared" si="219"/>
        <v>0</v>
      </c>
      <c r="G1831">
        <v>1781</v>
      </c>
      <c r="H1831" s="13">
        <f t="shared" si="224"/>
        <v>-1.0275684203264746E-2</v>
      </c>
      <c r="I1831">
        <f t="shared" si="225"/>
        <v>153.61841924591789</v>
      </c>
      <c r="J1831" t="e">
        <f t="shared" si="220"/>
        <v>#NUM!</v>
      </c>
      <c r="K1831" s="27" t="e">
        <f t="shared" si="221"/>
        <v>#NUM!</v>
      </c>
    </row>
    <row r="1832" spans="1:11" x14ac:dyDescent="0.25">
      <c r="A1832" s="26">
        <v>1782</v>
      </c>
      <c r="B1832" s="82">
        <f t="shared" si="222"/>
        <v>0</v>
      </c>
      <c r="C1832" s="58">
        <f t="shared" si="226"/>
        <v>171.9194128119324</v>
      </c>
      <c r="D1832" s="83">
        <f t="shared" si="223"/>
        <v>733.33333333333326</v>
      </c>
      <c r="E1832">
        <f t="shared" si="219"/>
        <v>0</v>
      </c>
      <c r="G1832">
        <v>1782</v>
      </c>
      <c r="H1832" s="13">
        <f t="shared" si="224"/>
        <v>-1.0275684203264746E-2</v>
      </c>
      <c r="I1832">
        <f t="shared" si="225"/>
        <v>153.60814356171463</v>
      </c>
      <c r="J1832" t="e">
        <f t="shared" si="220"/>
        <v>#NUM!</v>
      </c>
      <c r="K1832" s="27" t="e">
        <f t="shared" si="221"/>
        <v>#NUM!</v>
      </c>
    </row>
    <row r="1833" spans="1:11" x14ac:dyDescent="0.25">
      <c r="A1833" s="26">
        <v>1783</v>
      </c>
      <c r="B1833" s="82">
        <f t="shared" si="222"/>
        <v>0</v>
      </c>
      <c r="C1833" s="58">
        <f t="shared" si="226"/>
        <v>171.9194128119324</v>
      </c>
      <c r="D1833" s="83">
        <f t="shared" si="223"/>
        <v>733.33333333333326</v>
      </c>
      <c r="E1833">
        <f t="shared" si="219"/>
        <v>0</v>
      </c>
      <c r="G1833">
        <v>1783</v>
      </c>
      <c r="H1833" s="13">
        <f t="shared" si="224"/>
        <v>-1.0275684203264746E-2</v>
      </c>
      <c r="I1833">
        <f t="shared" si="225"/>
        <v>153.59786787751136</v>
      </c>
      <c r="J1833" t="e">
        <f t="shared" si="220"/>
        <v>#NUM!</v>
      </c>
      <c r="K1833" s="27" t="e">
        <f t="shared" si="221"/>
        <v>#NUM!</v>
      </c>
    </row>
    <row r="1834" spans="1:11" x14ac:dyDescent="0.25">
      <c r="A1834" s="26">
        <v>1784</v>
      </c>
      <c r="B1834" s="82">
        <f t="shared" si="222"/>
        <v>0</v>
      </c>
      <c r="C1834" s="58">
        <f t="shared" si="226"/>
        <v>171.9194128119324</v>
      </c>
      <c r="D1834" s="83">
        <f t="shared" si="223"/>
        <v>733.33333333333326</v>
      </c>
      <c r="E1834">
        <f t="shared" si="219"/>
        <v>0</v>
      </c>
      <c r="G1834">
        <v>1784</v>
      </c>
      <c r="H1834" s="13">
        <f t="shared" si="224"/>
        <v>-1.0275684203264746E-2</v>
      </c>
      <c r="I1834">
        <f t="shared" si="225"/>
        <v>153.5875921933081</v>
      </c>
      <c r="J1834" t="e">
        <f t="shared" si="220"/>
        <v>#NUM!</v>
      </c>
      <c r="K1834" s="27" t="e">
        <f t="shared" si="221"/>
        <v>#NUM!</v>
      </c>
    </row>
    <row r="1835" spans="1:11" x14ac:dyDescent="0.25">
      <c r="A1835" s="26">
        <v>1785</v>
      </c>
      <c r="B1835" s="82">
        <f t="shared" si="222"/>
        <v>0</v>
      </c>
      <c r="C1835" s="58">
        <f t="shared" si="226"/>
        <v>171.9194128119324</v>
      </c>
      <c r="D1835" s="83">
        <f t="shared" si="223"/>
        <v>733.33333333333326</v>
      </c>
      <c r="E1835">
        <f t="shared" si="219"/>
        <v>0</v>
      </c>
      <c r="G1835">
        <v>1785</v>
      </c>
      <c r="H1835" s="13">
        <f t="shared" si="224"/>
        <v>-1.0275684203264746E-2</v>
      </c>
      <c r="I1835">
        <f t="shared" si="225"/>
        <v>153.57731650910483</v>
      </c>
      <c r="J1835" t="e">
        <f t="shared" si="220"/>
        <v>#NUM!</v>
      </c>
      <c r="K1835" s="27" t="e">
        <f t="shared" si="221"/>
        <v>#NUM!</v>
      </c>
    </row>
    <row r="1836" spans="1:11" x14ac:dyDescent="0.25">
      <c r="A1836" s="26">
        <v>1786</v>
      </c>
      <c r="B1836" s="82">
        <f t="shared" si="222"/>
        <v>0</v>
      </c>
      <c r="C1836" s="58">
        <f t="shared" si="226"/>
        <v>171.9194128119324</v>
      </c>
      <c r="D1836" s="83">
        <f t="shared" si="223"/>
        <v>733.33333333333326</v>
      </c>
      <c r="E1836">
        <f t="shared" si="219"/>
        <v>0</v>
      </c>
      <c r="G1836">
        <v>1786</v>
      </c>
      <c r="H1836" s="13">
        <f t="shared" si="224"/>
        <v>-1.0275684203264746E-2</v>
      </c>
      <c r="I1836">
        <f t="shared" si="225"/>
        <v>153.56704082490157</v>
      </c>
      <c r="J1836" t="e">
        <f t="shared" si="220"/>
        <v>#NUM!</v>
      </c>
      <c r="K1836" s="27" t="e">
        <f t="shared" si="221"/>
        <v>#NUM!</v>
      </c>
    </row>
    <row r="1837" spans="1:11" x14ac:dyDescent="0.25">
      <c r="A1837" s="26">
        <v>1787</v>
      </c>
      <c r="B1837" s="82">
        <f t="shared" si="222"/>
        <v>0</v>
      </c>
      <c r="C1837" s="58">
        <f t="shared" si="226"/>
        <v>171.9194128119324</v>
      </c>
      <c r="D1837" s="83">
        <f t="shared" si="223"/>
        <v>733.33333333333326</v>
      </c>
      <c r="E1837">
        <f t="shared" si="219"/>
        <v>0</v>
      </c>
      <c r="G1837">
        <v>1787</v>
      </c>
      <c r="H1837" s="13">
        <f t="shared" si="224"/>
        <v>-1.0275684203264746E-2</v>
      </c>
      <c r="I1837">
        <f t="shared" si="225"/>
        <v>153.5567651406983</v>
      </c>
      <c r="J1837" t="e">
        <f t="shared" si="220"/>
        <v>#NUM!</v>
      </c>
      <c r="K1837" s="27" t="e">
        <f t="shared" si="221"/>
        <v>#NUM!</v>
      </c>
    </row>
    <row r="1838" spans="1:11" x14ac:dyDescent="0.25">
      <c r="A1838" s="26">
        <v>1788</v>
      </c>
      <c r="B1838" s="82">
        <f t="shared" si="222"/>
        <v>0</v>
      </c>
      <c r="C1838" s="58">
        <f t="shared" si="226"/>
        <v>171.9194128119324</v>
      </c>
      <c r="D1838" s="83">
        <f t="shared" si="223"/>
        <v>733.33333333333326</v>
      </c>
      <c r="E1838">
        <f t="shared" si="219"/>
        <v>0</v>
      </c>
      <c r="G1838">
        <v>1788</v>
      </c>
      <c r="H1838" s="13">
        <f t="shared" si="224"/>
        <v>-1.0275684203264746E-2</v>
      </c>
      <c r="I1838">
        <f t="shared" si="225"/>
        <v>153.54648945649504</v>
      </c>
      <c r="J1838" t="e">
        <f t="shared" si="220"/>
        <v>#NUM!</v>
      </c>
      <c r="K1838" s="27" t="e">
        <f t="shared" si="221"/>
        <v>#NUM!</v>
      </c>
    </row>
    <row r="1839" spans="1:11" x14ac:dyDescent="0.25">
      <c r="A1839" s="26">
        <v>1789</v>
      </c>
      <c r="B1839" s="82">
        <f t="shared" si="222"/>
        <v>0</v>
      </c>
      <c r="C1839" s="58">
        <f t="shared" si="226"/>
        <v>171.9194128119324</v>
      </c>
      <c r="D1839" s="83">
        <f t="shared" si="223"/>
        <v>733.33333333333326</v>
      </c>
      <c r="E1839">
        <f t="shared" si="219"/>
        <v>0</v>
      </c>
      <c r="G1839">
        <v>1789</v>
      </c>
      <c r="H1839" s="13">
        <f t="shared" si="224"/>
        <v>-1.0275684203264746E-2</v>
      </c>
      <c r="I1839">
        <f t="shared" si="225"/>
        <v>153.53621377229177</v>
      </c>
      <c r="J1839" t="e">
        <f t="shared" si="220"/>
        <v>#NUM!</v>
      </c>
      <c r="K1839" s="27" t="e">
        <f t="shared" si="221"/>
        <v>#NUM!</v>
      </c>
    </row>
    <row r="1840" spans="1:11" x14ac:dyDescent="0.25">
      <c r="A1840" s="26">
        <v>1790</v>
      </c>
      <c r="B1840" s="82">
        <f t="shared" si="222"/>
        <v>0</v>
      </c>
      <c r="C1840" s="58">
        <f t="shared" si="226"/>
        <v>171.9194128119324</v>
      </c>
      <c r="D1840" s="83">
        <f t="shared" si="223"/>
        <v>733.33333333333326</v>
      </c>
      <c r="E1840">
        <f t="shared" si="219"/>
        <v>0</v>
      </c>
      <c r="G1840">
        <v>1790</v>
      </c>
      <c r="H1840" s="13">
        <f t="shared" si="224"/>
        <v>-1.0275684203264746E-2</v>
      </c>
      <c r="I1840">
        <f t="shared" si="225"/>
        <v>153.52593808808851</v>
      </c>
      <c r="J1840" t="e">
        <f t="shared" si="220"/>
        <v>#NUM!</v>
      </c>
      <c r="K1840" s="27" t="e">
        <f t="shared" si="221"/>
        <v>#NUM!</v>
      </c>
    </row>
    <row r="1841" spans="1:11" x14ac:dyDescent="0.25">
      <c r="A1841" s="26">
        <v>1791</v>
      </c>
      <c r="B1841" s="82">
        <f t="shared" si="222"/>
        <v>0</v>
      </c>
      <c r="C1841" s="58">
        <f t="shared" si="226"/>
        <v>171.9194128119324</v>
      </c>
      <c r="D1841" s="83">
        <f t="shared" si="223"/>
        <v>733.33333333333326</v>
      </c>
      <c r="E1841">
        <f t="shared" si="219"/>
        <v>0</v>
      </c>
      <c r="G1841">
        <v>1791</v>
      </c>
      <c r="H1841" s="13">
        <f t="shared" si="224"/>
        <v>-1.0275684203264746E-2</v>
      </c>
      <c r="I1841">
        <f t="shared" si="225"/>
        <v>153.51566240388524</v>
      </c>
      <c r="J1841" t="e">
        <f t="shared" si="220"/>
        <v>#NUM!</v>
      </c>
      <c r="K1841" s="27" t="e">
        <f t="shared" si="221"/>
        <v>#NUM!</v>
      </c>
    </row>
    <row r="1842" spans="1:11" x14ac:dyDescent="0.25">
      <c r="A1842" s="26">
        <v>1792</v>
      </c>
      <c r="B1842" s="82">
        <f t="shared" si="222"/>
        <v>0</v>
      </c>
      <c r="C1842" s="58">
        <f t="shared" si="226"/>
        <v>171.9194128119324</v>
      </c>
      <c r="D1842" s="83">
        <f t="shared" si="223"/>
        <v>733.33333333333326</v>
      </c>
      <c r="E1842">
        <f t="shared" si="219"/>
        <v>0</v>
      </c>
      <c r="G1842">
        <v>1792</v>
      </c>
      <c r="H1842" s="13">
        <f t="shared" si="224"/>
        <v>-1.0275684203264746E-2</v>
      </c>
      <c r="I1842">
        <f t="shared" si="225"/>
        <v>153.50538671968198</v>
      </c>
      <c r="J1842" t="e">
        <f t="shared" si="220"/>
        <v>#NUM!</v>
      </c>
      <c r="K1842" s="27" t="e">
        <f t="shared" si="221"/>
        <v>#NUM!</v>
      </c>
    </row>
    <row r="1843" spans="1:11" x14ac:dyDescent="0.25">
      <c r="A1843" s="26">
        <v>1793</v>
      </c>
      <c r="B1843" s="82">
        <f t="shared" si="222"/>
        <v>0</v>
      </c>
      <c r="C1843" s="58">
        <f t="shared" si="226"/>
        <v>171.9194128119324</v>
      </c>
      <c r="D1843" s="83">
        <f t="shared" si="223"/>
        <v>733.33333333333326</v>
      </c>
      <c r="E1843">
        <f t="shared" ref="E1843:E1906" si="227">((D1843^2)+(D1843*D1844)+(D1844^2))*B1844/3</f>
        <v>0</v>
      </c>
      <c r="G1843">
        <v>1793</v>
      </c>
      <c r="H1843" s="13">
        <f t="shared" si="224"/>
        <v>-1.0275684203264746E-2</v>
      </c>
      <c r="I1843">
        <f t="shared" si="225"/>
        <v>153.49511103547871</v>
      </c>
      <c r="J1843" t="e">
        <f t="shared" ref="J1843:J1906" si="228">IF($G$28&lt;$C$14,0,((($C$11^2)-((I1843-$C$13)^2))^0.5)+$C$16)</f>
        <v>#NUM!</v>
      </c>
      <c r="K1843" s="27" t="e">
        <f t="shared" ref="K1843:K1906" si="229">((J1843^2)+(J1843*J1844)+(J1844^2))*H1844/3</f>
        <v>#NUM!</v>
      </c>
    </row>
    <row r="1844" spans="1:11" x14ac:dyDescent="0.25">
      <c r="A1844" s="26">
        <v>1794</v>
      </c>
      <c r="B1844" s="82">
        <f t="shared" ref="B1844:B1907" si="230">C1844-C1843</f>
        <v>0</v>
      </c>
      <c r="C1844" s="58">
        <f t="shared" si="226"/>
        <v>171.9194128119324</v>
      </c>
      <c r="D1844" s="83">
        <f t="shared" ref="D1844:D1907" si="231">IF($G$28&lt;$C$14,0,((($C$11^2)-((C1844-$C$13)^2))^0.5)+$C$16)</f>
        <v>733.33333333333326</v>
      </c>
      <c r="E1844">
        <f t="shared" si="227"/>
        <v>0</v>
      </c>
      <c r="G1844">
        <v>1794</v>
      </c>
      <c r="H1844" s="13">
        <f t="shared" ref="H1844:H1907" si="232">I1844-I1843</f>
        <v>-1.0275684203264746E-2</v>
      </c>
      <c r="I1844">
        <f t="shared" ref="I1844:I1907" si="233">($G$27-$C$14)/2000+I1843</f>
        <v>153.48483535127545</v>
      </c>
      <c r="J1844" t="e">
        <f t="shared" si="228"/>
        <v>#NUM!</v>
      </c>
      <c r="K1844" s="27" t="e">
        <f t="shared" si="229"/>
        <v>#NUM!</v>
      </c>
    </row>
    <row r="1845" spans="1:11" x14ac:dyDescent="0.25">
      <c r="A1845" s="26">
        <v>1795</v>
      </c>
      <c r="B1845" s="82">
        <f t="shared" si="230"/>
        <v>0</v>
      </c>
      <c r="C1845" s="58">
        <f t="shared" si="226"/>
        <v>171.9194128119324</v>
      </c>
      <c r="D1845" s="83">
        <f t="shared" si="231"/>
        <v>733.33333333333326</v>
      </c>
      <c r="E1845">
        <f t="shared" si="227"/>
        <v>0</v>
      </c>
      <c r="G1845">
        <v>1795</v>
      </c>
      <c r="H1845" s="13">
        <f t="shared" si="232"/>
        <v>-1.0275684203264746E-2</v>
      </c>
      <c r="I1845">
        <f t="shared" si="233"/>
        <v>153.47455966707219</v>
      </c>
      <c r="J1845" t="e">
        <f t="shared" si="228"/>
        <v>#NUM!</v>
      </c>
      <c r="K1845" s="27" t="e">
        <f t="shared" si="229"/>
        <v>#NUM!</v>
      </c>
    </row>
    <row r="1846" spans="1:11" x14ac:dyDescent="0.25">
      <c r="A1846" s="26">
        <v>1796</v>
      </c>
      <c r="B1846" s="82">
        <f t="shared" si="230"/>
        <v>0</v>
      </c>
      <c r="C1846" s="58">
        <f t="shared" si="226"/>
        <v>171.9194128119324</v>
      </c>
      <c r="D1846" s="83">
        <f t="shared" si="231"/>
        <v>733.33333333333326</v>
      </c>
      <c r="E1846">
        <f t="shared" si="227"/>
        <v>0</v>
      </c>
      <c r="G1846">
        <v>1796</v>
      </c>
      <c r="H1846" s="13">
        <f t="shared" si="232"/>
        <v>-1.0275684203264746E-2</v>
      </c>
      <c r="I1846">
        <f t="shared" si="233"/>
        <v>153.46428398286892</v>
      </c>
      <c r="J1846" t="e">
        <f t="shared" si="228"/>
        <v>#NUM!</v>
      </c>
      <c r="K1846" s="27" t="e">
        <f t="shared" si="229"/>
        <v>#NUM!</v>
      </c>
    </row>
    <row r="1847" spans="1:11" x14ac:dyDescent="0.25">
      <c r="A1847" s="26">
        <v>1797</v>
      </c>
      <c r="B1847" s="82">
        <f t="shared" si="230"/>
        <v>0</v>
      </c>
      <c r="C1847" s="58">
        <f t="shared" si="226"/>
        <v>171.9194128119324</v>
      </c>
      <c r="D1847" s="83">
        <f t="shared" si="231"/>
        <v>733.33333333333326</v>
      </c>
      <c r="E1847">
        <f t="shared" si="227"/>
        <v>0</v>
      </c>
      <c r="G1847">
        <v>1797</v>
      </c>
      <c r="H1847" s="13">
        <f t="shared" si="232"/>
        <v>-1.0275684203264746E-2</v>
      </c>
      <c r="I1847">
        <f t="shared" si="233"/>
        <v>153.45400829866566</v>
      </c>
      <c r="J1847" t="e">
        <f t="shared" si="228"/>
        <v>#NUM!</v>
      </c>
      <c r="K1847" s="27" t="e">
        <f t="shared" si="229"/>
        <v>#NUM!</v>
      </c>
    </row>
    <row r="1848" spans="1:11" x14ac:dyDescent="0.25">
      <c r="A1848" s="26">
        <v>1798</v>
      </c>
      <c r="B1848" s="82">
        <f t="shared" si="230"/>
        <v>0</v>
      </c>
      <c r="C1848" s="58">
        <f t="shared" si="226"/>
        <v>171.9194128119324</v>
      </c>
      <c r="D1848" s="83">
        <f t="shared" si="231"/>
        <v>733.33333333333326</v>
      </c>
      <c r="E1848">
        <f t="shared" si="227"/>
        <v>0</v>
      </c>
      <c r="G1848">
        <v>1798</v>
      </c>
      <c r="H1848" s="13">
        <f t="shared" si="232"/>
        <v>-1.0275684203264746E-2</v>
      </c>
      <c r="I1848">
        <f t="shared" si="233"/>
        <v>153.44373261446239</v>
      </c>
      <c r="J1848" t="e">
        <f t="shared" si="228"/>
        <v>#NUM!</v>
      </c>
      <c r="K1848" s="27" t="e">
        <f t="shared" si="229"/>
        <v>#NUM!</v>
      </c>
    </row>
    <row r="1849" spans="1:11" x14ac:dyDescent="0.25">
      <c r="A1849" s="26">
        <v>1799</v>
      </c>
      <c r="B1849" s="82">
        <f t="shared" si="230"/>
        <v>0</v>
      </c>
      <c r="C1849" s="58">
        <f t="shared" si="226"/>
        <v>171.9194128119324</v>
      </c>
      <c r="D1849" s="83">
        <f t="shared" si="231"/>
        <v>733.33333333333326</v>
      </c>
      <c r="E1849">
        <f t="shared" si="227"/>
        <v>0</v>
      </c>
      <c r="G1849">
        <v>1799</v>
      </c>
      <c r="H1849" s="13">
        <f t="shared" si="232"/>
        <v>-1.0275684203264746E-2</v>
      </c>
      <c r="I1849">
        <f t="shared" si="233"/>
        <v>153.43345693025913</v>
      </c>
      <c r="J1849" t="e">
        <f t="shared" si="228"/>
        <v>#NUM!</v>
      </c>
      <c r="K1849" s="27" t="e">
        <f t="shared" si="229"/>
        <v>#NUM!</v>
      </c>
    </row>
    <row r="1850" spans="1:11" x14ac:dyDescent="0.25">
      <c r="A1850" s="26">
        <v>1800</v>
      </c>
      <c r="B1850" s="82">
        <f t="shared" si="230"/>
        <v>0</v>
      </c>
      <c r="C1850" s="58">
        <f t="shared" si="226"/>
        <v>171.9194128119324</v>
      </c>
      <c r="D1850" s="83">
        <f t="shared" si="231"/>
        <v>733.33333333333326</v>
      </c>
      <c r="E1850">
        <f t="shared" si="227"/>
        <v>0</v>
      </c>
      <c r="G1850">
        <v>1800</v>
      </c>
      <c r="H1850" s="13">
        <f t="shared" si="232"/>
        <v>-1.0275684203264746E-2</v>
      </c>
      <c r="I1850">
        <f t="shared" si="233"/>
        <v>153.42318124605586</v>
      </c>
      <c r="J1850" t="e">
        <f t="shared" si="228"/>
        <v>#NUM!</v>
      </c>
      <c r="K1850" s="27" t="e">
        <f t="shared" si="229"/>
        <v>#NUM!</v>
      </c>
    </row>
    <row r="1851" spans="1:11" x14ac:dyDescent="0.25">
      <c r="A1851" s="26">
        <v>1801</v>
      </c>
      <c r="B1851" s="82">
        <f t="shared" si="230"/>
        <v>0</v>
      </c>
      <c r="C1851" s="58">
        <f t="shared" si="226"/>
        <v>171.9194128119324</v>
      </c>
      <c r="D1851" s="83">
        <f t="shared" si="231"/>
        <v>733.33333333333326</v>
      </c>
      <c r="E1851">
        <f t="shared" si="227"/>
        <v>0</v>
      </c>
      <c r="G1851">
        <v>1801</v>
      </c>
      <c r="H1851" s="13">
        <f t="shared" si="232"/>
        <v>-1.0275684203264746E-2</v>
      </c>
      <c r="I1851">
        <f t="shared" si="233"/>
        <v>153.4129055618526</v>
      </c>
      <c r="J1851" t="e">
        <f t="shared" si="228"/>
        <v>#NUM!</v>
      </c>
      <c r="K1851" s="27" t="e">
        <f t="shared" si="229"/>
        <v>#NUM!</v>
      </c>
    </row>
    <row r="1852" spans="1:11" x14ac:dyDescent="0.25">
      <c r="A1852" s="26">
        <v>1802</v>
      </c>
      <c r="B1852" s="82">
        <f t="shared" si="230"/>
        <v>0</v>
      </c>
      <c r="C1852" s="58">
        <f t="shared" si="226"/>
        <v>171.9194128119324</v>
      </c>
      <c r="D1852" s="83">
        <f t="shared" si="231"/>
        <v>733.33333333333326</v>
      </c>
      <c r="E1852">
        <f t="shared" si="227"/>
        <v>0</v>
      </c>
      <c r="G1852">
        <v>1802</v>
      </c>
      <c r="H1852" s="13">
        <f t="shared" si="232"/>
        <v>-1.0275684203264746E-2</v>
      </c>
      <c r="I1852">
        <f t="shared" si="233"/>
        <v>153.40262987764933</v>
      </c>
      <c r="J1852" t="e">
        <f t="shared" si="228"/>
        <v>#NUM!</v>
      </c>
      <c r="K1852" s="27" t="e">
        <f t="shared" si="229"/>
        <v>#NUM!</v>
      </c>
    </row>
    <row r="1853" spans="1:11" x14ac:dyDescent="0.25">
      <c r="A1853" s="26">
        <v>1803</v>
      </c>
      <c r="B1853" s="82">
        <f t="shared" si="230"/>
        <v>0</v>
      </c>
      <c r="C1853" s="58">
        <f t="shared" si="226"/>
        <v>171.9194128119324</v>
      </c>
      <c r="D1853" s="83">
        <f t="shared" si="231"/>
        <v>733.33333333333326</v>
      </c>
      <c r="E1853">
        <f t="shared" si="227"/>
        <v>0</v>
      </c>
      <c r="G1853">
        <v>1803</v>
      </c>
      <c r="H1853" s="13">
        <f t="shared" si="232"/>
        <v>-1.0275684203264746E-2</v>
      </c>
      <c r="I1853">
        <f t="shared" si="233"/>
        <v>153.39235419344607</v>
      </c>
      <c r="J1853" t="e">
        <f t="shared" si="228"/>
        <v>#NUM!</v>
      </c>
      <c r="K1853" s="27" t="e">
        <f t="shared" si="229"/>
        <v>#NUM!</v>
      </c>
    </row>
    <row r="1854" spans="1:11" x14ac:dyDescent="0.25">
      <c r="A1854" s="26">
        <v>1804</v>
      </c>
      <c r="B1854" s="82">
        <f t="shared" si="230"/>
        <v>0</v>
      </c>
      <c r="C1854" s="58">
        <f t="shared" si="226"/>
        <v>171.9194128119324</v>
      </c>
      <c r="D1854" s="83">
        <f t="shared" si="231"/>
        <v>733.33333333333326</v>
      </c>
      <c r="E1854">
        <f t="shared" si="227"/>
        <v>0</v>
      </c>
      <c r="G1854">
        <v>1804</v>
      </c>
      <c r="H1854" s="13">
        <f t="shared" si="232"/>
        <v>-1.0275684203264746E-2</v>
      </c>
      <c r="I1854">
        <f t="shared" si="233"/>
        <v>153.3820785092428</v>
      </c>
      <c r="J1854" t="e">
        <f t="shared" si="228"/>
        <v>#NUM!</v>
      </c>
      <c r="K1854" s="27" t="e">
        <f t="shared" si="229"/>
        <v>#NUM!</v>
      </c>
    </row>
    <row r="1855" spans="1:11" x14ac:dyDescent="0.25">
      <c r="A1855" s="26">
        <v>1805</v>
      </c>
      <c r="B1855" s="82">
        <f t="shared" si="230"/>
        <v>0</v>
      </c>
      <c r="C1855" s="58">
        <f t="shared" si="226"/>
        <v>171.9194128119324</v>
      </c>
      <c r="D1855" s="83">
        <f t="shared" si="231"/>
        <v>733.33333333333326</v>
      </c>
      <c r="E1855">
        <f t="shared" si="227"/>
        <v>0</v>
      </c>
      <c r="G1855">
        <v>1805</v>
      </c>
      <c r="H1855" s="13">
        <f t="shared" si="232"/>
        <v>-1.0275684203264746E-2</v>
      </c>
      <c r="I1855">
        <f t="shared" si="233"/>
        <v>153.37180282503954</v>
      </c>
      <c r="J1855" t="e">
        <f t="shared" si="228"/>
        <v>#NUM!</v>
      </c>
      <c r="K1855" s="27" t="e">
        <f t="shared" si="229"/>
        <v>#NUM!</v>
      </c>
    </row>
    <row r="1856" spans="1:11" x14ac:dyDescent="0.25">
      <c r="A1856" s="26">
        <v>1806</v>
      </c>
      <c r="B1856" s="82">
        <f t="shared" si="230"/>
        <v>0</v>
      </c>
      <c r="C1856" s="58">
        <f t="shared" si="226"/>
        <v>171.9194128119324</v>
      </c>
      <c r="D1856" s="83">
        <f t="shared" si="231"/>
        <v>733.33333333333326</v>
      </c>
      <c r="E1856">
        <f t="shared" si="227"/>
        <v>0</v>
      </c>
      <c r="G1856">
        <v>1806</v>
      </c>
      <c r="H1856" s="13">
        <f t="shared" si="232"/>
        <v>-1.0275684203264746E-2</v>
      </c>
      <c r="I1856">
        <f t="shared" si="233"/>
        <v>153.36152714083627</v>
      </c>
      <c r="J1856" t="e">
        <f t="shared" si="228"/>
        <v>#NUM!</v>
      </c>
      <c r="K1856" s="27" t="e">
        <f t="shared" si="229"/>
        <v>#NUM!</v>
      </c>
    </row>
    <row r="1857" spans="1:11" x14ac:dyDescent="0.25">
      <c r="A1857" s="26">
        <v>1807</v>
      </c>
      <c r="B1857" s="82">
        <f t="shared" si="230"/>
        <v>0</v>
      </c>
      <c r="C1857" s="58">
        <f t="shared" si="226"/>
        <v>171.9194128119324</v>
      </c>
      <c r="D1857" s="83">
        <f t="shared" si="231"/>
        <v>733.33333333333326</v>
      </c>
      <c r="E1857">
        <f t="shared" si="227"/>
        <v>0</v>
      </c>
      <c r="G1857">
        <v>1807</v>
      </c>
      <c r="H1857" s="13">
        <f t="shared" si="232"/>
        <v>-1.0275684203264746E-2</v>
      </c>
      <c r="I1857">
        <f t="shared" si="233"/>
        <v>153.35125145663301</v>
      </c>
      <c r="J1857" t="e">
        <f t="shared" si="228"/>
        <v>#NUM!</v>
      </c>
      <c r="K1857" s="27" t="e">
        <f t="shared" si="229"/>
        <v>#NUM!</v>
      </c>
    </row>
    <row r="1858" spans="1:11" x14ac:dyDescent="0.25">
      <c r="A1858" s="26">
        <v>1808</v>
      </c>
      <c r="B1858" s="82">
        <f t="shared" si="230"/>
        <v>0</v>
      </c>
      <c r="C1858" s="58">
        <f t="shared" si="226"/>
        <v>171.9194128119324</v>
      </c>
      <c r="D1858" s="83">
        <f t="shared" si="231"/>
        <v>733.33333333333326</v>
      </c>
      <c r="E1858">
        <f t="shared" si="227"/>
        <v>0</v>
      </c>
      <c r="G1858">
        <v>1808</v>
      </c>
      <c r="H1858" s="13">
        <f t="shared" si="232"/>
        <v>-1.0275684203264746E-2</v>
      </c>
      <c r="I1858">
        <f t="shared" si="233"/>
        <v>153.34097577242974</v>
      </c>
      <c r="J1858" t="e">
        <f t="shared" si="228"/>
        <v>#NUM!</v>
      </c>
      <c r="K1858" s="27" t="e">
        <f t="shared" si="229"/>
        <v>#NUM!</v>
      </c>
    </row>
    <row r="1859" spans="1:11" x14ac:dyDescent="0.25">
      <c r="A1859" s="26">
        <v>1809</v>
      </c>
      <c r="B1859" s="82">
        <f t="shared" si="230"/>
        <v>0</v>
      </c>
      <c r="C1859" s="58">
        <f t="shared" si="226"/>
        <v>171.9194128119324</v>
      </c>
      <c r="D1859" s="83">
        <f t="shared" si="231"/>
        <v>733.33333333333326</v>
      </c>
      <c r="E1859">
        <f t="shared" si="227"/>
        <v>0</v>
      </c>
      <c r="G1859">
        <v>1809</v>
      </c>
      <c r="H1859" s="13">
        <f t="shared" si="232"/>
        <v>-1.0275684203264746E-2</v>
      </c>
      <c r="I1859">
        <f t="shared" si="233"/>
        <v>153.33070008822648</v>
      </c>
      <c r="J1859" t="e">
        <f t="shared" si="228"/>
        <v>#NUM!</v>
      </c>
      <c r="K1859" s="27" t="e">
        <f t="shared" si="229"/>
        <v>#NUM!</v>
      </c>
    </row>
    <row r="1860" spans="1:11" x14ac:dyDescent="0.25">
      <c r="A1860" s="26">
        <v>1810</v>
      </c>
      <c r="B1860" s="82">
        <f t="shared" si="230"/>
        <v>0</v>
      </c>
      <c r="C1860" s="58">
        <f t="shared" si="226"/>
        <v>171.9194128119324</v>
      </c>
      <c r="D1860" s="83">
        <f t="shared" si="231"/>
        <v>733.33333333333326</v>
      </c>
      <c r="E1860">
        <f t="shared" si="227"/>
        <v>0</v>
      </c>
      <c r="G1860">
        <v>1810</v>
      </c>
      <c r="H1860" s="13">
        <f t="shared" si="232"/>
        <v>-1.0275684203264746E-2</v>
      </c>
      <c r="I1860">
        <f t="shared" si="233"/>
        <v>153.32042440402321</v>
      </c>
      <c r="J1860" t="e">
        <f t="shared" si="228"/>
        <v>#NUM!</v>
      </c>
      <c r="K1860" s="27" t="e">
        <f t="shared" si="229"/>
        <v>#NUM!</v>
      </c>
    </row>
    <row r="1861" spans="1:11" x14ac:dyDescent="0.25">
      <c r="A1861" s="26">
        <v>1811</v>
      </c>
      <c r="B1861" s="82">
        <f t="shared" si="230"/>
        <v>0</v>
      </c>
      <c r="C1861" s="58">
        <f t="shared" si="226"/>
        <v>171.9194128119324</v>
      </c>
      <c r="D1861" s="83">
        <f t="shared" si="231"/>
        <v>733.33333333333326</v>
      </c>
      <c r="E1861">
        <f t="shared" si="227"/>
        <v>0</v>
      </c>
      <c r="G1861">
        <v>1811</v>
      </c>
      <c r="H1861" s="13">
        <f t="shared" si="232"/>
        <v>-1.0275684203264746E-2</v>
      </c>
      <c r="I1861">
        <f t="shared" si="233"/>
        <v>153.31014871981995</v>
      </c>
      <c r="J1861" t="e">
        <f t="shared" si="228"/>
        <v>#NUM!</v>
      </c>
      <c r="K1861" s="27" t="e">
        <f t="shared" si="229"/>
        <v>#NUM!</v>
      </c>
    </row>
    <row r="1862" spans="1:11" x14ac:dyDescent="0.25">
      <c r="A1862" s="26">
        <v>1812</v>
      </c>
      <c r="B1862" s="82">
        <f t="shared" si="230"/>
        <v>0</v>
      </c>
      <c r="C1862" s="58">
        <f t="shared" si="226"/>
        <v>171.9194128119324</v>
      </c>
      <c r="D1862" s="83">
        <f t="shared" si="231"/>
        <v>733.33333333333326</v>
      </c>
      <c r="E1862">
        <f t="shared" si="227"/>
        <v>0</v>
      </c>
      <c r="G1862">
        <v>1812</v>
      </c>
      <c r="H1862" s="13">
        <f t="shared" si="232"/>
        <v>-1.0275684203264746E-2</v>
      </c>
      <c r="I1862">
        <f t="shared" si="233"/>
        <v>153.29987303561668</v>
      </c>
      <c r="J1862" t="e">
        <f t="shared" si="228"/>
        <v>#NUM!</v>
      </c>
      <c r="K1862" s="27" t="e">
        <f t="shared" si="229"/>
        <v>#NUM!</v>
      </c>
    </row>
    <row r="1863" spans="1:11" x14ac:dyDescent="0.25">
      <c r="A1863" s="26">
        <v>1813</v>
      </c>
      <c r="B1863" s="82">
        <f t="shared" si="230"/>
        <v>0</v>
      </c>
      <c r="C1863" s="58">
        <f t="shared" si="226"/>
        <v>171.9194128119324</v>
      </c>
      <c r="D1863" s="83">
        <f t="shared" si="231"/>
        <v>733.33333333333326</v>
      </c>
      <c r="E1863">
        <f t="shared" si="227"/>
        <v>0</v>
      </c>
      <c r="G1863">
        <v>1813</v>
      </c>
      <c r="H1863" s="13">
        <f t="shared" si="232"/>
        <v>-1.0275684203264746E-2</v>
      </c>
      <c r="I1863">
        <f t="shared" si="233"/>
        <v>153.28959735141342</v>
      </c>
      <c r="J1863" t="e">
        <f t="shared" si="228"/>
        <v>#NUM!</v>
      </c>
      <c r="K1863" s="27" t="e">
        <f t="shared" si="229"/>
        <v>#NUM!</v>
      </c>
    </row>
    <row r="1864" spans="1:11" x14ac:dyDescent="0.25">
      <c r="A1864" s="26">
        <v>1814</v>
      </c>
      <c r="B1864" s="82">
        <f t="shared" si="230"/>
        <v>0</v>
      </c>
      <c r="C1864" s="58">
        <f t="shared" si="226"/>
        <v>171.9194128119324</v>
      </c>
      <c r="D1864" s="83">
        <f t="shared" si="231"/>
        <v>733.33333333333326</v>
      </c>
      <c r="E1864">
        <f t="shared" si="227"/>
        <v>0</v>
      </c>
      <c r="G1864">
        <v>1814</v>
      </c>
      <c r="H1864" s="13">
        <f t="shared" si="232"/>
        <v>-1.0275684203264746E-2</v>
      </c>
      <c r="I1864">
        <f t="shared" si="233"/>
        <v>153.27932166721016</v>
      </c>
      <c r="J1864" t="e">
        <f t="shared" si="228"/>
        <v>#NUM!</v>
      </c>
      <c r="K1864" s="27" t="e">
        <f t="shared" si="229"/>
        <v>#NUM!</v>
      </c>
    </row>
    <row r="1865" spans="1:11" x14ac:dyDescent="0.25">
      <c r="A1865" s="26">
        <v>1815</v>
      </c>
      <c r="B1865" s="82">
        <f t="shared" si="230"/>
        <v>0</v>
      </c>
      <c r="C1865" s="58">
        <f t="shared" si="226"/>
        <v>171.9194128119324</v>
      </c>
      <c r="D1865" s="83">
        <f t="shared" si="231"/>
        <v>733.33333333333326</v>
      </c>
      <c r="E1865">
        <f t="shared" si="227"/>
        <v>0</v>
      </c>
      <c r="G1865">
        <v>1815</v>
      </c>
      <c r="H1865" s="13">
        <f t="shared" si="232"/>
        <v>-1.0275684203264746E-2</v>
      </c>
      <c r="I1865">
        <f t="shared" si="233"/>
        <v>153.26904598300689</v>
      </c>
      <c r="J1865" t="e">
        <f t="shared" si="228"/>
        <v>#NUM!</v>
      </c>
      <c r="K1865" s="27" t="e">
        <f t="shared" si="229"/>
        <v>#NUM!</v>
      </c>
    </row>
    <row r="1866" spans="1:11" x14ac:dyDescent="0.25">
      <c r="A1866" s="26">
        <v>1816</v>
      </c>
      <c r="B1866" s="82">
        <f t="shared" si="230"/>
        <v>0</v>
      </c>
      <c r="C1866" s="58">
        <f t="shared" si="226"/>
        <v>171.9194128119324</v>
      </c>
      <c r="D1866" s="83">
        <f t="shared" si="231"/>
        <v>733.33333333333326</v>
      </c>
      <c r="E1866">
        <f t="shared" si="227"/>
        <v>0</v>
      </c>
      <c r="G1866">
        <v>1816</v>
      </c>
      <c r="H1866" s="13">
        <f t="shared" si="232"/>
        <v>-1.0275684203264746E-2</v>
      </c>
      <c r="I1866">
        <f t="shared" si="233"/>
        <v>153.25877029880363</v>
      </c>
      <c r="J1866" t="e">
        <f t="shared" si="228"/>
        <v>#NUM!</v>
      </c>
      <c r="K1866" s="27" t="e">
        <f t="shared" si="229"/>
        <v>#NUM!</v>
      </c>
    </row>
    <row r="1867" spans="1:11" x14ac:dyDescent="0.25">
      <c r="A1867" s="26">
        <v>1817</v>
      </c>
      <c r="B1867" s="82">
        <f t="shared" si="230"/>
        <v>0</v>
      </c>
      <c r="C1867" s="58">
        <f t="shared" si="226"/>
        <v>171.9194128119324</v>
      </c>
      <c r="D1867" s="83">
        <f t="shared" si="231"/>
        <v>733.33333333333326</v>
      </c>
      <c r="E1867">
        <f t="shared" si="227"/>
        <v>0</v>
      </c>
      <c r="G1867">
        <v>1817</v>
      </c>
      <c r="H1867" s="13">
        <f t="shared" si="232"/>
        <v>-1.0275684203264746E-2</v>
      </c>
      <c r="I1867">
        <f t="shared" si="233"/>
        <v>153.24849461460036</v>
      </c>
      <c r="J1867" t="e">
        <f t="shared" si="228"/>
        <v>#NUM!</v>
      </c>
      <c r="K1867" s="27" t="e">
        <f t="shared" si="229"/>
        <v>#NUM!</v>
      </c>
    </row>
    <row r="1868" spans="1:11" x14ac:dyDescent="0.25">
      <c r="A1868" s="26">
        <v>1818</v>
      </c>
      <c r="B1868" s="82">
        <f t="shared" si="230"/>
        <v>0</v>
      </c>
      <c r="C1868" s="58">
        <f t="shared" si="226"/>
        <v>171.9194128119324</v>
      </c>
      <c r="D1868" s="83">
        <f t="shared" si="231"/>
        <v>733.33333333333326</v>
      </c>
      <c r="E1868">
        <f t="shared" si="227"/>
        <v>0</v>
      </c>
      <c r="G1868">
        <v>1818</v>
      </c>
      <c r="H1868" s="13">
        <f t="shared" si="232"/>
        <v>-1.0275684203264746E-2</v>
      </c>
      <c r="I1868">
        <f t="shared" si="233"/>
        <v>153.2382189303971</v>
      </c>
      <c r="J1868" t="e">
        <f t="shared" si="228"/>
        <v>#NUM!</v>
      </c>
      <c r="K1868" s="27" t="e">
        <f t="shared" si="229"/>
        <v>#NUM!</v>
      </c>
    </row>
    <row r="1869" spans="1:11" x14ac:dyDescent="0.25">
      <c r="A1869" s="26">
        <v>1819</v>
      </c>
      <c r="B1869" s="82">
        <f t="shared" si="230"/>
        <v>0</v>
      </c>
      <c r="C1869" s="58">
        <f t="shared" si="226"/>
        <v>171.9194128119324</v>
      </c>
      <c r="D1869" s="83">
        <f t="shared" si="231"/>
        <v>733.33333333333326</v>
      </c>
      <c r="E1869">
        <f t="shared" si="227"/>
        <v>0</v>
      </c>
      <c r="G1869">
        <v>1819</v>
      </c>
      <c r="H1869" s="13">
        <f t="shared" si="232"/>
        <v>-1.0275684203264746E-2</v>
      </c>
      <c r="I1869">
        <f t="shared" si="233"/>
        <v>153.22794324619383</v>
      </c>
      <c r="J1869" t="e">
        <f t="shared" si="228"/>
        <v>#NUM!</v>
      </c>
      <c r="K1869" s="27" t="e">
        <f t="shared" si="229"/>
        <v>#NUM!</v>
      </c>
    </row>
    <row r="1870" spans="1:11" x14ac:dyDescent="0.25">
      <c r="A1870" s="26">
        <v>1820</v>
      </c>
      <c r="B1870" s="82">
        <f t="shared" si="230"/>
        <v>0</v>
      </c>
      <c r="C1870" s="58">
        <f t="shared" si="226"/>
        <v>171.9194128119324</v>
      </c>
      <c r="D1870" s="83">
        <f t="shared" si="231"/>
        <v>733.33333333333326</v>
      </c>
      <c r="E1870">
        <f t="shared" si="227"/>
        <v>0</v>
      </c>
      <c r="G1870">
        <v>1820</v>
      </c>
      <c r="H1870" s="13">
        <f t="shared" si="232"/>
        <v>-1.0275684203264746E-2</v>
      </c>
      <c r="I1870">
        <f t="shared" si="233"/>
        <v>153.21766756199057</v>
      </c>
      <c r="J1870" t="e">
        <f t="shared" si="228"/>
        <v>#NUM!</v>
      </c>
      <c r="K1870" s="27" t="e">
        <f t="shared" si="229"/>
        <v>#NUM!</v>
      </c>
    </row>
    <row r="1871" spans="1:11" x14ac:dyDescent="0.25">
      <c r="A1871" s="26">
        <v>1821</v>
      </c>
      <c r="B1871" s="82">
        <f t="shared" si="230"/>
        <v>0</v>
      </c>
      <c r="C1871" s="58">
        <f t="shared" si="226"/>
        <v>171.9194128119324</v>
      </c>
      <c r="D1871" s="83">
        <f t="shared" si="231"/>
        <v>733.33333333333326</v>
      </c>
      <c r="E1871">
        <f t="shared" si="227"/>
        <v>0</v>
      </c>
      <c r="G1871">
        <v>1821</v>
      </c>
      <c r="H1871" s="13">
        <f t="shared" si="232"/>
        <v>-1.0275684203264746E-2</v>
      </c>
      <c r="I1871">
        <f t="shared" si="233"/>
        <v>153.2073918777873</v>
      </c>
      <c r="J1871" t="e">
        <f t="shared" si="228"/>
        <v>#NUM!</v>
      </c>
      <c r="K1871" s="27" t="e">
        <f t="shared" si="229"/>
        <v>#NUM!</v>
      </c>
    </row>
    <row r="1872" spans="1:11" x14ac:dyDescent="0.25">
      <c r="A1872" s="26">
        <v>1822</v>
      </c>
      <c r="B1872" s="82">
        <f t="shared" si="230"/>
        <v>0</v>
      </c>
      <c r="C1872" s="58">
        <f t="shared" ref="C1872:C1935" si="234">($C$37-$C$36)/2000+C1871</f>
        <v>171.9194128119324</v>
      </c>
      <c r="D1872" s="83">
        <f t="shared" si="231"/>
        <v>733.33333333333326</v>
      </c>
      <c r="E1872">
        <f t="shared" si="227"/>
        <v>0</v>
      </c>
      <c r="G1872">
        <v>1822</v>
      </c>
      <c r="H1872" s="13">
        <f t="shared" si="232"/>
        <v>-1.0275684203264746E-2</v>
      </c>
      <c r="I1872">
        <f t="shared" si="233"/>
        <v>153.19711619358404</v>
      </c>
      <c r="J1872" t="e">
        <f t="shared" si="228"/>
        <v>#NUM!</v>
      </c>
      <c r="K1872" s="27" t="e">
        <f t="shared" si="229"/>
        <v>#NUM!</v>
      </c>
    </row>
    <row r="1873" spans="1:11" x14ac:dyDescent="0.25">
      <c r="A1873" s="26">
        <v>1823</v>
      </c>
      <c r="B1873" s="82">
        <f t="shared" si="230"/>
        <v>0</v>
      </c>
      <c r="C1873" s="58">
        <f t="shared" si="234"/>
        <v>171.9194128119324</v>
      </c>
      <c r="D1873" s="83">
        <f t="shared" si="231"/>
        <v>733.33333333333326</v>
      </c>
      <c r="E1873">
        <f t="shared" si="227"/>
        <v>0</v>
      </c>
      <c r="G1873">
        <v>1823</v>
      </c>
      <c r="H1873" s="13">
        <f t="shared" si="232"/>
        <v>-1.0275684203264746E-2</v>
      </c>
      <c r="I1873">
        <f t="shared" si="233"/>
        <v>153.18684050938077</v>
      </c>
      <c r="J1873" t="e">
        <f t="shared" si="228"/>
        <v>#NUM!</v>
      </c>
      <c r="K1873" s="27" t="e">
        <f t="shared" si="229"/>
        <v>#NUM!</v>
      </c>
    </row>
    <row r="1874" spans="1:11" x14ac:dyDescent="0.25">
      <c r="A1874" s="26">
        <v>1824</v>
      </c>
      <c r="B1874" s="82">
        <f t="shared" si="230"/>
        <v>0</v>
      </c>
      <c r="C1874" s="58">
        <f t="shared" si="234"/>
        <v>171.9194128119324</v>
      </c>
      <c r="D1874" s="83">
        <f t="shared" si="231"/>
        <v>733.33333333333326</v>
      </c>
      <c r="E1874">
        <f t="shared" si="227"/>
        <v>0</v>
      </c>
      <c r="G1874">
        <v>1824</v>
      </c>
      <c r="H1874" s="13">
        <f t="shared" si="232"/>
        <v>-1.0275684203264746E-2</v>
      </c>
      <c r="I1874">
        <f t="shared" si="233"/>
        <v>153.17656482517751</v>
      </c>
      <c r="J1874" t="e">
        <f t="shared" si="228"/>
        <v>#NUM!</v>
      </c>
      <c r="K1874" s="27" t="e">
        <f t="shared" si="229"/>
        <v>#NUM!</v>
      </c>
    </row>
    <row r="1875" spans="1:11" x14ac:dyDescent="0.25">
      <c r="A1875" s="26">
        <v>1825</v>
      </c>
      <c r="B1875" s="82">
        <f t="shared" si="230"/>
        <v>0</v>
      </c>
      <c r="C1875" s="58">
        <f t="shared" si="234"/>
        <v>171.9194128119324</v>
      </c>
      <c r="D1875" s="83">
        <f t="shared" si="231"/>
        <v>733.33333333333326</v>
      </c>
      <c r="E1875">
        <f t="shared" si="227"/>
        <v>0</v>
      </c>
      <c r="G1875">
        <v>1825</v>
      </c>
      <c r="H1875" s="13">
        <f t="shared" si="232"/>
        <v>-1.0275684203264746E-2</v>
      </c>
      <c r="I1875">
        <f t="shared" si="233"/>
        <v>153.16628914097424</v>
      </c>
      <c r="J1875" t="e">
        <f t="shared" si="228"/>
        <v>#NUM!</v>
      </c>
      <c r="K1875" s="27" t="e">
        <f t="shared" si="229"/>
        <v>#NUM!</v>
      </c>
    </row>
    <row r="1876" spans="1:11" x14ac:dyDescent="0.25">
      <c r="A1876" s="26">
        <v>1826</v>
      </c>
      <c r="B1876" s="82">
        <f t="shared" si="230"/>
        <v>0</v>
      </c>
      <c r="C1876" s="58">
        <f t="shared" si="234"/>
        <v>171.9194128119324</v>
      </c>
      <c r="D1876" s="83">
        <f t="shared" si="231"/>
        <v>733.33333333333326</v>
      </c>
      <c r="E1876">
        <f t="shared" si="227"/>
        <v>0</v>
      </c>
      <c r="G1876">
        <v>1826</v>
      </c>
      <c r="H1876" s="13">
        <f t="shared" si="232"/>
        <v>-1.0275684203264746E-2</v>
      </c>
      <c r="I1876">
        <f t="shared" si="233"/>
        <v>153.15601345677098</v>
      </c>
      <c r="J1876" t="e">
        <f t="shared" si="228"/>
        <v>#NUM!</v>
      </c>
      <c r="K1876" s="27" t="e">
        <f t="shared" si="229"/>
        <v>#NUM!</v>
      </c>
    </row>
    <row r="1877" spans="1:11" x14ac:dyDescent="0.25">
      <c r="A1877" s="26">
        <v>1827</v>
      </c>
      <c r="B1877" s="82">
        <f t="shared" si="230"/>
        <v>0</v>
      </c>
      <c r="C1877" s="58">
        <f t="shared" si="234"/>
        <v>171.9194128119324</v>
      </c>
      <c r="D1877" s="83">
        <f t="shared" si="231"/>
        <v>733.33333333333326</v>
      </c>
      <c r="E1877">
        <f t="shared" si="227"/>
        <v>0</v>
      </c>
      <c r="G1877">
        <v>1827</v>
      </c>
      <c r="H1877" s="13">
        <f t="shared" si="232"/>
        <v>-1.0275684203264746E-2</v>
      </c>
      <c r="I1877">
        <f t="shared" si="233"/>
        <v>153.14573777256771</v>
      </c>
      <c r="J1877" t="e">
        <f t="shared" si="228"/>
        <v>#NUM!</v>
      </c>
      <c r="K1877" s="27" t="e">
        <f t="shared" si="229"/>
        <v>#NUM!</v>
      </c>
    </row>
    <row r="1878" spans="1:11" x14ac:dyDescent="0.25">
      <c r="A1878" s="26">
        <v>1828</v>
      </c>
      <c r="B1878" s="82">
        <f t="shared" si="230"/>
        <v>0</v>
      </c>
      <c r="C1878" s="58">
        <f t="shared" si="234"/>
        <v>171.9194128119324</v>
      </c>
      <c r="D1878" s="83">
        <f t="shared" si="231"/>
        <v>733.33333333333326</v>
      </c>
      <c r="E1878">
        <f t="shared" si="227"/>
        <v>0</v>
      </c>
      <c r="G1878">
        <v>1828</v>
      </c>
      <c r="H1878" s="13">
        <f t="shared" si="232"/>
        <v>-1.0275684203264746E-2</v>
      </c>
      <c r="I1878">
        <f t="shared" si="233"/>
        <v>153.13546208836445</v>
      </c>
      <c r="J1878" t="e">
        <f t="shared" si="228"/>
        <v>#NUM!</v>
      </c>
      <c r="K1878" s="27" t="e">
        <f t="shared" si="229"/>
        <v>#NUM!</v>
      </c>
    </row>
    <row r="1879" spans="1:11" x14ac:dyDescent="0.25">
      <c r="A1879" s="26">
        <v>1829</v>
      </c>
      <c r="B1879" s="82">
        <f t="shared" si="230"/>
        <v>0</v>
      </c>
      <c r="C1879" s="58">
        <f t="shared" si="234"/>
        <v>171.9194128119324</v>
      </c>
      <c r="D1879" s="83">
        <f t="shared" si="231"/>
        <v>733.33333333333326</v>
      </c>
      <c r="E1879">
        <f t="shared" si="227"/>
        <v>0</v>
      </c>
      <c r="G1879">
        <v>1829</v>
      </c>
      <c r="H1879" s="13">
        <f t="shared" si="232"/>
        <v>-1.0275684203264746E-2</v>
      </c>
      <c r="I1879">
        <f t="shared" si="233"/>
        <v>153.12518640416118</v>
      </c>
      <c r="J1879" t="e">
        <f t="shared" si="228"/>
        <v>#NUM!</v>
      </c>
      <c r="K1879" s="27" t="e">
        <f t="shared" si="229"/>
        <v>#NUM!</v>
      </c>
    </row>
    <row r="1880" spans="1:11" x14ac:dyDescent="0.25">
      <c r="A1880" s="26">
        <v>1830</v>
      </c>
      <c r="B1880" s="82">
        <f t="shared" si="230"/>
        <v>0</v>
      </c>
      <c r="C1880" s="58">
        <f t="shared" si="234"/>
        <v>171.9194128119324</v>
      </c>
      <c r="D1880" s="83">
        <f t="shared" si="231"/>
        <v>733.33333333333326</v>
      </c>
      <c r="E1880">
        <f t="shared" si="227"/>
        <v>0</v>
      </c>
      <c r="G1880">
        <v>1830</v>
      </c>
      <c r="H1880" s="13">
        <f t="shared" si="232"/>
        <v>-1.0275684203264746E-2</v>
      </c>
      <c r="I1880">
        <f t="shared" si="233"/>
        <v>153.11491071995792</v>
      </c>
      <c r="J1880" t="e">
        <f t="shared" si="228"/>
        <v>#NUM!</v>
      </c>
      <c r="K1880" s="27" t="e">
        <f t="shared" si="229"/>
        <v>#NUM!</v>
      </c>
    </row>
    <row r="1881" spans="1:11" x14ac:dyDescent="0.25">
      <c r="A1881" s="26">
        <v>1831</v>
      </c>
      <c r="B1881" s="82">
        <f t="shared" si="230"/>
        <v>0</v>
      </c>
      <c r="C1881" s="58">
        <f t="shared" si="234"/>
        <v>171.9194128119324</v>
      </c>
      <c r="D1881" s="83">
        <f t="shared" si="231"/>
        <v>733.33333333333326</v>
      </c>
      <c r="E1881">
        <f t="shared" si="227"/>
        <v>0</v>
      </c>
      <c r="G1881">
        <v>1831</v>
      </c>
      <c r="H1881" s="13">
        <f t="shared" si="232"/>
        <v>-1.0275684203264746E-2</v>
      </c>
      <c r="I1881">
        <f t="shared" si="233"/>
        <v>153.10463503575465</v>
      </c>
      <c r="J1881" t="e">
        <f t="shared" si="228"/>
        <v>#NUM!</v>
      </c>
      <c r="K1881" s="27" t="e">
        <f t="shared" si="229"/>
        <v>#NUM!</v>
      </c>
    </row>
    <row r="1882" spans="1:11" x14ac:dyDescent="0.25">
      <c r="A1882" s="26">
        <v>1832</v>
      </c>
      <c r="B1882" s="82">
        <f t="shared" si="230"/>
        <v>0</v>
      </c>
      <c r="C1882" s="58">
        <f t="shared" si="234"/>
        <v>171.9194128119324</v>
      </c>
      <c r="D1882" s="83">
        <f t="shared" si="231"/>
        <v>733.33333333333326</v>
      </c>
      <c r="E1882">
        <f t="shared" si="227"/>
        <v>0</v>
      </c>
      <c r="G1882">
        <v>1832</v>
      </c>
      <c r="H1882" s="13">
        <f t="shared" si="232"/>
        <v>-1.0275684203264746E-2</v>
      </c>
      <c r="I1882">
        <f t="shared" si="233"/>
        <v>153.09435935155139</v>
      </c>
      <c r="J1882" t="e">
        <f t="shared" si="228"/>
        <v>#NUM!</v>
      </c>
      <c r="K1882" s="27" t="e">
        <f t="shared" si="229"/>
        <v>#NUM!</v>
      </c>
    </row>
    <row r="1883" spans="1:11" x14ac:dyDescent="0.25">
      <c r="A1883" s="26">
        <v>1833</v>
      </c>
      <c r="B1883" s="82">
        <f t="shared" si="230"/>
        <v>0</v>
      </c>
      <c r="C1883" s="58">
        <f t="shared" si="234"/>
        <v>171.9194128119324</v>
      </c>
      <c r="D1883" s="83">
        <f t="shared" si="231"/>
        <v>733.33333333333326</v>
      </c>
      <c r="E1883">
        <f t="shared" si="227"/>
        <v>0</v>
      </c>
      <c r="G1883">
        <v>1833</v>
      </c>
      <c r="H1883" s="13">
        <f t="shared" si="232"/>
        <v>-1.0275684203264746E-2</v>
      </c>
      <c r="I1883">
        <f t="shared" si="233"/>
        <v>153.08408366734812</v>
      </c>
      <c r="J1883" t="e">
        <f t="shared" si="228"/>
        <v>#NUM!</v>
      </c>
      <c r="K1883" s="27" t="e">
        <f t="shared" si="229"/>
        <v>#NUM!</v>
      </c>
    </row>
    <row r="1884" spans="1:11" x14ac:dyDescent="0.25">
      <c r="A1884" s="26">
        <v>1834</v>
      </c>
      <c r="B1884" s="82">
        <f t="shared" si="230"/>
        <v>0</v>
      </c>
      <c r="C1884" s="58">
        <f t="shared" si="234"/>
        <v>171.9194128119324</v>
      </c>
      <c r="D1884" s="83">
        <f t="shared" si="231"/>
        <v>733.33333333333326</v>
      </c>
      <c r="E1884">
        <f t="shared" si="227"/>
        <v>0</v>
      </c>
      <c r="G1884">
        <v>1834</v>
      </c>
      <c r="H1884" s="13">
        <f t="shared" si="232"/>
        <v>-1.0275684203264746E-2</v>
      </c>
      <c r="I1884">
        <f t="shared" si="233"/>
        <v>153.07380798314486</v>
      </c>
      <c r="J1884" t="e">
        <f t="shared" si="228"/>
        <v>#NUM!</v>
      </c>
      <c r="K1884" s="27" t="e">
        <f t="shared" si="229"/>
        <v>#NUM!</v>
      </c>
    </row>
    <row r="1885" spans="1:11" x14ac:dyDescent="0.25">
      <c r="A1885" s="26">
        <v>1835</v>
      </c>
      <c r="B1885" s="82">
        <f t="shared" si="230"/>
        <v>0</v>
      </c>
      <c r="C1885" s="58">
        <f t="shared" si="234"/>
        <v>171.9194128119324</v>
      </c>
      <c r="D1885" s="83">
        <f t="shared" si="231"/>
        <v>733.33333333333326</v>
      </c>
      <c r="E1885">
        <f t="shared" si="227"/>
        <v>0</v>
      </c>
      <c r="G1885">
        <v>1835</v>
      </c>
      <c r="H1885" s="13">
        <f t="shared" si="232"/>
        <v>-1.0275684203264746E-2</v>
      </c>
      <c r="I1885">
        <f t="shared" si="233"/>
        <v>153.0635322989416</v>
      </c>
      <c r="J1885" t="e">
        <f t="shared" si="228"/>
        <v>#NUM!</v>
      </c>
      <c r="K1885" s="27" t="e">
        <f t="shared" si="229"/>
        <v>#NUM!</v>
      </c>
    </row>
    <row r="1886" spans="1:11" x14ac:dyDescent="0.25">
      <c r="A1886" s="26">
        <v>1836</v>
      </c>
      <c r="B1886" s="82">
        <f t="shared" si="230"/>
        <v>0</v>
      </c>
      <c r="C1886" s="58">
        <f t="shared" si="234"/>
        <v>171.9194128119324</v>
      </c>
      <c r="D1886" s="83">
        <f t="shared" si="231"/>
        <v>733.33333333333326</v>
      </c>
      <c r="E1886">
        <f t="shared" si="227"/>
        <v>0</v>
      </c>
      <c r="G1886">
        <v>1836</v>
      </c>
      <c r="H1886" s="13">
        <f t="shared" si="232"/>
        <v>-1.0275684203264746E-2</v>
      </c>
      <c r="I1886">
        <f t="shared" si="233"/>
        <v>153.05325661473833</v>
      </c>
      <c r="J1886" t="e">
        <f t="shared" si="228"/>
        <v>#NUM!</v>
      </c>
      <c r="K1886" s="27" t="e">
        <f t="shared" si="229"/>
        <v>#NUM!</v>
      </c>
    </row>
    <row r="1887" spans="1:11" x14ac:dyDescent="0.25">
      <c r="A1887" s="26">
        <v>1837</v>
      </c>
      <c r="B1887" s="82">
        <f t="shared" si="230"/>
        <v>0</v>
      </c>
      <c r="C1887" s="58">
        <f t="shared" si="234"/>
        <v>171.9194128119324</v>
      </c>
      <c r="D1887" s="83">
        <f t="shared" si="231"/>
        <v>733.33333333333326</v>
      </c>
      <c r="E1887">
        <f t="shared" si="227"/>
        <v>0</v>
      </c>
      <c r="G1887">
        <v>1837</v>
      </c>
      <c r="H1887" s="13">
        <f t="shared" si="232"/>
        <v>-1.0275684203264746E-2</v>
      </c>
      <c r="I1887">
        <f t="shared" si="233"/>
        <v>153.04298093053507</v>
      </c>
      <c r="J1887" t="e">
        <f t="shared" si="228"/>
        <v>#NUM!</v>
      </c>
      <c r="K1887" s="27" t="e">
        <f t="shared" si="229"/>
        <v>#NUM!</v>
      </c>
    </row>
    <row r="1888" spans="1:11" x14ac:dyDescent="0.25">
      <c r="A1888" s="26">
        <v>1838</v>
      </c>
      <c r="B1888" s="82">
        <f t="shared" si="230"/>
        <v>0</v>
      </c>
      <c r="C1888" s="58">
        <f t="shared" si="234"/>
        <v>171.9194128119324</v>
      </c>
      <c r="D1888" s="83">
        <f t="shared" si="231"/>
        <v>733.33333333333326</v>
      </c>
      <c r="E1888">
        <f t="shared" si="227"/>
        <v>0</v>
      </c>
      <c r="G1888">
        <v>1838</v>
      </c>
      <c r="H1888" s="13">
        <f t="shared" si="232"/>
        <v>-1.0275684203264746E-2</v>
      </c>
      <c r="I1888">
        <f t="shared" si="233"/>
        <v>153.0327052463318</v>
      </c>
      <c r="J1888" t="e">
        <f t="shared" si="228"/>
        <v>#NUM!</v>
      </c>
      <c r="K1888" s="27" t="e">
        <f t="shared" si="229"/>
        <v>#NUM!</v>
      </c>
    </row>
    <row r="1889" spans="1:11" x14ac:dyDescent="0.25">
      <c r="A1889" s="26">
        <v>1839</v>
      </c>
      <c r="B1889" s="82">
        <f t="shared" si="230"/>
        <v>0</v>
      </c>
      <c r="C1889" s="58">
        <f t="shared" si="234"/>
        <v>171.9194128119324</v>
      </c>
      <c r="D1889" s="83">
        <f t="shared" si="231"/>
        <v>733.33333333333326</v>
      </c>
      <c r="E1889">
        <f t="shared" si="227"/>
        <v>0</v>
      </c>
      <c r="G1889">
        <v>1839</v>
      </c>
      <c r="H1889" s="13">
        <f t="shared" si="232"/>
        <v>-1.0275684203264746E-2</v>
      </c>
      <c r="I1889">
        <f t="shared" si="233"/>
        <v>153.02242956212854</v>
      </c>
      <c r="J1889" t="e">
        <f t="shared" si="228"/>
        <v>#NUM!</v>
      </c>
      <c r="K1889" s="27" t="e">
        <f t="shared" si="229"/>
        <v>#NUM!</v>
      </c>
    </row>
    <row r="1890" spans="1:11" x14ac:dyDescent="0.25">
      <c r="A1890" s="26">
        <v>1840</v>
      </c>
      <c r="B1890" s="82">
        <f t="shared" si="230"/>
        <v>0</v>
      </c>
      <c r="C1890" s="58">
        <f t="shared" si="234"/>
        <v>171.9194128119324</v>
      </c>
      <c r="D1890" s="83">
        <f t="shared" si="231"/>
        <v>733.33333333333326</v>
      </c>
      <c r="E1890">
        <f t="shared" si="227"/>
        <v>0</v>
      </c>
      <c r="G1890">
        <v>1840</v>
      </c>
      <c r="H1890" s="13">
        <f t="shared" si="232"/>
        <v>-1.0275684203264746E-2</v>
      </c>
      <c r="I1890">
        <f t="shared" si="233"/>
        <v>153.01215387792527</v>
      </c>
      <c r="J1890" t="e">
        <f t="shared" si="228"/>
        <v>#NUM!</v>
      </c>
      <c r="K1890" s="27" t="e">
        <f t="shared" si="229"/>
        <v>#NUM!</v>
      </c>
    </row>
    <row r="1891" spans="1:11" x14ac:dyDescent="0.25">
      <c r="A1891" s="26">
        <v>1841</v>
      </c>
      <c r="B1891" s="82">
        <f t="shared" si="230"/>
        <v>0</v>
      </c>
      <c r="C1891" s="58">
        <f t="shared" si="234"/>
        <v>171.9194128119324</v>
      </c>
      <c r="D1891" s="83">
        <f t="shared" si="231"/>
        <v>733.33333333333326</v>
      </c>
      <c r="E1891">
        <f t="shared" si="227"/>
        <v>0</v>
      </c>
      <c r="G1891">
        <v>1841</v>
      </c>
      <c r="H1891" s="13">
        <f t="shared" si="232"/>
        <v>-1.0275684203264746E-2</v>
      </c>
      <c r="I1891">
        <f t="shared" si="233"/>
        <v>153.00187819372201</v>
      </c>
      <c r="J1891" t="e">
        <f t="shared" si="228"/>
        <v>#NUM!</v>
      </c>
      <c r="K1891" s="27" t="e">
        <f t="shared" si="229"/>
        <v>#NUM!</v>
      </c>
    </row>
    <row r="1892" spans="1:11" x14ac:dyDescent="0.25">
      <c r="A1892" s="26">
        <v>1842</v>
      </c>
      <c r="B1892" s="82">
        <f t="shared" si="230"/>
        <v>0</v>
      </c>
      <c r="C1892" s="58">
        <f t="shared" si="234"/>
        <v>171.9194128119324</v>
      </c>
      <c r="D1892" s="83">
        <f t="shared" si="231"/>
        <v>733.33333333333326</v>
      </c>
      <c r="E1892">
        <f t="shared" si="227"/>
        <v>0</v>
      </c>
      <c r="G1892">
        <v>1842</v>
      </c>
      <c r="H1892" s="13">
        <f t="shared" si="232"/>
        <v>-1.0275684203264746E-2</v>
      </c>
      <c r="I1892">
        <f t="shared" si="233"/>
        <v>152.99160250951874</v>
      </c>
      <c r="J1892" t="e">
        <f t="shared" si="228"/>
        <v>#NUM!</v>
      </c>
      <c r="K1892" s="27" t="e">
        <f t="shared" si="229"/>
        <v>#NUM!</v>
      </c>
    </row>
    <row r="1893" spans="1:11" x14ac:dyDescent="0.25">
      <c r="A1893" s="26">
        <v>1843</v>
      </c>
      <c r="B1893" s="82">
        <f t="shared" si="230"/>
        <v>0</v>
      </c>
      <c r="C1893" s="58">
        <f t="shared" si="234"/>
        <v>171.9194128119324</v>
      </c>
      <c r="D1893" s="83">
        <f t="shared" si="231"/>
        <v>733.33333333333326</v>
      </c>
      <c r="E1893">
        <f t="shared" si="227"/>
        <v>0</v>
      </c>
      <c r="G1893">
        <v>1843</v>
      </c>
      <c r="H1893" s="13">
        <f t="shared" si="232"/>
        <v>-1.0275684203264746E-2</v>
      </c>
      <c r="I1893">
        <f t="shared" si="233"/>
        <v>152.98132682531548</v>
      </c>
      <c r="J1893" t="e">
        <f t="shared" si="228"/>
        <v>#NUM!</v>
      </c>
      <c r="K1893" s="27" t="e">
        <f t="shared" si="229"/>
        <v>#NUM!</v>
      </c>
    </row>
    <row r="1894" spans="1:11" x14ac:dyDescent="0.25">
      <c r="A1894" s="26">
        <v>1844</v>
      </c>
      <c r="B1894" s="82">
        <f t="shared" si="230"/>
        <v>0</v>
      </c>
      <c r="C1894" s="58">
        <f t="shared" si="234"/>
        <v>171.9194128119324</v>
      </c>
      <c r="D1894" s="83">
        <f t="shared" si="231"/>
        <v>733.33333333333326</v>
      </c>
      <c r="E1894">
        <f t="shared" si="227"/>
        <v>0</v>
      </c>
      <c r="G1894">
        <v>1844</v>
      </c>
      <c r="H1894" s="13">
        <f t="shared" si="232"/>
        <v>-1.0275684203264746E-2</v>
      </c>
      <c r="I1894">
        <f t="shared" si="233"/>
        <v>152.97105114111221</v>
      </c>
      <c r="J1894" t="e">
        <f t="shared" si="228"/>
        <v>#NUM!</v>
      </c>
      <c r="K1894" s="27" t="e">
        <f t="shared" si="229"/>
        <v>#NUM!</v>
      </c>
    </row>
    <row r="1895" spans="1:11" x14ac:dyDescent="0.25">
      <c r="A1895" s="26">
        <v>1845</v>
      </c>
      <c r="B1895" s="82">
        <f t="shared" si="230"/>
        <v>0</v>
      </c>
      <c r="C1895" s="58">
        <f t="shared" si="234"/>
        <v>171.9194128119324</v>
      </c>
      <c r="D1895" s="83">
        <f t="shared" si="231"/>
        <v>733.33333333333326</v>
      </c>
      <c r="E1895">
        <f t="shared" si="227"/>
        <v>0</v>
      </c>
      <c r="G1895">
        <v>1845</v>
      </c>
      <c r="H1895" s="13">
        <f t="shared" si="232"/>
        <v>-1.0275684203264746E-2</v>
      </c>
      <c r="I1895">
        <f t="shared" si="233"/>
        <v>152.96077545690895</v>
      </c>
      <c r="J1895" t="e">
        <f t="shared" si="228"/>
        <v>#NUM!</v>
      </c>
      <c r="K1895" s="27" t="e">
        <f t="shared" si="229"/>
        <v>#NUM!</v>
      </c>
    </row>
    <row r="1896" spans="1:11" x14ac:dyDescent="0.25">
      <c r="A1896" s="26">
        <v>1846</v>
      </c>
      <c r="B1896" s="82">
        <f t="shared" si="230"/>
        <v>0</v>
      </c>
      <c r="C1896" s="58">
        <f t="shared" si="234"/>
        <v>171.9194128119324</v>
      </c>
      <c r="D1896" s="83">
        <f t="shared" si="231"/>
        <v>733.33333333333326</v>
      </c>
      <c r="E1896">
        <f t="shared" si="227"/>
        <v>0</v>
      </c>
      <c r="G1896">
        <v>1846</v>
      </c>
      <c r="H1896" s="13">
        <f t="shared" si="232"/>
        <v>-1.0275684203264746E-2</v>
      </c>
      <c r="I1896">
        <f t="shared" si="233"/>
        <v>152.95049977270568</v>
      </c>
      <c r="J1896" t="e">
        <f t="shared" si="228"/>
        <v>#NUM!</v>
      </c>
      <c r="K1896" s="27" t="e">
        <f t="shared" si="229"/>
        <v>#NUM!</v>
      </c>
    </row>
    <row r="1897" spans="1:11" x14ac:dyDescent="0.25">
      <c r="A1897" s="26">
        <v>1847</v>
      </c>
      <c r="B1897" s="82">
        <f t="shared" si="230"/>
        <v>0</v>
      </c>
      <c r="C1897" s="58">
        <f t="shared" si="234"/>
        <v>171.9194128119324</v>
      </c>
      <c r="D1897" s="83">
        <f t="shared" si="231"/>
        <v>733.33333333333326</v>
      </c>
      <c r="E1897">
        <f t="shared" si="227"/>
        <v>0</v>
      </c>
      <c r="G1897">
        <v>1847</v>
      </c>
      <c r="H1897" s="13">
        <f t="shared" si="232"/>
        <v>-1.0275684203264746E-2</v>
      </c>
      <c r="I1897">
        <f t="shared" si="233"/>
        <v>152.94022408850242</v>
      </c>
      <c r="J1897" t="e">
        <f t="shared" si="228"/>
        <v>#NUM!</v>
      </c>
      <c r="K1897" s="27" t="e">
        <f t="shared" si="229"/>
        <v>#NUM!</v>
      </c>
    </row>
    <row r="1898" spans="1:11" x14ac:dyDescent="0.25">
      <c r="A1898" s="26">
        <v>1848</v>
      </c>
      <c r="B1898" s="82">
        <f t="shared" si="230"/>
        <v>0</v>
      </c>
      <c r="C1898" s="58">
        <f t="shared" si="234"/>
        <v>171.9194128119324</v>
      </c>
      <c r="D1898" s="83">
        <f t="shared" si="231"/>
        <v>733.33333333333326</v>
      </c>
      <c r="E1898">
        <f t="shared" si="227"/>
        <v>0</v>
      </c>
      <c r="G1898">
        <v>1848</v>
      </c>
      <c r="H1898" s="13">
        <f t="shared" si="232"/>
        <v>-1.0275684203264746E-2</v>
      </c>
      <c r="I1898">
        <f t="shared" si="233"/>
        <v>152.92994840429915</v>
      </c>
      <c r="J1898" t="e">
        <f t="shared" si="228"/>
        <v>#NUM!</v>
      </c>
      <c r="K1898" s="27" t="e">
        <f t="shared" si="229"/>
        <v>#NUM!</v>
      </c>
    </row>
    <row r="1899" spans="1:11" x14ac:dyDescent="0.25">
      <c r="A1899" s="26">
        <v>1849</v>
      </c>
      <c r="B1899" s="82">
        <f t="shared" si="230"/>
        <v>0</v>
      </c>
      <c r="C1899" s="58">
        <f t="shared" si="234"/>
        <v>171.9194128119324</v>
      </c>
      <c r="D1899" s="83">
        <f t="shared" si="231"/>
        <v>733.33333333333326</v>
      </c>
      <c r="E1899">
        <f t="shared" si="227"/>
        <v>0</v>
      </c>
      <c r="G1899">
        <v>1849</v>
      </c>
      <c r="H1899" s="13">
        <f t="shared" si="232"/>
        <v>-1.0275684203264746E-2</v>
      </c>
      <c r="I1899">
        <f t="shared" si="233"/>
        <v>152.91967272009589</v>
      </c>
      <c r="J1899" t="e">
        <f t="shared" si="228"/>
        <v>#NUM!</v>
      </c>
      <c r="K1899" s="27" t="e">
        <f t="shared" si="229"/>
        <v>#NUM!</v>
      </c>
    </row>
    <row r="1900" spans="1:11" x14ac:dyDescent="0.25">
      <c r="A1900" s="26">
        <v>1850</v>
      </c>
      <c r="B1900" s="82">
        <f t="shared" si="230"/>
        <v>0</v>
      </c>
      <c r="C1900" s="58">
        <f t="shared" si="234"/>
        <v>171.9194128119324</v>
      </c>
      <c r="D1900" s="83">
        <f t="shared" si="231"/>
        <v>733.33333333333326</v>
      </c>
      <c r="E1900">
        <f t="shared" si="227"/>
        <v>0</v>
      </c>
      <c r="G1900">
        <v>1850</v>
      </c>
      <c r="H1900" s="13">
        <f t="shared" si="232"/>
        <v>-1.0275684203264746E-2</v>
      </c>
      <c r="I1900">
        <f t="shared" si="233"/>
        <v>152.90939703589262</v>
      </c>
      <c r="J1900" t="e">
        <f t="shared" si="228"/>
        <v>#NUM!</v>
      </c>
      <c r="K1900" s="27" t="e">
        <f t="shared" si="229"/>
        <v>#NUM!</v>
      </c>
    </row>
    <row r="1901" spans="1:11" x14ac:dyDescent="0.25">
      <c r="A1901" s="26">
        <v>1851</v>
      </c>
      <c r="B1901" s="82">
        <f t="shared" si="230"/>
        <v>0</v>
      </c>
      <c r="C1901" s="58">
        <f t="shared" si="234"/>
        <v>171.9194128119324</v>
      </c>
      <c r="D1901" s="83">
        <f t="shared" si="231"/>
        <v>733.33333333333326</v>
      </c>
      <c r="E1901">
        <f t="shared" si="227"/>
        <v>0</v>
      </c>
      <c r="G1901">
        <v>1851</v>
      </c>
      <c r="H1901" s="13">
        <f t="shared" si="232"/>
        <v>-1.0275684203264746E-2</v>
      </c>
      <c r="I1901">
        <f t="shared" si="233"/>
        <v>152.89912135168936</v>
      </c>
      <c r="J1901" t="e">
        <f t="shared" si="228"/>
        <v>#NUM!</v>
      </c>
      <c r="K1901" s="27" t="e">
        <f t="shared" si="229"/>
        <v>#NUM!</v>
      </c>
    </row>
    <row r="1902" spans="1:11" x14ac:dyDescent="0.25">
      <c r="A1902" s="26">
        <v>1852</v>
      </c>
      <c r="B1902" s="82">
        <f t="shared" si="230"/>
        <v>0</v>
      </c>
      <c r="C1902" s="58">
        <f t="shared" si="234"/>
        <v>171.9194128119324</v>
      </c>
      <c r="D1902" s="83">
        <f t="shared" si="231"/>
        <v>733.33333333333326</v>
      </c>
      <c r="E1902">
        <f t="shared" si="227"/>
        <v>0</v>
      </c>
      <c r="G1902">
        <v>1852</v>
      </c>
      <c r="H1902" s="13">
        <f t="shared" si="232"/>
        <v>-1.0275684203264746E-2</v>
      </c>
      <c r="I1902">
        <f t="shared" si="233"/>
        <v>152.88884566748609</v>
      </c>
      <c r="J1902" t="e">
        <f t="shared" si="228"/>
        <v>#NUM!</v>
      </c>
      <c r="K1902" s="27" t="e">
        <f t="shared" si="229"/>
        <v>#NUM!</v>
      </c>
    </row>
    <row r="1903" spans="1:11" x14ac:dyDescent="0.25">
      <c r="A1903" s="26">
        <v>1853</v>
      </c>
      <c r="B1903" s="82">
        <f t="shared" si="230"/>
        <v>0</v>
      </c>
      <c r="C1903" s="58">
        <f t="shared" si="234"/>
        <v>171.9194128119324</v>
      </c>
      <c r="D1903" s="83">
        <f t="shared" si="231"/>
        <v>733.33333333333326</v>
      </c>
      <c r="E1903">
        <f t="shared" si="227"/>
        <v>0</v>
      </c>
      <c r="G1903">
        <v>1853</v>
      </c>
      <c r="H1903" s="13">
        <f t="shared" si="232"/>
        <v>-1.0275684203264746E-2</v>
      </c>
      <c r="I1903">
        <f t="shared" si="233"/>
        <v>152.87856998328283</v>
      </c>
      <c r="J1903" t="e">
        <f t="shared" si="228"/>
        <v>#NUM!</v>
      </c>
      <c r="K1903" s="27" t="e">
        <f t="shared" si="229"/>
        <v>#NUM!</v>
      </c>
    </row>
    <row r="1904" spans="1:11" x14ac:dyDescent="0.25">
      <c r="A1904" s="26">
        <v>1854</v>
      </c>
      <c r="B1904" s="82">
        <f t="shared" si="230"/>
        <v>0</v>
      </c>
      <c r="C1904" s="58">
        <f t="shared" si="234"/>
        <v>171.9194128119324</v>
      </c>
      <c r="D1904" s="83">
        <f t="shared" si="231"/>
        <v>733.33333333333326</v>
      </c>
      <c r="E1904">
        <f t="shared" si="227"/>
        <v>0</v>
      </c>
      <c r="G1904">
        <v>1854</v>
      </c>
      <c r="H1904" s="13">
        <f t="shared" si="232"/>
        <v>-1.0275684203264746E-2</v>
      </c>
      <c r="I1904">
        <f t="shared" si="233"/>
        <v>152.86829429907957</v>
      </c>
      <c r="J1904" t="e">
        <f t="shared" si="228"/>
        <v>#NUM!</v>
      </c>
      <c r="K1904" s="27" t="e">
        <f t="shared" si="229"/>
        <v>#NUM!</v>
      </c>
    </row>
    <row r="1905" spans="1:11" x14ac:dyDescent="0.25">
      <c r="A1905" s="26">
        <v>1855</v>
      </c>
      <c r="B1905" s="82">
        <f t="shared" si="230"/>
        <v>0</v>
      </c>
      <c r="C1905" s="58">
        <f t="shared" si="234"/>
        <v>171.9194128119324</v>
      </c>
      <c r="D1905" s="83">
        <f t="shared" si="231"/>
        <v>733.33333333333326</v>
      </c>
      <c r="E1905">
        <f t="shared" si="227"/>
        <v>0</v>
      </c>
      <c r="G1905">
        <v>1855</v>
      </c>
      <c r="H1905" s="13">
        <f t="shared" si="232"/>
        <v>-1.0275684203264746E-2</v>
      </c>
      <c r="I1905">
        <f t="shared" si="233"/>
        <v>152.8580186148763</v>
      </c>
      <c r="J1905" t="e">
        <f t="shared" si="228"/>
        <v>#NUM!</v>
      </c>
      <c r="K1905" s="27" t="e">
        <f t="shared" si="229"/>
        <v>#NUM!</v>
      </c>
    </row>
    <row r="1906" spans="1:11" x14ac:dyDescent="0.25">
      <c r="A1906" s="26">
        <v>1856</v>
      </c>
      <c r="B1906" s="82">
        <f t="shared" si="230"/>
        <v>0</v>
      </c>
      <c r="C1906" s="58">
        <f t="shared" si="234"/>
        <v>171.9194128119324</v>
      </c>
      <c r="D1906" s="83">
        <f t="shared" si="231"/>
        <v>733.33333333333326</v>
      </c>
      <c r="E1906">
        <f t="shared" si="227"/>
        <v>0</v>
      </c>
      <c r="G1906">
        <v>1856</v>
      </c>
      <c r="H1906" s="13">
        <f t="shared" si="232"/>
        <v>-1.0275684203264746E-2</v>
      </c>
      <c r="I1906">
        <f t="shared" si="233"/>
        <v>152.84774293067304</v>
      </c>
      <c r="J1906" t="e">
        <f t="shared" si="228"/>
        <v>#NUM!</v>
      </c>
      <c r="K1906" s="27" t="e">
        <f t="shared" si="229"/>
        <v>#NUM!</v>
      </c>
    </row>
    <row r="1907" spans="1:11" x14ac:dyDescent="0.25">
      <c r="A1907" s="26">
        <v>1857</v>
      </c>
      <c r="B1907" s="82">
        <f t="shared" si="230"/>
        <v>0</v>
      </c>
      <c r="C1907" s="58">
        <f t="shared" si="234"/>
        <v>171.9194128119324</v>
      </c>
      <c r="D1907" s="83">
        <f t="shared" si="231"/>
        <v>733.33333333333326</v>
      </c>
      <c r="E1907">
        <f t="shared" ref="E1907:E1970" si="235">((D1907^2)+(D1907*D1908)+(D1908^2))*B1908/3</f>
        <v>0</v>
      </c>
      <c r="G1907">
        <v>1857</v>
      </c>
      <c r="H1907" s="13">
        <f t="shared" si="232"/>
        <v>-1.0275684203264746E-2</v>
      </c>
      <c r="I1907">
        <f t="shared" si="233"/>
        <v>152.83746724646977</v>
      </c>
      <c r="J1907" t="e">
        <f t="shared" ref="J1907:J1970" si="236">IF($G$28&lt;$C$14,0,((($C$11^2)-((I1907-$C$13)^2))^0.5)+$C$16)</f>
        <v>#NUM!</v>
      </c>
      <c r="K1907" s="27" t="e">
        <f t="shared" ref="K1907:K1970" si="237">((J1907^2)+(J1907*J1908)+(J1908^2))*H1908/3</f>
        <v>#NUM!</v>
      </c>
    </row>
    <row r="1908" spans="1:11" x14ac:dyDescent="0.25">
      <c r="A1908" s="26">
        <v>1858</v>
      </c>
      <c r="B1908" s="82">
        <f t="shared" ref="B1908:B1971" si="238">C1908-C1907</f>
        <v>0</v>
      </c>
      <c r="C1908" s="58">
        <f t="shared" si="234"/>
        <v>171.9194128119324</v>
      </c>
      <c r="D1908" s="83">
        <f t="shared" ref="D1908:D1971" si="239">IF($G$28&lt;$C$14,0,((($C$11^2)-((C1908-$C$13)^2))^0.5)+$C$16)</f>
        <v>733.33333333333326</v>
      </c>
      <c r="E1908">
        <f t="shared" si="235"/>
        <v>0</v>
      </c>
      <c r="G1908">
        <v>1858</v>
      </c>
      <c r="H1908" s="13">
        <f t="shared" ref="H1908:H1971" si="240">I1908-I1907</f>
        <v>-1.0275684203264746E-2</v>
      </c>
      <c r="I1908">
        <f t="shared" ref="I1908:I1971" si="241">($G$27-$C$14)/2000+I1907</f>
        <v>152.82719156226651</v>
      </c>
      <c r="J1908" t="e">
        <f t="shared" si="236"/>
        <v>#NUM!</v>
      </c>
      <c r="K1908" s="27" t="e">
        <f t="shared" si="237"/>
        <v>#NUM!</v>
      </c>
    </row>
    <row r="1909" spans="1:11" x14ac:dyDescent="0.25">
      <c r="A1909" s="26">
        <v>1859</v>
      </c>
      <c r="B1909" s="82">
        <f t="shared" si="238"/>
        <v>0</v>
      </c>
      <c r="C1909" s="58">
        <f t="shared" si="234"/>
        <v>171.9194128119324</v>
      </c>
      <c r="D1909" s="83">
        <f t="shared" si="239"/>
        <v>733.33333333333326</v>
      </c>
      <c r="E1909">
        <f t="shared" si="235"/>
        <v>0</v>
      </c>
      <c r="G1909">
        <v>1859</v>
      </c>
      <c r="H1909" s="13">
        <f t="shared" si="240"/>
        <v>-1.0275684203264746E-2</v>
      </c>
      <c r="I1909">
        <f t="shared" si="241"/>
        <v>152.81691587806324</v>
      </c>
      <c r="J1909" t="e">
        <f t="shared" si="236"/>
        <v>#NUM!</v>
      </c>
      <c r="K1909" s="27" t="e">
        <f t="shared" si="237"/>
        <v>#NUM!</v>
      </c>
    </row>
    <row r="1910" spans="1:11" x14ac:dyDescent="0.25">
      <c r="A1910" s="26">
        <v>1860</v>
      </c>
      <c r="B1910" s="82">
        <f t="shared" si="238"/>
        <v>0</v>
      </c>
      <c r="C1910" s="58">
        <f t="shared" si="234"/>
        <v>171.9194128119324</v>
      </c>
      <c r="D1910" s="83">
        <f t="shared" si="239"/>
        <v>733.33333333333326</v>
      </c>
      <c r="E1910">
        <f t="shared" si="235"/>
        <v>0</v>
      </c>
      <c r="G1910">
        <v>1860</v>
      </c>
      <c r="H1910" s="13">
        <f t="shared" si="240"/>
        <v>-1.0275684203264746E-2</v>
      </c>
      <c r="I1910">
        <f t="shared" si="241"/>
        <v>152.80664019385998</v>
      </c>
      <c r="J1910" t="e">
        <f t="shared" si="236"/>
        <v>#NUM!</v>
      </c>
      <c r="K1910" s="27" t="e">
        <f t="shared" si="237"/>
        <v>#NUM!</v>
      </c>
    </row>
    <row r="1911" spans="1:11" x14ac:dyDescent="0.25">
      <c r="A1911" s="26">
        <v>1861</v>
      </c>
      <c r="B1911" s="82">
        <f t="shared" si="238"/>
        <v>0</v>
      </c>
      <c r="C1911" s="58">
        <f t="shared" si="234"/>
        <v>171.9194128119324</v>
      </c>
      <c r="D1911" s="83">
        <f t="shared" si="239"/>
        <v>733.33333333333326</v>
      </c>
      <c r="E1911">
        <f t="shared" si="235"/>
        <v>0</v>
      </c>
      <c r="G1911">
        <v>1861</v>
      </c>
      <c r="H1911" s="13">
        <f t="shared" si="240"/>
        <v>-1.0275684203264746E-2</v>
      </c>
      <c r="I1911">
        <f t="shared" si="241"/>
        <v>152.79636450965671</v>
      </c>
      <c r="J1911" t="e">
        <f t="shared" si="236"/>
        <v>#NUM!</v>
      </c>
      <c r="K1911" s="27" t="e">
        <f t="shared" si="237"/>
        <v>#NUM!</v>
      </c>
    </row>
    <row r="1912" spans="1:11" x14ac:dyDescent="0.25">
      <c r="A1912" s="26">
        <v>1862</v>
      </c>
      <c r="B1912" s="82">
        <f t="shared" si="238"/>
        <v>0</v>
      </c>
      <c r="C1912" s="58">
        <f t="shared" si="234"/>
        <v>171.9194128119324</v>
      </c>
      <c r="D1912" s="83">
        <f t="shared" si="239"/>
        <v>733.33333333333326</v>
      </c>
      <c r="E1912">
        <f t="shared" si="235"/>
        <v>0</v>
      </c>
      <c r="G1912">
        <v>1862</v>
      </c>
      <c r="H1912" s="13">
        <f t="shared" si="240"/>
        <v>-1.0275684203264746E-2</v>
      </c>
      <c r="I1912">
        <f t="shared" si="241"/>
        <v>152.78608882545345</v>
      </c>
      <c r="J1912" t="e">
        <f t="shared" si="236"/>
        <v>#NUM!</v>
      </c>
      <c r="K1912" s="27" t="e">
        <f t="shared" si="237"/>
        <v>#NUM!</v>
      </c>
    </row>
    <row r="1913" spans="1:11" x14ac:dyDescent="0.25">
      <c r="A1913" s="26">
        <v>1863</v>
      </c>
      <c r="B1913" s="82">
        <f t="shared" si="238"/>
        <v>0</v>
      </c>
      <c r="C1913" s="58">
        <f t="shared" si="234"/>
        <v>171.9194128119324</v>
      </c>
      <c r="D1913" s="83">
        <f t="shared" si="239"/>
        <v>733.33333333333326</v>
      </c>
      <c r="E1913">
        <f t="shared" si="235"/>
        <v>0</v>
      </c>
      <c r="G1913">
        <v>1863</v>
      </c>
      <c r="H1913" s="13">
        <f t="shared" si="240"/>
        <v>-1.0275684203264746E-2</v>
      </c>
      <c r="I1913">
        <f t="shared" si="241"/>
        <v>152.77581314125018</v>
      </c>
      <c r="J1913" t="e">
        <f t="shared" si="236"/>
        <v>#NUM!</v>
      </c>
      <c r="K1913" s="27" t="e">
        <f t="shared" si="237"/>
        <v>#NUM!</v>
      </c>
    </row>
    <row r="1914" spans="1:11" x14ac:dyDescent="0.25">
      <c r="A1914" s="26">
        <v>1864</v>
      </c>
      <c r="B1914" s="82">
        <f t="shared" si="238"/>
        <v>0</v>
      </c>
      <c r="C1914" s="58">
        <f t="shared" si="234"/>
        <v>171.9194128119324</v>
      </c>
      <c r="D1914" s="83">
        <f t="shared" si="239"/>
        <v>733.33333333333326</v>
      </c>
      <c r="E1914">
        <f t="shared" si="235"/>
        <v>0</v>
      </c>
      <c r="G1914">
        <v>1864</v>
      </c>
      <c r="H1914" s="13">
        <f t="shared" si="240"/>
        <v>-1.0275684203264746E-2</v>
      </c>
      <c r="I1914">
        <f t="shared" si="241"/>
        <v>152.76553745704692</v>
      </c>
      <c r="J1914" t="e">
        <f t="shared" si="236"/>
        <v>#NUM!</v>
      </c>
      <c r="K1914" s="27" t="e">
        <f t="shared" si="237"/>
        <v>#NUM!</v>
      </c>
    </row>
    <row r="1915" spans="1:11" x14ac:dyDescent="0.25">
      <c r="A1915" s="26">
        <v>1865</v>
      </c>
      <c r="B1915" s="82">
        <f t="shared" si="238"/>
        <v>0</v>
      </c>
      <c r="C1915" s="58">
        <f t="shared" si="234"/>
        <v>171.9194128119324</v>
      </c>
      <c r="D1915" s="83">
        <f t="shared" si="239"/>
        <v>733.33333333333326</v>
      </c>
      <c r="E1915">
        <f t="shared" si="235"/>
        <v>0</v>
      </c>
      <c r="G1915">
        <v>1865</v>
      </c>
      <c r="H1915" s="13">
        <f t="shared" si="240"/>
        <v>-1.0275684203264746E-2</v>
      </c>
      <c r="I1915">
        <f t="shared" si="241"/>
        <v>152.75526177284365</v>
      </c>
      <c r="J1915" t="e">
        <f t="shared" si="236"/>
        <v>#NUM!</v>
      </c>
      <c r="K1915" s="27" t="e">
        <f t="shared" si="237"/>
        <v>#NUM!</v>
      </c>
    </row>
    <row r="1916" spans="1:11" x14ac:dyDescent="0.25">
      <c r="A1916" s="26">
        <v>1866</v>
      </c>
      <c r="B1916" s="82">
        <f t="shared" si="238"/>
        <v>0</v>
      </c>
      <c r="C1916" s="58">
        <f t="shared" si="234"/>
        <v>171.9194128119324</v>
      </c>
      <c r="D1916" s="83">
        <f t="shared" si="239"/>
        <v>733.33333333333326</v>
      </c>
      <c r="E1916">
        <f t="shared" si="235"/>
        <v>0</v>
      </c>
      <c r="G1916">
        <v>1866</v>
      </c>
      <c r="H1916" s="13">
        <f t="shared" si="240"/>
        <v>-1.0275684203264746E-2</v>
      </c>
      <c r="I1916">
        <f t="shared" si="241"/>
        <v>152.74498608864039</v>
      </c>
      <c r="J1916" t="e">
        <f t="shared" si="236"/>
        <v>#NUM!</v>
      </c>
      <c r="K1916" s="27" t="e">
        <f t="shared" si="237"/>
        <v>#NUM!</v>
      </c>
    </row>
    <row r="1917" spans="1:11" x14ac:dyDescent="0.25">
      <c r="A1917" s="26">
        <v>1867</v>
      </c>
      <c r="B1917" s="82">
        <f t="shared" si="238"/>
        <v>0</v>
      </c>
      <c r="C1917" s="58">
        <f t="shared" si="234"/>
        <v>171.9194128119324</v>
      </c>
      <c r="D1917" s="83">
        <f t="shared" si="239"/>
        <v>733.33333333333326</v>
      </c>
      <c r="E1917">
        <f t="shared" si="235"/>
        <v>0</v>
      </c>
      <c r="G1917">
        <v>1867</v>
      </c>
      <c r="H1917" s="13">
        <f t="shared" si="240"/>
        <v>-1.0275684203264746E-2</v>
      </c>
      <c r="I1917">
        <f t="shared" si="241"/>
        <v>152.73471040443712</v>
      </c>
      <c r="J1917" t="e">
        <f t="shared" si="236"/>
        <v>#NUM!</v>
      </c>
      <c r="K1917" s="27" t="e">
        <f t="shared" si="237"/>
        <v>#NUM!</v>
      </c>
    </row>
    <row r="1918" spans="1:11" x14ac:dyDescent="0.25">
      <c r="A1918" s="26">
        <v>1868</v>
      </c>
      <c r="B1918" s="82">
        <f t="shared" si="238"/>
        <v>0</v>
      </c>
      <c r="C1918" s="58">
        <f t="shared" si="234"/>
        <v>171.9194128119324</v>
      </c>
      <c r="D1918" s="83">
        <f t="shared" si="239"/>
        <v>733.33333333333326</v>
      </c>
      <c r="E1918">
        <f t="shared" si="235"/>
        <v>0</v>
      </c>
      <c r="G1918">
        <v>1868</v>
      </c>
      <c r="H1918" s="13">
        <f t="shared" si="240"/>
        <v>-1.0275684203264746E-2</v>
      </c>
      <c r="I1918">
        <f t="shared" si="241"/>
        <v>152.72443472023386</v>
      </c>
      <c r="J1918" t="e">
        <f t="shared" si="236"/>
        <v>#NUM!</v>
      </c>
      <c r="K1918" s="27" t="e">
        <f t="shared" si="237"/>
        <v>#NUM!</v>
      </c>
    </row>
    <row r="1919" spans="1:11" x14ac:dyDescent="0.25">
      <c r="A1919" s="26">
        <v>1869</v>
      </c>
      <c r="B1919" s="82">
        <f t="shared" si="238"/>
        <v>0</v>
      </c>
      <c r="C1919" s="58">
        <f t="shared" si="234"/>
        <v>171.9194128119324</v>
      </c>
      <c r="D1919" s="83">
        <f t="shared" si="239"/>
        <v>733.33333333333326</v>
      </c>
      <c r="E1919">
        <f t="shared" si="235"/>
        <v>0</v>
      </c>
      <c r="G1919">
        <v>1869</v>
      </c>
      <c r="H1919" s="13">
        <f t="shared" si="240"/>
        <v>-1.0275684203264746E-2</v>
      </c>
      <c r="I1919">
        <f t="shared" si="241"/>
        <v>152.71415903603059</v>
      </c>
      <c r="J1919" t="e">
        <f t="shared" si="236"/>
        <v>#NUM!</v>
      </c>
      <c r="K1919" s="27" t="e">
        <f t="shared" si="237"/>
        <v>#NUM!</v>
      </c>
    </row>
    <row r="1920" spans="1:11" x14ac:dyDescent="0.25">
      <c r="A1920" s="26">
        <v>1870</v>
      </c>
      <c r="B1920" s="82">
        <f t="shared" si="238"/>
        <v>0</v>
      </c>
      <c r="C1920" s="58">
        <f t="shared" si="234"/>
        <v>171.9194128119324</v>
      </c>
      <c r="D1920" s="83">
        <f t="shared" si="239"/>
        <v>733.33333333333326</v>
      </c>
      <c r="E1920">
        <f t="shared" si="235"/>
        <v>0</v>
      </c>
      <c r="G1920">
        <v>1870</v>
      </c>
      <c r="H1920" s="13">
        <f t="shared" si="240"/>
        <v>-1.0275684203264746E-2</v>
      </c>
      <c r="I1920">
        <f t="shared" si="241"/>
        <v>152.70388335182733</v>
      </c>
      <c r="J1920" t="e">
        <f t="shared" si="236"/>
        <v>#NUM!</v>
      </c>
      <c r="K1920" s="27" t="e">
        <f t="shared" si="237"/>
        <v>#NUM!</v>
      </c>
    </row>
    <row r="1921" spans="1:11" x14ac:dyDescent="0.25">
      <c r="A1921" s="26">
        <v>1871</v>
      </c>
      <c r="B1921" s="82">
        <f t="shared" si="238"/>
        <v>0</v>
      </c>
      <c r="C1921" s="58">
        <f t="shared" si="234"/>
        <v>171.9194128119324</v>
      </c>
      <c r="D1921" s="83">
        <f t="shared" si="239"/>
        <v>733.33333333333326</v>
      </c>
      <c r="E1921">
        <f t="shared" si="235"/>
        <v>0</v>
      </c>
      <c r="G1921">
        <v>1871</v>
      </c>
      <c r="H1921" s="13">
        <f t="shared" si="240"/>
        <v>-1.0275684203264746E-2</v>
      </c>
      <c r="I1921">
        <f t="shared" si="241"/>
        <v>152.69360766762406</v>
      </c>
      <c r="J1921" t="e">
        <f t="shared" si="236"/>
        <v>#NUM!</v>
      </c>
      <c r="K1921" s="27" t="e">
        <f t="shared" si="237"/>
        <v>#NUM!</v>
      </c>
    </row>
    <row r="1922" spans="1:11" x14ac:dyDescent="0.25">
      <c r="A1922" s="26">
        <v>1872</v>
      </c>
      <c r="B1922" s="82">
        <f t="shared" si="238"/>
        <v>0</v>
      </c>
      <c r="C1922" s="58">
        <f t="shared" si="234"/>
        <v>171.9194128119324</v>
      </c>
      <c r="D1922" s="83">
        <f t="shared" si="239"/>
        <v>733.33333333333326</v>
      </c>
      <c r="E1922">
        <f t="shared" si="235"/>
        <v>0</v>
      </c>
      <c r="G1922">
        <v>1872</v>
      </c>
      <c r="H1922" s="13">
        <f t="shared" si="240"/>
        <v>-1.0275684203264746E-2</v>
      </c>
      <c r="I1922">
        <f t="shared" si="241"/>
        <v>152.6833319834208</v>
      </c>
      <c r="J1922" t="e">
        <f t="shared" si="236"/>
        <v>#NUM!</v>
      </c>
      <c r="K1922" s="27" t="e">
        <f t="shared" si="237"/>
        <v>#NUM!</v>
      </c>
    </row>
    <row r="1923" spans="1:11" x14ac:dyDescent="0.25">
      <c r="A1923" s="26">
        <v>1873</v>
      </c>
      <c r="B1923" s="82">
        <f t="shared" si="238"/>
        <v>0</v>
      </c>
      <c r="C1923" s="58">
        <f t="shared" si="234"/>
        <v>171.9194128119324</v>
      </c>
      <c r="D1923" s="83">
        <f t="shared" si="239"/>
        <v>733.33333333333326</v>
      </c>
      <c r="E1923">
        <f t="shared" si="235"/>
        <v>0</v>
      </c>
      <c r="G1923">
        <v>1873</v>
      </c>
      <c r="H1923" s="13">
        <f t="shared" si="240"/>
        <v>-1.0275684203264746E-2</v>
      </c>
      <c r="I1923">
        <f t="shared" si="241"/>
        <v>152.67305629921754</v>
      </c>
      <c r="J1923" t="e">
        <f t="shared" si="236"/>
        <v>#NUM!</v>
      </c>
      <c r="K1923" s="27" t="e">
        <f t="shared" si="237"/>
        <v>#NUM!</v>
      </c>
    </row>
    <row r="1924" spans="1:11" x14ac:dyDescent="0.25">
      <c r="A1924" s="26">
        <v>1874</v>
      </c>
      <c r="B1924" s="82">
        <f t="shared" si="238"/>
        <v>0</v>
      </c>
      <c r="C1924" s="58">
        <f t="shared" si="234"/>
        <v>171.9194128119324</v>
      </c>
      <c r="D1924" s="83">
        <f t="shared" si="239"/>
        <v>733.33333333333326</v>
      </c>
      <c r="E1924">
        <f t="shared" si="235"/>
        <v>0</v>
      </c>
      <c r="G1924">
        <v>1874</v>
      </c>
      <c r="H1924" s="13">
        <f t="shared" si="240"/>
        <v>-1.0275684203264746E-2</v>
      </c>
      <c r="I1924">
        <f t="shared" si="241"/>
        <v>152.66278061501427</v>
      </c>
      <c r="J1924" t="e">
        <f t="shared" si="236"/>
        <v>#NUM!</v>
      </c>
      <c r="K1924" s="27" t="e">
        <f t="shared" si="237"/>
        <v>#NUM!</v>
      </c>
    </row>
    <row r="1925" spans="1:11" x14ac:dyDescent="0.25">
      <c r="A1925" s="26">
        <v>1875</v>
      </c>
      <c r="B1925" s="82">
        <f t="shared" si="238"/>
        <v>0</v>
      </c>
      <c r="C1925" s="58">
        <f t="shared" si="234"/>
        <v>171.9194128119324</v>
      </c>
      <c r="D1925" s="83">
        <f t="shared" si="239"/>
        <v>733.33333333333326</v>
      </c>
      <c r="E1925">
        <f t="shared" si="235"/>
        <v>0</v>
      </c>
      <c r="G1925">
        <v>1875</v>
      </c>
      <c r="H1925" s="13">
        <f t="shared" si="240"/>
        <v>-1.0275684203264746E-2</v>
      </c>
      <c r="I1925">
        <f t="shared" si="241"/>
        <v>152.65250493081101</v>
      </c>
      <c r="J1925" t="e">
        <f t="shared" si="236"/>
        <v>#NUM!</v>
      </c>
      <c r="K1925" s="27" t="e">
        <f t="shared" si="237"/>
        <v>#NUM!</v>
      </c>
    </row>
    <row r="1926" spans="1:11" x14ac:dyDescent="0.25">
      <c r="A1926" s="26">
        <v>1876</v>
      </c>
      <c r="B1926" s="82">
        <f t="shared" si="238"/>
        <v>0</v>
      </c>
      <c r="C1926" s="58">
        <f t="shared" si="234"/>
        <v>171.9194128119324</v>
      </c>
      <c r="D1926" s="83">
        <f t="shared" si="239"/>
        <v>733.33333333333326</v>
      </c>
      <c r="E1926">
        <f t="shared" si="235"/>
        <v>0</v>
      </c>
      <c r="G1926">
        <v>1876</v>
      </c>
      <c r="H1926" s="13">
        <f t="shared" si="240"/>
        <v>-1.0275684203264746E-2</v>
      </c>
      <c r="I1926">
        <f t="shared" si="241"/>
        <v>152.64222924660774</v>
      </c>
      <c r="J1926" t="e">
        <f t="shared" si="236"/>
        <v>#NUM!</v>
      </c>
      <c r="K1926" s="27" t="e">
        <f t="shared" si="237"/>
        <v>#NUM!</v>
      </c>
    </row>
    <row r="1927" spans="1:11" x14ac:dyDescent="0.25">
      <c r="A1927" s="26">
        <v>1877</v>
      </c>
      <c r="B1927" s="82">
        <f t="shared" si="238"/>
        <v>0</v>
      </c>
      <c r="C1927" s="58">
        <f t="shared" si="234"/>
        <v>171.9194128119324</v>
      </c>
      <c r="D1927" s="83">
        <f t="shared" si="239"/>
        <v>733.33333333333326</v>
      </c>
      <c r="E1927">
        <f t="shared" si="235"/>
        <v>0</v>
      </c>
      <c r="G1927">
        <v>1877</v>
      </c>
      <c r="H1927" s="13">
        <f t="shared" si="240"/>
        <v>-1.0275684203264746E-2</v>
      </c>
      <c r="I1927">
        <f t="shared" si="241"/>
        <v>152.63195356240448</v>
      </c>
      <c r="J1927" t="e">
        <f t="shared" si="236"/>
        <v>#NUM!</v>
      </c>
      <c r="K1927" s="27" t="e">
        <f t="shared" si="237"/>
        <v>#NUM!</v>
      </c>
    </row>
    <row r="1928" spans="1:11" x14ac:dyDescent="0.25">
      <c r="A1928" s="26">
        <v>1878</v>
      </c>
      <c r="B1928" s="82">
        <f t="shared" si="238"/>
        <v>0</v>
      </c>
      <c r="C1928" s="58">
        <f t="shared" si="234"/>
        <v>171.9194128119324</v>
      </c>
      <c r="D1928" s="83">
        <f t="shared" si="239"/>
        <v>733.33333333333326</v>
      </c>
      <c r="E1928">
        <f t="shared" si="235"/>
        <v>0</v>
      </c>
      <c r="G1928">
        <v>1878</v>
      </c>
      <c r="H1928" s="13">
        <f t="shared" si="240"/>
        <v>-1.0275684203264746E-2</v>
      </c>
      <c r="I1928">
        <f t="shared" si="241"/>
        <v>152.62167787820121</v>
      </c>
      <c r="J1928" t="e">
        <f t="shared" si="236"/>
        <v>#NUM!</v>
      </c>
      <c r="K1928" s="27" t="e">
        <f t="shared" si="237"/>
        <v>#NUM!</v>
      </c>
    </row>
    <row r="1929" spans="1:11" x14ac:dyDescent="0.25">
      <c r="A1929" s="26">
        <v>1879</v>
      </c>
      <c r="B1929" s="82">
        <f t="shared" si="238"/>
        <v>0</v>
      </c>
      <c r="C1929" s="58">
        <f t="shared" si="234"/>
        <v>171.9194128119324</v>
      </c>
      <c r="D1929" s="83">
        <f t="shared" si="239"/>
        <v>733.33333333333326</v>
      </c>
      <c r="E1929">
        <f t="shared" si="235"/>
        <v>0</v>
      </c>
      <c r="G1929">
        <v>1879</v>
      </c>
      <c r="H1929" s="13">
        <f t="shared" si="240"/>
        <v>-1.0275684203264746E-2</v>
      </c>
      <c r="I1929">
        <f t="shared" si="241"/>
        <v>152.61140219399795</v>
      </c>
      <c r="J1929" t="e">
        <f t="shared" si="236"/>
        <v>#NUM!</v>
      </c>
      <c r="K1929" s="27" t="e">
        <f t="shared" si="237"/>
        <v>#NUM!</v>
      </c>
    </row>
    <row r="1930" spans="1:11" x14ac:dyDescent="0.25">
      <c r="A1930" s="26">
        <v>1880</v>
      </c>
      <c r="B1930" s="82">
        <f t="shared" si="238"/>
        <v>0</v>
      </c>
      <c r="C1930" s="58">
        <f t="shared" si="234"/>
        <v>171.9194128119324</v>
      </c>
      <c r="D1930" s="83">
        <f t="shared" si="239"/>
        <v>733.33333333333326</v>
      </c>
      <c r="E1930">
        <f t="shared" si="235"/>
        <v>0</v>
      </c>
      <c r="G1930">
        <v>1880</v>
      </c>
      <c r="H1930" s="13">
        <f t="shared" si="240"/>
        <v>-1.0275684203264746E-2</v>
      </c>
      <c r="I1930">
        <f t="shared" si="241"/>
        <v>152.60112650979468</v>
      </c>
      <c r="J1930" t="e">
        <f t="shared" si="236"/>
        <v>#NUM!</v>
      </c>
      <c r="K1930" s="27" t="e">
        <f t="shared" si="237"/>
        <v>#NUM!</v>
      </c>
    </row>
    <row r="1931" spans="1:11" x14ac:dyDescent="0.25">
      <c r="A1931" s="26">
        <v>1881</v>
      </c>
      <c r="B1931" s="82">
        <f t="shared" si="238"/>
        <v>0</v>
      </c>
      <c r="C1931" s="58">
        <f t="shared" si="234"/>
        <v>171.9194128119324</v>
      </c>
      <c r="D1931" s="83">
        <f t="shared" si="239"/>
        <v>733.33333333333326</v>
      </c>
      <c r="E1931">
        <f t="shared" si="235"/>
        <v>0</v>
      </c>
      <c r="G1931">
        <v>1881</v>
      </c>
      <c r="H1931" s="13">
        <f t="shared" si="240"/>
        <v>-1.0275684203264746E-2</v>
      </c>
      <c r="I1931">
        <f t="shared" si="241"/>
        <v>152.59085082559142</v>
      </c>
      <c r="J1931" t="e">
        <f t="shared" si="236"/>
        <v>#NUM!</v>
      </c>
      <c r="K1931" s="27" t="e">
        <f t="shared" si="237"/>
        <v>#NUM!</v>
      </c>
    </row>
    <row r="1932" spans="1:11" x14ac:dyDescent="0.25">
      <c r="A1932" s="26">
        <v>1882</v>
      </c>
      <c r="B1932" s="82">
        <f t="shared" si="238"/>
        <v>0</v>
      </c>
      <c r="C1932" s="58">
        <f t="shared" si="234"/>
        <v>171.9194128119324</v>
      </c>
      <c r="D1932" s="83">
        <f t="shared" si="239"/>
        <v>733.33333333333326</v>
      </c>
      <c r="E1932">
        <f t="shared" si="235"/>
        <v>0</v>
      </c>
      <c r="G1932">
        <v>1882</v>
      </c>
      <c r="H1932" s="13">
        <f t="shared" si="240"/>
        <v>-1.0275684203264746E-2</v>
      </c>
      <c r="I1932">
        <f t="shared" si="241"/>
        <v>152.58057514138815</v>
      </c>
      <c r="J1932" t="e">
        <f t="shared" si="236"/>
        <v>#NUM!</v>
      </c>
      <c r="K1932" s="27" t="e">
        <f t="shared" si="237"/>
        <v>#NUM!</v>
      </c>
    </row>
    <row r="1933" spans="1:11" x14ac:dyDescent="0.25">
      <c r="A1933" s="26">
        <v>1883</v>
      </c>
      <c r="B1933" s="82">
        <f t="shared" si="238"/>
        <v>0</v>
      </c>
      <c r="C1933" s="58">
        <f t="shared" si="234"/>
        <v>171.9194128119324</v>
      </c>
      <c r="D1933" s="83">
        <f t="shared" si="239"/>
        <v>733.33333333333326</v>
      </c>
      <c r="E1933">
        <f t="shared" si="235"/>
        <v>0</v>
      </c>
      <c r="G1933">
        <v>1883</v>
      </c>
      <c r="H1933" s="13">
        <f t="shared" si="240"/>
        <v>-1.0275684203264746E-2</v>
      </c>
      <c r="I1933">
        <f t="shared" si="241"/>
        <v>152.57029945718489</v>
      </c>
      <c r="J1933" t="e">
        <f t="shared" si="236"/>
        <v>#NUM!</v>
      </c>
      <c r="K1933" s="27" t="e">
        <f t="shared" si="237"/>
        <v>#NUM!</v>
      </c>
    </row>
    <row r="1934" spans="1:11" x14ac:dyDescent="0.25">
      <c r="A1934" s="26">
        <v>1884</v>
      </c>
      <c r="B1934" s="82">
        <f t="shared" si="238"/>
        <v>0</v>
      </c>
      <c r="C1934" s="58">
        <f t="shared" si="234"/>
        <v>171.9194128119324</v>
      </c>
      <c r="D1934" s="83">
        <f t="shared" si="239"/>
        <v>733.33333333333326</v>
      </c>
      <c r="E1934">
        <f t="shared" si="235"/>
        <v>0</v>
      </c>
      <c r="G1934">
        <v>1884</v>
      </c>
      <c r="H1934" s="13">
        <f t="shared" si="240"/>
        <v>-1.0275684203264746E-2</v>
      </c>
      <c r="I1934">
        <f t="shared" si="241"/>
        <v>152.56002377298162</v>
      </c>
      <c r="J1934" t="e">
        <f t="shared" si="236"/>
        <v>#NUM!</v>
      </c>
      <c r="K1934" s="27" t="e">
        <f t="shared" si="237"/>
        <v>#NUM!</v>
      </c>
    </row>
    <row r="1935" spans="1:11" x14ac:dyDescent="0.25">
      <c r="A1935" s="26">
        <v>1885</v>
      </c>
      <c r="B1935" s="82">
        <f t="shared" si="238"/>
        <v>0</v>
      </c>
      <c r="C1935" s="58">
        <f t="shared" si="234"/>
        <v>171.9194128119324</v>
      </c>
      <c r="D1935" s="83">
        <f t="shared" si="239"/>
        <v>733.33333333333326</v>
      </c>
      <c r="E1935">
        <f t="shared" si="235"/>
        <v>0</v>
      </c>
      <c r="G1935">
        <v>1885</v>
      </c>
      <c r="H1935" s="13">
        <f t="shared" si="240"/>
        <v>-1.0275684203264746E-2</v>
      </c>
      <c r="I1935">
        <f t="shared" si="241"/>
        <v>152.54974808877836</v>
      </c>
      <c r="J1935" t="e">
        <f t="shared" si="236"/>
        <v>#NUM!</v>
      </c>
      <c r="K1935" s="27" t="e">
        <f t="shared" si="237"/>
        <v>#NUM!</v>
      </c>
    </row>
    <row r="1936" spans="1:11" x14ac:dyDescent="0.25">
      <c r="A1936" s="26">
        <v>1886</v>
      </c>
      <c r="B1936" s="82">
        <f t="shared" si="238"/>
        <v>0</v>
      </c>
      <c r="C1936" s="58">
        <f t="shared" ref="C1936:C1999" si="242">($C$37-$C$36)/2000+C1935</f>
        <v>171.9194128119324</v>
      </c>
      <c r="D1936" s="83">
        <f t="shared" si="239"/>
        <v>733.33333333333326</v>
      </c>
      <c r="E1936">
        <f t="shared" si="235"/>
        <v>0</v>
      </c>
      <c r="G1936">
        <v>1886</v>
      </c>
      <c r="H1936" s="13">
        <f t="shared" si="240"/>
        <v>-1.0275684203264746E-2</v>
      </c>
      <c r="I1936">
        <f t="shared" si="241"/>
        <v>152.53947240457509</v>
      </c>
      <c r="J1936" t="e">
        <f t="shared" si="236"/>
        <v>#NUM!</v>
      </c>
      <c r="K1936" s="27" t="e">
        <f t="shared" si="237"/>
        <v>#NUM!</v>
      </c>
    </row>
    <row r="1937" spans="1:11" x14ac:dyDescent="0.25">
      <c r="A1937" s="26">
        <v>1887</v>
      </c>
      <c r="B1937" s="82">
        <f t="shared" si="238"/>
        <v>0</v>
      </c>
      <c r="C1937" s="58">
        <f t="shared" si="242"/>
        <v>171.9194128119324</v>
      </c>
      <c r="D1937" s="83">
        <f t="shared" si="239"/>
        <v>733.33333333333326</v>
      </c>
      <c r="E1937">
        <f t="shared" si="235"/>
        <v>0</v>
      </c>
      <c r="G1937">
        <v>1887</v>
      </c>
      <c r="H1937" s="13">
        <f t="shared" si="240"/>
        <v>-1.0275684203264746E-2</v>
      </c>
      <c r="I1937">
        <f t="shared" si="241"/>
        <v>152.52919672037183</v>
      </c>
      <c r="J1937" t="e">
        <f t="shared" si="236"/>
        <v>#NUM!</v>
      </c>
      <c r="K1937" s="27" t="e">
        <f t="shared" si="237"/>
        <v>#NUM!</v>
      </c>
    </row>
    <row r="1938" spans="1:11" x14ac:dyDescent="0.25">
      <c r="A1938" s="26">
        <v>1888</v>
      </c>
      <c r="B1938" s="82">
        <f t="shared" si="238"/>
        <v>0</v>
      </c>
      <c r="C1938" s="58">
        <f t="shared" si="242"/>
        <v>171.9194128119324</v>
      </c>
      <c r="D1938" s="83">
        <f t="shared" si="239"/>
        <v>733.33333333333326</v>
      </c>
      <c r="E1938">
        <f t="shared" si="235"/>
        <v>0</v>
      </c>
      <c r="G1938">
        <v>1888</v>
      </c>
      <c r="H1938" s="13">
        <f t="shared" si="240"/>
        <v>-1.0275684203264746E-2</v>
      </c>
      <c r="I1938">
        <f t="shared" si="241"/>
        <v>152.51892103616856</v>
      </c>
      <c r="J1938" t="e">
        <f t="shared" si="236"/>
        <v>#NUM!</v>
      </c>
      <c r="K1938" s="27" t="e">
        <f t="shared" si="237"/>
        <v>#NUM!</v>
      </c>
    </row>
    <row r="1939" spans="1:11" x14ac:dyDescent="0.25">
      <c r="A1939" s="26">
        <v>1889</v>
      </c>
      <c r="B1939" s="82">
        <f t="shared" si="238"/>
        <v>0</v>
      </c>
      <c r="C1939" s="58">
        <f t="shared" si="242"/>
        <v>171.9194128119324</v>
      </c>
      <c r="D1939" s="83">
        <f t="shared" si="239"/>
        <v>733.33333333333326</v>
      </c>
      <c r="E1939">
        <f t="shared" si="235"/>
        <v>0</v>
      </c>
      <c r="G1939">
        <v>1889</v>
      </c>
      <c r="H1939" s="13">
        <f t="shared" si="240"/>
        <v>-1.0275684203264746E-2</v>
      </c>
      <c r="I1939">
        <f t="shared" si="241"/>
        <v>152.5086453519653</v>
      </c>
      <c r="J1939" t="e">
        <f t="shared" si="236"/>
        <v>#NUM!</v>
      </c>
      <c r="K1939" s="27" t="e">
        <f t="shared" si="237"/>
        <v>#NUM!</v>
      </c>
    </row>
    <row r="1940" spans="1:11" x14ac:dyDescent="0.25">
      <c r="A1940" s="26">
        <v>1890</v>
      </c>
      <c r="B1940" s="82">
        <f t="shared" si="238"/>
        <v>0</v>
      </c>
      <c r="C1940" s="58">
        <f t="shared" si="242"/>
        <v>171.9194128119324</v>
      </c>
      <c r="D1940" s="83">
        <f t="shared" si="239"/>
        <v>733.33333333333326</v>
      </c>
      <c r="E1940">
        <f t="shared" si="235"/>
        <v>0</v>
      </c>
      <c r="G1940">
        <v>1890</v>
      </c>
      <c r="H1940" s="13">
        <f t="shared" si="240"/>
        <v>-1.0275684203264746E-2</v>
      </c>
      <c r="I1940">
        <f t="shared" si="241"/>
        <v>152.49836966776203</v>
      </c>
      <c r="J1940" t="e">
        <f t="shared" si="236"/>
        <v>#NUM!</v>
      </c>
      <c r="K1940" s="27" t="e">
        <f t="shared" si="237"/>
        <v>#NUM!</v>
      </c>
    </row>
    <row r="1941" spans="1:11" x14ac:dyDescent="0.25">
      <c r="A1941" s="26">
        <v>1891</v>
      </c>
      <c r="B1941" s="82">
        <f t="shared" si="238"/>
        <v>0</v>
      </c>
      <c r="C1941" s="58">
        <f t="shared" si="242"/>
        <v>171.9194128119324</v>
      </c>
      <c r="D1941" s="83">
        <f t="shared" si="239"/>
        <v>733.33333333333326</v>
      </c>
      <c r="E1941">
        <f t="shared" si="235"/>
        <v>0</v>
      </c>
      <c r="G1941">
        <v>1891</v>
      </c>
      <c r="H1941" s="13">
        <f t="shared" si="240"/>
        <v>-1.0275684203264746E-2</v>
      </c>
      <c r="I1941">
        <f t="shared" si="241"/>
        <v>152.48809398355877</v>
      </c>
      <c r="J1941" t="e">
        <f t="shared" si="236"/>
        <v>#NUM!</v>
      </c>
      <c r="K1941" s="27" t="e">
        <f t="shared" si="237"/>
        <v>#NUM!</v>
      </c>
    </row>
    <row r="1942" spans="1:11" x14ac:dyDescent="0.25">
      <c r="A1942" s="26">
        <v>1892</v>
      </c>
      <c r="B1942" s="82">
        <f t="shared" si="238"/>
        <v>0</v>
      </c>
      <c r="C1942" s="58">
        <f t="shared" si="242"/>
        <v>171.9194128119324</v>
      </c>
      <c r="D1942" s="83">
        <f t="shared" si="239"/>
        <v>733.33333333333326</v>
      </c>
      <c r="E1942">
        <f t="shared" si="235"/>
        <v>0</v>
      </c>
      <c r="G1942">
        <v>1892</v>
      </c>
      <c r="H1942" s="13">
        <f t="shared" si="240"/>
        <v>-1.0275684203264746E-2</v>
      </c>
      <c r="I1942">
        <f t="shared" si="241"/>
        <v>152.4778182993555</v>
      </c>
      <c r="J1942" t="e">
        <f t="shared" si="236"/>
        <v>#NUM!</v>
      </c>
      <c r="K1942" s="27" t="e">
        <f t="shared" si="237"/>
        <v>#NUM!</v>
      </c>
    </row>
    <row r="1943" spans="1:11" x14ac:dyDescent="0.25">
      <c r="A1943" s="26">
        <v>1893</v>
      </c>
      <c r="B1943" s="82">
        <f t="shared" si="238"/>
        <v>0</v>
      </c>
      <c r="C1943" s="58">
        <f t="shared" si="242"/>
        <v>171.9194128119324</v>
      </c>
      <c r="D1943" s="83">
        <f t="shared" si="239"/>
        <v>733.33333333333326</v>
      </c>
      <c r="E1943">
        <f t="shared" si="235"/>
        <v>0</v>
      </c>
      <c r="G1943">
        <v>1893</v>
      </c>
      <c r="H1943" s="13">
        <f t="shared" si="240"/>
        <v>-1.0275684203264746E-2</v>
      </c>
      <c r="I1943">
        <f t="shared" si="241"/>
        <v>152.46754261515224</v>
      </c>
      <c r="J1943" t="e">
        <f t="shared" si="236"/>
        <v>#NUM!</v>
      </c>
      <c r="K1943" s="27" t="e">
        <f t="shared" si="237"/>
        <v>#NUM!</v>
      </c>
    </row>
    <row r="1944" spans="1:11" x14ac:dyDescent="0.25">
      <c r="A1944" s="26">
        <v>1894</v>
      </c>
      <c r="B1944" s="82">
        <f t="shared" si="238"/>
        <v>0</v>
      </c>
      <c r="C1944" s="58">
        <f t="shared" si="242"/>
        <v>171.9194128119324</v>
      </c>
      <c r="D1944" s="83">
        <f t="shared" si="239"/>
        <v>733.33333333333326</v>
      </c>
      <c r="E1944">
        <f t="shared" si="235"/>
        <v>0</v>
      </c>
      <c r="G1944">
        <v>1894</v>
      </c>
      <c r="H1944" s="13">
        <f t="shared" si="240"/>
        <v>-1.0275684203264746E-2</v>
      </c>
      <c r="I1944">
        <f t="shared" si="241"/>
        <v>152.45726693094898</v>
      </c>
      <c r="J1944" t="e">
        <f t="shared" si="236"/>
        <v>#NUM!</v>
      </c>
      <c r="K1944" s="27" t="e">
        <f t="shared" si="237"/>
        <v>#NUM!</v>
      </c>
    </row>
    <row r="1945" spans="1:11" x14ac:dyDescent="0.25">
      <c r="A1945" s="26">
        <v>1895</v>
      </c>
      <c r="B1945" s="82">
        <f t="shared" si="238"/>
        <v>0</v>
      </c>
      <c r="C1945" s="58">
        <f t="shared" si="242"/>
        <v>171.9194128119324</v>
      </c>
      <c r="D1945" s="83">
        <f t="shared" si="239"/>
        <v>733.33333333333326</v>
      </c>
      <c r="E1945">
        <f t="shared" si="235"/>
        <v>0</v>
      </c>
      <c r="G1945">
        <v>1895</v>
      </c>
      <c r="H1945" s="13">
        <f t="shared" si="240"/>
        <v>-1.0275684203264746E-2</v>
      </c>
      <c r="I1945">
        <f t="shared" si="241"/>
        <v>152.44699124674571</v>
      </c>
      <c r="J1945" t="e">
        <f t="shared" si="236"/>
        <v>#NUM!</v>
      </c>
      <c r="K1945" s="27" t="e">
        <f t="shared" si="237"/>
        <v>#NUM!</v>
      </c>
    </row>
    <row r="1946" spans="1:11" x14ac:dyDescent="0.25">
      <c r="A1946" s="26">
        <v>1896</v>
      </c>
      <c r="B1946" s="82">
        <f t="shared" si="238"/>
        <v>0</v>
      </c>
      <c r="C1946" s="58">
        <f t="shared" si="242"/>
        <v>171.9194128119324</v>
      </c>
      <c r="D1946" s="83">
        <f t="shared" si="239"/>
        <v>733.33333333333326</v>
      </c>
      <c r="E1946">
        <f t="shared" si="235"/>
        <v>0</v>
      </c>
      <c r="G1946">
        <v>1896</v>
      </c>
      <c r="H1946" s="13">
        <f t="shared" si="240"/>
        <v>-1.0275684203264746E-2</v>
      </c>
      <c r="I1946">
        <f t="shared" si="241"/>
        <v>152.43671556254245</v>
      </c>
      <c r="J1946" t="e">
        <f t="shared" si="236"/>
        <v>#NUM!</v>
      </c>
      <c r="K1946" s="27" t="e">
        <f t="shared" si="237"/>
        <v>#NUM!</v>
      </c>
    </row>
    <row r="1947" spans="1:11" x14ac:dyDescent="0.25">
      <c r="A1947" s="26">
        <v>1897</v>
      </c>
      <c r="B1947" s="82">
        <f t="shared" si="238"/>
        <v>0</v>
      </c>
      <c r="C1947" s="58">
        <f t="shared" si="242"/>
        <v>171.9194128119324</v>
      </c>
      <c r="D1947" s="83">
        <f t="shared" si="239"/>
        <v>733.33333333333326</v>
      </c>
      <c r="E1947">
        <f t="shared" si="235"/>
        <v>0</v>
      </c>
      <c r="G1947">
        <v>1897</v>
      </c>
      <c r="H1947" s="13">
        <f t="shared" si="240"/>
        <v>-1.0275684203264746E-2</v>
      </c>
      <c r="I1947">
        <f t="shared" si="241"/>
        <v>152.42643987833918</v>
      </c>
      <c r="J1947" t="e">
        <f t="shared" si="236"/>
        <v>#NUM!</v>
      </c>
      <c r="K1947" s="27" t="e">
        <f t="shared" si="237"/>
        <v>#NUM!</v>
      </c>
    </row>
    <row r="1948" spans="1:11" x14ac:dyDescent="0.25">
      <c r="A1948" s="26">
        <v>1898</v>
      </c>
      <c r="B1948" s="82">
        <f t="shared" si="238"/>
        <v>0</v>
      </c>
      <c r="C1948" s="58">
        <f t="shared" si="242"/>
        <v>171.9194128119324</v>
      </c>
      <c r="D1948" s="83">
        <f t="shared" si="239"/>
        <v>733.33333333333326</v>
      </c>
      <c r="E1948">
        <f t="shared" si="235"/>
        <v>0</v>
      </c>
      <c r="G1948">
        <v>1898</v>
      </c>
      <c r="H1948" s="13">
        <f t="shared" si="240"/>
        <v>-1.0275684203264746E-2</v>
      </c>
      <c r="I1948">
        <f t="shared" si="241"/>
        <v>152.41616419413592</v>
      </c>
      <c r="J1948" t="e">
        <f t="shared" si="236"/>
        <v>#NUM!</v>
      </c>
      <c r="K1948" s="27" t="e">
        <f t="shared" si="237"/>
        <v>#NUM!</v>
      </c>
    </row>
    <row r="1949" spans="1:11" x14ac:dyDescent="0.25">
      <c r="A1949" s="26">
        <v>1899</v>
      </c>
      <c r="B1949" s="82">
        <f t="shared" si="238"/>
        <v>0</v>
      </c>
      <c r="C1949" s="58">
        <f t="shared" si="242"/>
        <v>171.9194128119324</v>
      </c>
      <c r="D1949" s="83">
        <f t="shared" si="239"/>
        <v>733.33333333333326</v>
      </c>
      <c r="E1949">
        <f t="shared" si="235"/>
        <v>0</v>
      </c>
      <c r="G1949">
        <v>1899</v>
      </c>
      <c r="H1949" s="13">
        <f t="shared" si="240"/>
        <v>-1.0275684203264746E-2</v>
      </c>
      <c r="I1949">
        <f t="shared" si="241"/>
        <v>152.40588850993265</v>
      </c>
      <c r="J1949" t="e">
        <f t="shared" si="236"/>
        <v>#NUM!</v>
      </c>
      <c r="K1949" s="27" t="e">
        <f t="shared" si="237"/>
        <v>#NUM!</v>
      </c>
    </row>
    <row r="1950" spans="1:11" x14ac:dyDescent="0.25">
      <c r="A1950" s="26">
        <v>1900</v>
      </c>
      <c r="B1950" s="82">
        <f t="shared" si="238"/>
        <v>0</v>
      </c>
      <c r="C1950" s="58">
        <f t="shared" si="242"/>
        <v>171.9194128119324</v>
      </c>
      <c r="D1950" s="83">
        <f t="shared" si="239"/>
        <v>733.33333333333326</v>
      </c>
      <c r="E1950">
        <f t="shared" si="235"/>
        <v>0</v>
      </c>
      <c r="G1950">
        <v>1900</v>
      </c>
      <c r="H1950" s="13">
        <f t="shared" si="240"/>
        <v>-1.0275684203264746E-2</v>
      </c>
      <c r="I1950">
        <f t="shared" si="241"/>
        <v>152.39561282572939</v>
      </c>
      <c r="J1950" t="e">
        <f t="shared" si="236"/>
        <v>#NUM!</v>
      </c>
      <c r="K1950" s="27" t="e">
        <f t="shared" si="237"/>
        <v>#NUM!</v>
      </c>
    </row>
    <row r="1951" spans="1:11" x14ac:dyDescent="0.25">
      <c r="A1951" s="26">
        <v>1901</v>
      </c>
      <c r="B1951" s="82">
        <f t="shared" si="238"/>
        <v>0</v>
      </c>
      <c r="C1951" s="58">
        <f t="shared" si="242"/>
        <v>171.9194128119324</v>
      </c>
      <c r="D1951" s="83">
        <f t="shared" si="239"/>
        <v>733.33333333333326</v>
      </c>
      <c r="E1951">
        <f t="shared" si="235"/>
        <v>0</v>
      </c>
      <c r="G1951">
        <v>1901</v>
      </c>
      <c r="H1951" s="13">
        <f t="shared" si="240"/>
        <v>-1.0275684203264746E-2</v>
      </c>
      <c r="I1951">
        <f t="shared" si="241"/>
        <v>152.38533714152612</v>
      </c>
      <c r="J1951" t="e">
        <f t="shared" si="236"/>
        <v>#NUM!</v>
      </c>
      <c r="K1951" s="27" t="e">
        <f t="shared" si="237"/>
        <v>#NUM!</v>
      </c>
    </row>
    <row r="1952" spans="1:11" x14ac:dyDescent="0.25">
      <c r="A1952" s="26">
        <v>1902</v>
      </c>
      <c r="B1952" s="82">
        <f t="shared" si="238"/>
        <v>0</v>
      </c>
      <c r="C1952" s="58">
        <f t="shared" si="242"/>
        <v>171.9194128119324</v>
      </c>
      <c r="D1952" s="83">
        <f t="shared" si="239"/>
        <v>733.33333333333326</v>
      </c>
      <c r="E1952">
        <f t="shared" si="235"/>
        <v>0</v>
      </c>
      <c r="G1952">
        <v>1902</v>
      </c>
      <c r="H1952" s="13">
        <f t="shared" si="240"/>
        <v>-1.0275684203264746E-2</v>
      </c>
      <c r="I1952">
        <f t="shared" si="241"/>
        <v>152.37506145732286</v>
      </c>
      <c r="J1952" t="e">
        <f t="shared" si="236"/>
        <v>#NUM!</v>
      </c>
      <c r="K1952" s="27" t="e">
        <f t="shared" si="237"/>
        <v>#NUM!</v>
      </c>
    </row>
    <row r="1953" spans="1:11" x14ac:dyDescent="0.25">
      <c r="A1953" s="26">
        <v>1903</v>
      </c>
      <c r="B1953" s="82">
        <f t="shared" si="238"/>
        <v>0</v>
      </c>
      <c r="C1953" s="58">
        <f t="shared" si="242"/>
        <v>171.9194128119324</v>
      </c>
      <c r="D1953" s="83">
        <f t="shared" si="239"/>
        <v>733.33333333333326</v>
      </c>
      <c r="E1953">
        <f t="shared" si="235"/>
        <v>0</v>
      </c>
      <c r="G1953">
        <v>1903</v>
      </c>
      <c r="H1953" s="13">
        <f t="shared" si="240"/>
        <v>-1.0275684203264746E-2</v>
      </c>
      <c r="I1953">
        <f t="shared" si="241"/>
        <v>152.36478577311959</v>
      </c>
      <c r="J1953" t="e">
        <f t="shared" si="236"/>
        <v>#NUM!</v>
      </c>
      <c r="K1953" s="27" t="e">
        <f t="shared" si="237"/>
        <v>#NUM!</v>
      </c>
    </row>
    <row r="1954" spans="1:11" x14ac:dyDescent="0.25">
      <c r="A1954" s="26">
        <v>1904</v>
      </c>
      <c r="B1954" s="82">
        <f t="shared" si="238"/>
        <v>0</v>
      </c>
      <c r="C1954" s="58">
        <f t="shared" si="242"/>
        <v>171.9194128119324</v>
      </c>
      <c r="D1954" s="83">
        <f t="shared" si="239"/>
        <v>733.33333333333326</v>
      </c>
      <c r="E1954">
        <f t="shared" si="235"/>
        <v>0</v>
      </c>
      <c r="G1954">
        <v>1904</v>
      </c>
      <c r="H1954" s="13">
        <f t="shared" si="240"/>
        <v>-1.0275684203264746E-2</v>
      </c>
      <c r="I1954">
        <f t="shared" si="241"/>
        <v>152.35451008891633</v>
      </c>
      <c r="J1954" t="e">
        <f t="shared" si="236"/>
        <v>#NUM!</v>
      </c>
      <c r="K1954" s="27" t="e">
        <f t="shared" si="237"/>
        <v>#NUM!</v>
      </c>
    </row>
    <row r="1955" spans="1:11" x14ac:dyDescent="0.25">
      <c r="A1955" s="26">
        <v>1905</v>
      </c>
      <c r="B1955" s="82">
        <f t="shared" si="238"/>
        <v>0</v>
      </c>
      <c r="C1955" s="58">
        <f t="shared" si="242"/>
        <v>171.9194128119324</v>
      </c>
      <c r="D1955" s="83">
        <f t="shared" si="239"/>
        <v>733.33333333333326</v>
      </c>
      <c r="E1955">
        <f t="shared" si="235"/>
        <v>0</v>
      </c>
      <c r="G1955">
        <v>1905</v>
      </c>
      <c r="H1955" s="13">
        <f t="shared" si="240"/>
        <v>-1.0275684203264746E-2</v>
      </c>
      <c r="I1955">
        <f t="shared" si="241"/>
        <v>152.34423440471306</v>
      </c>
      <c r="J1955" t="e">
        <f t="shared" si="236"/>
        <v>#NUM!</v>
      </c>
      <c r="K1955" s="27" t="e">
        <f t="shared" si="237"/>
        <v>#NUM!</v>
      </c>
    </row>
    <row r="1956" spans="1:11" x14ac:dyDescent="0.25">
      <c r="A1956" s="26">
        <v>1906</v>
      </c>
      <c r="B1956" s="82">
        <f t="shared" si="238"/>
        <v>0</v>
      </c>
      <c r="C1956" s="58">
        <f t="shared" si="242"/>
        <v>171.9194128119324</v>
      </c>
      <c r="D1956" s="83">
        <f t="shared" si="239"/>
        <v>733.33333333333326</v>
      </c>
      <c r="E1956">
        <f t="shared" si="235"/>
        <v>0</v>
      </c>
      <c r="G1956">
        <v>1906</v>
      </c>
      <c r="H1956" s="13">
        <f t="shared" si="240"/>
        <v>-1.0275684203264746E-2</v>
      </c>
      <c r="I1956">
        <f t="shared" si="241"/>
        <v>152.3339587205098</v>
      </c>
      <c r="J1956" t="e">
        <f t="shared" si="236"/>
        <v>#NUM!</v>
      </c>
      <c r="K1956" s="27" t="e">
        <f t="shared" si="237"/>
        <v>#NUM!</v>
      </c>
    </row>
    <row r="1957" spans="1:11" x14ac:dyDescent="0.25">
      <c r="A1957" s="26">
        <v>1907</v>
      </c>
      <c r="B1957" s="82">
        <f t="shared" si="238"/>
        <v>0</v>
      </c>
      <c r="C1957" s="58">
        <f t="shared" si="242"/>
        <v>171.9194128119324</v>
      </c>
      <c r="D1957" s="83">
        <f t="shared" si="239"/>
        <v>733.33333333333326</v>
      </c>
      <c r="E1957">
        <f t="shared" si="235"/>
        <v>0</v>
      </c>
      <c r="G1957">
        <v>1907</v>
      </c>
      <c r="H1957" s="13">
        <f t="shared" si="240"/>
        <v>-1.0275684203264746E-2</v>
      </c>
      <c r="I1957">
        <f t="shared" si="241"/>
        <v>152.32368303630653</v>
      </c>
      <c r="J1957" t="e">
        <f t="shared" si="236"/>
        <v>#NUM!</v>
      </c>
      <c r="K1957" s="27" t="e">
        <f t="shared" si="237"/>
        <v>#NUM!</v>
      </c>
    </row>
    <row r="1958" spans="1:11" x14ac:dyDescent="0.25">
      <c r="A1958" s="26">
        <v>1908</v>
      </c>
      <c r="B1958" s="82">
        <f t="shared" si="238"/>
        <v>0</v>
      </c>
      <c r="C1958" s="58">
        <f t="shared" si="242"/>
        <v>171.9194128119324</v>
      </c>
      <c r="D1958" s="83">
        <f t="shared" si="239"/>
        <v>733.33333333333326</v>
      </c>
      <c r="E1958">
        <f t="shared" si="235"/>
        <v>0</v>
      </c>
      <c r="G1958">
        <v>1908</v>
      </c>
      <c r="H1958" s="13">
        <f t="shared" si="240"/>
        <v>-1.0275684203264746E-2</v>
      </c>
      <c r="I1958">
        <f t="shared" si="241"/>
        <v>152.31340735210327</v>
      </c>
      <c r="J1958" t="e">
        <f t="shared" si="236"/>
        <v>#NUM!</v>
      </c>
      <c r="K1958" s="27" t="e">
        <f t="shared" si="237"/>
        <v>#NUM!</v>
      </c>
    </row>
    <row r="1959" spans="1:11" x14ac:dyDescent="0.25">
      <c r="A1959" s="26">
        <v>1909</v>
      </c>
      <c r="B1959" s="82">
        <f t="shared" si="238"/>
        <v>0</v>
      </c>
      <c r="C1959" s="58">
        <f t="shared" si="242"/>
        <v>171.9194128119324</v>
      </c>
      <c r="D1959" s="83">
        <f t="shared" si="239"/>
        <v>733.33333333333326</v>
      </c>
      <c r="E1959">
        <f t="shared" si="235"/>
        <v>0</v>
      </c>
      <c r="G1959">
        <v>1909</v>
      </c>
      <c r="H1959" s="13">
        <f t="shared" si="240"/>
        <v>-1.0275684203264746E-2</v>
      </c>
      <c r="I1959">
        <f t="shared" si="241"/>
        <v>152.3031316679</v>
      </c>
      <c r="J1959" t="e">
        <f t="shared" si="236"/>
        <v>#NUM!</v>
      </c>
      <c r="K1959" s="27" t="e">
        <f t="shared" si="237"/>
        <v>#NUM!</v>
      </c>
    </row>
    <row r="1960" spans="1:11" x14ac:dyDescent="0.25">
      <c r="A1960" s="26">
        <v>1910</v>
      </c>
      <c r="B1960" s="82">
        <f t="shared" si="238"/>
        <v>0</v>
      </c>
      <c r="C1960" s="58">
        <f t="shared" si="242"/>
        <v>171.9194128119324</v>
      </c>
      <c r="D1960" s="83">
        <f t="shared" si="239"/>
        <v>733.33333333333326</v>
      </c>
      <c r="E1960">
        <f t="shared" si="235"/>
        <v>0</v>
      </c>
      <c r="G1960">
        <v>1910</v>
      </c>
      <c r="H1960" s="13">
        <f t="shared" si="240"/>
        <v>-1.0275684203264746E-2</v>
      </c>
      <c r="I1960">
        <f t="shared" si="241"/>
        <v>152.29285598369674</v>
      </c>
      <c r="J1960" t="e">
        <f t="shared" si="236"/>
        <v>#NUM!</v>
      </c>
      <c r="K1960" s="27" t="e">
        <f t="shared" si="237"/>
        <v>#NUM!</v>
      </c>
    </row>
    <row r="1961" spans="1:11" x14ac:dyDescent="0.25">
      <c r="A1961" s="26">
        <v>1911</v>
      </c>
      <c r="B1961" s="82">
        <f t="shared" si="238"/>
        <v>0</v>
      </c>
      <c r="C1961" s="58">
        <f t="shared" si="242"/>
        <v>171.9194128119324</v>
      </c>
      <c r="D1961" s="83">
        <f t="shared" si="239"/>
        <v>733.33333333333326</v>
      </c>
      <c r="E1961">
        <f t="shared" si="235"/>
        <v>0</v>
      </c>
      <c r="G1961">
        <v>1911</v>
      </c>
      <c r="H1961" s="13">
        <f t="shared" si="240"/>
        <v>-1.0275684203264746E-2</v>
      </c>
      <c r="I1961">
        <f t="shared" si="241"/>
        <v>152.28258029949347</v>
      </c>
      <c r="J1961" t="e">
        <f t="shared" si="236"/>
        <v>#NUM!</v>
      </c>
      <c r="K1961" s="27" t="e">
        <f t="shared" si="237"/>
        <v>#NUM!</v>
      </c>
    </row>
    <row r="1962" spans="1:11" x14ac:dyDescent="0.25">
      <c r="A1962" s="26">
        <v>1912</v>
      </c>
      <c r="B1962" s="82">
        <f t="shared" si="238"/>
        <v>0</v>
      </c>
      <c r="C1962" s="58">
        <f t="shared" si="242"/>
        <v>171.9194128119324</v>
      </c>
      <c r="D1962" s="83">
        <f t="shared" si="239"/>
        <v>733.33333333333326</v>
      </c>
      <c r="E1962">
        <f t="shared" si="235"/>
        <v>0</v>
      </c>
      <c r="G1962">
        <v>1912</v>
      </c>
      <c r="H1962" s="13">
        <f t="shared" si="240"/>
        <v>-1.0275684203264746E-2</v>
      </c>
      <c r="I1962">
        <f t="shared" si="241"/>
        <v>152.27230461529021</v>
      </c>
      <c r="J1962" t="e">
        <f t="shared" si="236"/>
        <v>#NUM!</v>
      </c>
      <c r="K1962" s="27" t="e">
        <f t="shared" si="237"/>
        <v>#NUM!</v>
      </c>
    </row>
    <row r="1963" spans="1:11" x14ac:dyDescent="0.25">
      <c r="A1963" s="26">
        <v>1913</v>
      </c>
      <c r="B1963" s="82">
        <f t="shared" si="238"/>
        <v>0</v>
      </c>
      <c r="C1963" s="58">
        <f t="shared" si="242"/>
        <v>171.9194128119324</v>
      </c>
      <c r="D1963" s="83">
        <f t="shared" si="239"/>
        <v>733.33333333333326</v>
      </c>
      <c r="E1963">
        <f t="shared" si="235"/>
        <v>0</v>
      </c>
      <c r="G1963">
        <v>1913</v>
      </c>
      <c r="H1963" s="13">
        <f t="shared" si="240"/>
        <v>-1.0275684203264746E-2</v>
      </c>
      <c r="I1963">
        <f t="shared" si="241"/>
        <v>152.26202893108695</v>
      </c>
      <c r="J1963" t="e">
        <f t="shared" si="236"/>
        <v>#NUM!</v>
      </c>
      <c r="K1963" s="27" t="e">
        <f t="shared" si="237"/>
        <v>#NUM!</v>
      </c>
    </row>
    <row r="1964" spans="1:11" x14ac:dyDescent="0.25">
      <c r="A1964" s="26">
        <v>1914</v>
      </c>
      <c r="B1964" s="82">
        <f t="shared" si="238"/>
        <v>0</v>
      </c>
      <c r="C1964" s="58">
        <f t="shared" si="242"/>
        <v>171.9194128119324</v>
      </c>
      <c r="D1964" s="83">
        <f t="shared" si="239"/>
        <v>733.33333333333326</v>
      </c>
      <c r="E1964">
        <f t="shared" si="235"/>
        <v>0</v>
      </c>
      <c r="G1964">
        <v>1914</v>
      </c>
      <c r="H1964" s="13">
        <f t="shared" si="240"/>
        <v>-1.0275684203264746E-2</v>
      </c>
      <c r="I1964">
        <f t="shared" si="241"/>
        <v>152.25175324688368</v>
      </c>
      <c r="J1964" t="e">
        <f t="shared" si="236"/>
        <v>#NUM!</v>
      </c>
      <c r="K1964" s="27" t="e">
        <f t="shared" si="237"/>
        <v>#NUM!</v>
      </c>
    </row>
    <row r="1965" spans="1:11" x14ac:dyDescent="0.25">
      <c r="A1965" s="26">
        <v>1915</v>
      </c>
      <c r="B1965" s="82">
        <f t="shared" si="238"/>
        <v>0</v>
      </c>
      <c r="C1965" s="58">
        <f t="shared" si="242"/>
        <v>171.9194128119324</v>
      </c>
      <c r="D1965" s="83">
        <f t="shared" si="239"/>
        <v>733.33333333333326</v>
      </c>
      <c r="E1965">
        <f t="shared" si="235"/>
        <v>0</v>
      </c>
      <c r="G1965">
        <v>1915</v>
      </c>
      <c r="H1965" s="13">
        <f t="shared" si="240"/>
        <v>-1.0275684203264746E-2</v>
      </c>
      <c r="I1965">
        <f t="shared" si="241"/>
        <v>152.24147756268042</v>
      </c>
      <c r="J1965" t="e">
        <f t="shared" si="236"/>
        <v>#NUM!</v>
      </c>
      <c r="K1965" s="27" t="e">
        <f t="shared" si="237"/>
        <v>#NUM!</v>
      </c>
    </row>
    <row r="1966" spans="1:11" x14ac:dyDescent="0.25">
      <c r="A1966" s="26">
        <v>1916</v>
      </c>
      <c r="B1966" s="82">
        <f t="shared" si="238"/>
        <v>0</v>
      </c>
      <c r="C1966" s="58">
        <f t="shared" si="242"/>
        <v>171.9194128119324</v>
      </c>
      <c r="D1966" s="83">
        <f t="shared" si="239"/>
        <v>733.33333333333326</v>
      </c>
      <c r="E1966">
        <f t="shared" si="235"/>
        <v>0</v>
      </c>
      <c r="G1966">
        <v>1916</v>
      </c>
      <c r="H1966" s="13">
        <f t="shared" si="240"/>
        <v>-1.0275684203264746E-2</v>
      </c>
      <c r="I1966">
        <f t="shared" si="241"/>
        <v>152.23120187847715</v>
      </c>
      <c r="J1966" t="e">
        <f t="shared" si="236"/>
        <v>#NUM!</v>
      </c>
      <c r="K1966" s="27" t="e">
        <f t="shared" si="237"/>
        <v>#NUM!</v>
      </c>
    </row>
    <row r="1967" spans="1:11" x14ac:dyDescent="0.25">
      <c r="A1967" s="26">
        <v>1917</v>
      </c>
      <c r="B1967" s="82">
        <f t="shared" si="238"/>
        <v>0</v>
      </c>
      <c r="C1967" s="58">
        <f t="shared" si="242"/>
        <v>171.9194128119324</v>
      </c>
      <c r="D1967" s="83">
        <f t="shared" si="239"/>
        <v>733.33333333333326</v>
      </c>
      <c r="E1967">
        <f t="shared" si="235"/>
        <v>0</v>
      </c>
      <c r="G1967">
        <v>1917</v>
      </c>
      <c r="H1967" s="13">
        <f t="shared" si="240"/>
        <v>-1.0275684203264746E-2</v>
      </c>
      <c r="I1967">
        <f t="shared" si="241"/>
        <v>152.22092619427389</v>
      </c>
      <c r="J1967" t="e">
        <f t="shared" si="236"/>
        <v>#NUM!</v>
      </c>
      <c r="K1967" s="27" t="e">
        <f t="shared" si="237"/>
        <v>#NUM!</v>
      </c>
    </row>
    <row r="1968" spans="1:11" x14ac:dyDescent="0.25">
      <c r="A1968" s="26">
        <v>1918</v>
      </c>
      <c r="B1968" s="82">
        <f t="shared" si="238"/>
        <v>0</v>
      </c>
      <c r="C1968" s="58">
        <f t="shared" si="242"/>
        <v>171.9194128119324</v>
      </c>
      <c r="D1968" s="83">
        <f t="shared" si="239"/>
        <v>733.33333333333326</v>
      </c>
      <c r="E1968">
        <f t="shared" si="235"/>
        <v>0</v>
      </c>
      <c r="G1968">
        <v>1918</v>
      </c>
      <c r="H1968" s="13">
        <f t="shared" si="240"/>
        <v>-1.0275684203264746E-2</v>
      </c>
      <c r="I1968">
        <f t="shared" si="241"/>
        <v>152.21065051007062</v>
      </c>
      <c r="J1968" t="e">
        <f t="shared" si="236"/>
        <v>#NUM!</v>
      </c>
      <c r="K1968" s="27" t="e">
        <f t="shared" si="237"/>
        <v>#NUM!</v>
      </c>
    </row>
    <row r="1969" spans="1:11" x14ac:dyDescent="0.25">
      <c r="A1969" s="26">
        <v>1919</v>
      </c>
      <c r="B1969" s="82">
        <f t="shared" si="238"/>
        <v>0</v>
      </c>
      <c r="C1969" s="58">
        <f t="shared" si="242"/>
        <v>171.9194128119324</v>
      </c>
      <c r="D1969" s="83">
        <f t="shared" si="239"/>
        <v>733.33333333333326</v>
      </c>
      <c r="E1969">
        <f t="shared" si="235"/>
        <v>0</v>
      </c>
      <c r="G1969">
        <v>1919</v>
      </c>
      <c r="H1969" s="13">
        <f t="shared" si="240"/>
        <v>-1.0275684203264746E-2</v>
      </c>
      <c r="I1969">
        <f t="shared" si="241"/>
        <v>152.20037482586736</v>
      </c>
      <c r="J1969" t="e">
        <f t="shared" si="236"/>
        <v>#NUM!</v>
      </c>
      <c r="K1969" s="27" t="e">
        <f t="shared" si="237"/>
        <v>#NUM!</v>
      </c>
    </row>
    <row r="1970" spans="1:11" x14ac:dyDescent="0.25">
      <c r="A1970" s="26">
        <v>1920</v>
      </c>
      <c r="B1970" s="82">
        <f t="shared" si="238"/>
        <v>0</v>
      </c>
      <c r="C1970" s="58">
        <f t="shared" si="242"/>
        <v>171.9194128119324</v>
      </c>
      <c r="D1970" s="83">
        <f t="shared" si="239"/>
        <v>733.33333333333326</v>
      </c>
      <c r="E1970">
        <f t="shared" si="235"/>
        <v>0</v>
      </c>
      <c r="G1970">
        <v>1920</v>
      </c>
      <c r="H1970" s="13">
        <f t="shared" si="240"/>
        <v>-1.0275684203264746E-2</v>
      </c>
      <c r="I1970">
        <f t="shared" si="241"/>
        <v>152.19009914166409</v>
      </c>
      <c r="J1970" t="e">
        <f t="shared" si="236"/>
        <v>#NUM!</v>
      </c>
      <c r="K1970" s="27" t="e">
        <f t="shared" si="237"/>
        <v>#NUM!</v>
      </c>
    </row>
    <row r="1971" spans="1:11" x14ac:dyDescent="0.25">
      <c r="A1971" s="26">
        <v>1921</v>
      </c>
      <c r="B1971" s="82">
        <f t="shared" si="238"/>
        <v>0</v>
      </c>
      <c r="C1971" s="58">
        <f t="shared" si="242"/>
        <v>171.9194128119324</v>
      </c>
      <c r="D1971" s="83">
        <f t="shared" si="239"/>
        <v>733.33333333333326</v>
      </c>
      <c r="E1971">
        <f t="shared" ref="E1971:E2034" si="243">((D1971^2)+(D1971*D1972)+(D1972^2))*B1972/3</f>
        <v>0</v>
      </c>
      <c r="G1971">
        <v>1921</v>
      </c>
      <c r="H1971" s="13">
        <f t="shared" si="240"/>
        <v>-1.0275684203264746E-2</v>
      </c>
      <c r="I1971">
        <f t="shared" si="241"/>
        <v>152.17982345746083</v>
      </c>
      <c r="J1971" t="e">
        <f t="shared" ref="J1971:J2034" si="244">IF($G$28&lt;$C$14,0,((($C$11^2)-((I1971-$C$13)^2))^0.5)+$C$16)</f>
        <v>#NUM!</v>
      </c>
      <c r="K1971" s="27" t="e">
        <f t="shared" ref="K1971:K2034" si="245">((J1971^2)+(J1971*J1972)+(J1972^2))*H1972/3</f>
        <v>#NUM!</v>
      </c>
    </row>
    <row r="1972" spans="1:11" x14ac:dyDescent="0.25">
      <c r="A1972" s="26">
        <v>1922</v>
      </c>
      <c r="B1972" s="82">
        <f t="shared" ref="B1972:B2035" si="246">C1972-C1971</f>
        <v>0</v>
      </c>
      <c r="C1972" s="58">
        <f t="shared" si="242"/>
        <v>171.9194128119324</v>
      </c>
      <c r="D1972" s="83">
        <f t="shared" ref="D1972:D2035" si="247">IF($G$28&lt;$C$14,0,((($C$11^2)-((C1972-$C$13)^2))^0.5)+$C$16)</f>
        <v>733.33333333333326</v>
      </c>
      <c r="E1972">
        <f t="shared" si="243"/>
        <v>0</v>
      </c>
      <c r="G1972">
        <v>1922</v>
      </c>
      <c r="H1972" s="13">
        <f t="shared" ref="H1972:H2035" si="248">I1972-I1971</f>
        <v>-1.0275684203264746E-2</v>
      </c>
      <c r="I1972">
        <f t="shared" ref="I1972:I2035" si="249">($G$27-$C$14)/2000+I1971</f>
        <v>152.16954777325756</v>
      </c>
      <c r="J1972" t="e">
        <f t="shared" si="244"/>
        <v>#NUM!</v>
      </c>
      <c r="K1972" s="27" t="e">
        <f t="shared" si="245"/>
        <v>#NUM!</v>
      </c>
    </row>
    <row r="1973" spans="1:11" x14ac:dyDescent="0.25">
      <c r="A1973" s="26">
        <v>1923</v>
      </c>
      <c r="B1973" s="82">
        <f t="shared" si="246"/>
        <v>0</v>
      </c>
      <c r="C1973" s="58">
        <f t="shared" si="242"/>
        <v>171.9194128119324</v>
      </c>
      <c r="D1973" s="83">
        <f t="shared" si="247"/>
        <v>733.33333333333326</v>
      </c>
      <c r="E1973">
        <f t="shared" si="243"/>
        <v>0</v>
      </c>
      <c r="G1973">
        <v>1923</v>
      </c>
      <c r="H1973" s="13">
        <f t="shared" si="248"/>
        <v>-1.0275684203264746E-2</v>
      </c>
      <c r="I1973">
        <f t="shared" si="249"/>
        <v>152.1592720890543</v>
      </c>
      <c r="J1973" t="e">
        <f t="shared" si="244"/>
        <v>#NUM!</v>
      </c>
      <c r="K1973" s="27" t="e">
        <f t="shared" si="245"/>
        <v>#NUM!</v>
      </c>
    </row>
    <row r="1974" spans="1:11" x14ac:dyDescent="0.25">
      <c r="A1974" s="26">
        <v>1924</v>
      </c>
      <c r="B1974" s="82">
        <f t="shared" si="246"/>
        <v>0</v>
      </c>
      <c r="C1974" s="58">
        <f t="shared" si="242"/>
        <v>171.9194128119324</v>
      </c>
      <c r="D1974" s="83">
        <f t="shared" si="247"/>
        <v>733.33333333333326</v>
      </c>
      <c r="E1974">
        <f t="shared" si="243"/>
        <v>0</v>
      </c>
      <c r="G1974">
        <v>1924</v>
      </c>
      <c r="H1974" s="13">
        <f t="shared" si="248"/>
        <v>-1.0275684203264746E-2</v>
      </c>
      <c r="I1974">
        <f t="shared" si="249"/>
        <v>152.14899640485103</v>
      </c>
      <c r="J1974" t="e">
        <f t="shared" si="244"/>
        <v>#NUM!</v>
      </c>
      <c r="K1974" s="27" t="e">
        <f t="shared" si="245"/>
        <v>#NUM!</v>
      </c>
    </row>
    <row r="1975" spans="1:11" x14ac:dyDescent="0.25">
      <c r="A1975" s="26">
        <v>1925</v>
      </c>
      <c r="B1975" s="82">
        <f t="shared" si="246"/>
        <v>0</v>
      </c>
      <c r="C1975" s="58">
        <f t="shared" si="242"/>
        <v>171.9194128119324</v>
      </c>
      <c r="D1975" s="83">
        <f t="shared" si="247"/>
        <v>733.33333333333326</v>
      </c>
      <c r="E1975">
        <f t="shared" si="243"/>
        <v>0</v>
      </c>
      <c r="G1975">
        <v>1925</v>
      </c>
      <c r="H1975" s="13">
        <f t="shared" si="248"/>
        <v>-1.0275684203264746E-2</v>
      </c>
      <c r="I1975">
        <f t="shared" si="249"/>
        <v>152.13872072064777</v>
      </c>
      <c r="J1975" t="e">
        <f t="shared" si="244"/>
        <v>#NUM!</v>
      </c>
      <c r="K1975" s="27" t="e">
        <f t="shared" si="245"/>
        <v>#NUM!</v>
      </c>
    </row>
    <row r="1976" spans="1:11" x14ac:dyDescent="0.25">
      <c r="A1976" s="26">
        <v>1926</v>
      </c>
      <c r="B1976" s="82">
        <f t="shared" si="246"/>
        <v>0</v>
      </c>
      <c r="C1976" s="58">
        <f t="shared" si="242"/>
        <v>171.9194128119324</v>
      </c>
      <c r="D1976" s="83">
        <f t="shared" si="247"/>
        <v>733.33333333333326</v>
      </c>
      <c r="E1976">
        <f t="shared" si="243"/>
        <v>0</v>
      </c>
      <c r="G1976">
        <v>1926</v>
      </c>
      <c r="H1976" s="13">
        <f t="shared" si="248"/>
        <v>-1.0275684203264746E-2</v>
      </c>
      <c r="I1976">
        <f t="shared" si="249"/>
        <v>152.1284450364445</v>
      </c>
      <c r="J1976" t="e">
        <f t="shared" si="244"/>
        <v>#NUM!</v>
      </c>
      <c r="K1976" s="27" t="e">
        <f t="shared" si="245"/>
        <v>#NUM!</v>
      </c>
    </row>
    <row r="1977" spans="1:11" x14ac:dyDescent="0.25">
      <c r="A1977" s="26">
        <v>1927</v>
      </c>
      <c r="B1977" s="82">
        <f t="shared" si="246"/>
        <v>0</v>
      </c>
      <c r="C1977" s="58">
        <f t="shared" si="242"/>
        <v>171.9194128119324</v>
      </c>
      <c r="D1977" s="83">
        <f t="shared" si="247"/>
        <v>733.33333333333326</v>
      </c>
      <c r="E1977">
        <f t="shared" si="243"/>
        <v>0</v>
      </c>
      <c r="G1977">
        <v>1927</v>
      </c>
      <c r="H1977" s="13">
        <f t="shared" si="248"/>
        <v>-1.0275684203264746E-2</v>
      </c>
      <c r="I1977">
        <f t="shared" si="249"/>
        <v>152.11816935224124</v>
      </c>
      <c r="J1977" t="e">
        <f t="shared" si="244"/>
        <v>#NUM!</v>
      </c>
      <c r="K1977" s="27" t="e">
        <f t="shared" si="245"/>
        <v>#NUM!</v>
      </c>
    </row>
    <row r="1978" spans="1:11" x14ac:dyDescent="0.25">
      <c r="A1978" s="26">
        <v>1928</v>
      </c>
      <c r="B1978" s="82">
        <f t="shared" si="246"/>
        <v>0</v>
      </c>
      <c r="C1978" s="58">
        <f t="shared" si="242"/>
        <v>171.9194128119324</v>
      </c>
      <c r="D1978" s="83">
        <f t="shared" si="247"/>
        <v>733.33333333333326</v>
      </c>
      <c r="E1978">
        <f t="shared" si="243"/>
        <v>0</v>
      </c>
      <c r="G1978">
        <v>1928</v>
      </c>
      <c r="H1978" s="13">
        <f t="shared" si="248"/>
        <v>-1.0275684203264746E-2</v>
      </c>
      <c r="I1978">
        <f t="shared" si="249"/>
        <v>152.10789366803797</v>
      </c>
      <c r="J1978" t="e">
        <f t="shared" si="244"/>
        <v>#NUM!</v>
      </c>
      <c r="K1978" s="27" t="e">
        <f t="shared" si="245"/>
        <v>#NUM!</v>
      </c>
    </row>
    <row r="1979" spans="1:11" x14ac:dyDescent="0.25">
      <c r="A1979" s="26">
        <v>1929</v>
      </c>
      <c r="B1979" s="82">
        <f t="shared" si="246"/>
        <v>0</v>
      </c>
      <c r="C1979" s="58">
        <f t="shared" si="242"/>
        <v>171.9194128119324</v>
      </c>
      <c r="D1979" s="83">
        <f t="shared" si="247"/>
        <v>733.33333333333326</v>
      </c>
      <c r="E1979">
        <f t="shared" si="243"/>
        <v>0</v>
      </c>
      <c r="G1979">
        <v>1929</v>
      </c>
      <c r="H1979" s="13">
        <f t="shared" si="248"/>
        <v>-1.0275684203264746E-2</v>
      </c>
      <c r="I1979">
        <f t="shared" si="249"/>
        <v>152.09761798383471</v>
      </c>
      <c r="J1979" t="e">
        <f t="shared" si="244"/>
        <v>#NUM!</v>
      </c>
      <c r="K1979" s="27" t="e">
        <f t="shared" si="245"/>
        <v>#NUM!</v>
      </c>
    </row>
    <row r="1980" spans="1:11" x14ac:dyDescent="0.25">
      <c r="A1980" s="26">
        <v>1930</v>
      </c>
      <c r="B1980" s="82">
        <f t="shared" si="246"/>
        <v>0</v>
      </c>
      <c r="C1980" s="58">
        <f t="shared" si="242"/>
        <v>171.9194128119324</v>
      </c>
      <c r="D1980" s="83">
        <f t="shared" si="247"/>
        <v>733.33333333333326</v>
      </c>
      <c r="E1980">
        <f t="shared" si="243"/>
        <v>0</v>
      </c>
      <c r="G1980">
        <v>1930</v>
      </c>
      <c r="H1980" s="13">
        <f t="shared" si="248"/>
        <v>-1.0275684203264746E-2</v>
      </c>
      <c r="I1980">
        <f t="shared" si="249"/>
        <v>152.08734229963144</v>
      </c>
      <c r="J1980" t="e">
        <f t="shared" si="244"/>
        <v>#NUM!</v>
      </c>
      <c r="K1980" s="27" t="e">
        <f t="shared" si="245"/>
        <v>#NUM!</v>
      </c>
    </row>
    <row r="1981" spans="1:11" x14ac:dyDescent="0.25">
      <c r="A1981" s="26">
        <v>1931</v>
      </c>
      <c r="B1981" s="82">
        <f t="shared" si="246"/>
        <v>0</v>
      </c>
      <c r="C1981" s="58">
        <f t="shared" si="242"/>
        <v>171.9194128119324</v>
      </c>
      <c r="D1981" s="83">
        <f t="shared" si="247"/>
        <v>733.33333333333326</v>
      </c>
      <c r="E1981">
        <f t="shared" si="243"/>
        <v>0</v>
      </c>
      <c r="G1981">
        <v>1931</v>
      </c>
      <c r="H1981" s="13">
        <f t="shared" si="248"/>
        <v>-1.0275684203264746E-2</v>
      </c>
      <c r="I1981">
        <f t="shared" si="249"/>
        <v>152.07706661542818</v>
      </c>
      <c r="J1981" t="e">
        <f t="shared" si="244"/>
        <v>#NUM!</v>
      </c>
      <c r="K1981" s="27" t="e">
        <f t="shared" si="245"/>
        <v>#NUM!</v>
      </c>
    </row>
    <row r="1982" spans="1:11" x14ac:dyDescent="0.25">
      <c r="A1982" s="26">
        <v>1932</v>
      </c>
      <c r="B1982" s="82">
        <f t="shared" si="246"/>
        <v>0</v>
      </c>
      <c r="C1982" s="58">
        <f t="shared" si="242"/>
        <v>171.9194128119324</v>
      </c>
      <c r="D1982" s="83">
        <f t="shared" si="247"/>
        <v>733.33333333333326</v>
      </c>
      <c r="E1982">
        <f t="shared" si="243"/>
        <v>0</v>
      </c>
      <c r="G1982">
        <v>1932</v>
      </c>
      <c r="H1982" s="13">
        <f t="shared" si="248"/>
        <v>-1.0275684203264746E-2</v>
      </c>
      <c r="I1982">
        <f t="shared" si="249"/>
        <v>152.06679093122492</v>
      </c>
      <c r="J1982" t="e">
        <f t="shared" si="244"/>
        <v>#NUM!</v>
      </c>
      <c r="K1982" s="27" t="e">
        <f t="shared" si="245"/>
        <v>#NUM!</v>
      </c>
    </row>
    <row r="1983" spans="1:11" x14ac:dyDescent="0.25">
      <c r="A1983" s="26">
        <v>1933</v>
      </c>
      <c r="B1983" s="82">
        <f t="shared" si="246"/>
        <v>0</v>
      </c>
      <c r="C1983" s="58">
        <f t="shared" si="242"/>
        <v>171.9194128119324</v>
      </c>
      <c r="D1983" s="83">
        <f t="shared" si="247"/>
        <v>733.33333333333326</v>
      </c>
      <c r="E1983">
        <f t="shared" si="243"/>
        <v>0</v>
      </c>
      <c r="G1983">
        <v>1933</v>
      </c>
      <c r="H1983" s="13">
        <f t="shared" si="248"/>
        <v>-1.0275684203264746E-2</v>
      </c>
      <c r="I1983">
        <f t="shared" si="249"/>
        <v>152.05651524702165</v>
      </c>
      <c r="J1983" t="e">
        <f t="shared" si="244"/>
        <v>#NUM!</v>
      </c>
      <c r="K1983" s="27" t="e">
        <f t="shared" si="245"/>
        <v>#NUM!</v>
      </c>
    </row>
    <row r="1984" spans="1:11" x14ac:dyDescent="0.25">
      <c r="A1984" s="26">
        <v>1934</v>
      </c>
      <c r="B1984" s="82">
        <f t="shared" si="246"/>
        <v>0</v>
      </c>
      <c r="C1984" s="58">
        <f t="shared" si="242"/>
        <v>171.9194128119324</v>
      </c>
      <c r="D1984" s="83">
        <f t="shared" si="247"/>
        <v>733.33333333333326</v>
      </c>
      <c r="E1984">
        <f t="shared" si="243"/>
        <v>0</v>
      </c>
      <c r="G1984">
        <v>1934</v>
      </c>
      <c r="H1984" s="13">
        <f t="shared" si="248"/>
        <v>-1.0275684203264746E-2</v>
      </c>
      <c r="I1984">
        <f t="shared" si="249"/>
        <v>152.04623956281839</v>
      </c>
      <c r="J1984" t="e">
        <f t="shared" si="244"/>
        <v>#NUM!</v>
      </c>
      <c r="K1984" s="27" t="e">
        <f t="shared" si="245"/>
        <v>#NUM!</v>
      </c>
    </row>
    <row r="1985" spans="1:11" x14ac:dyDescent="0.25">
      <c r="A1985" s="26">
        <v>1935</v>
      </c>
      <c r="B1985" s="82">
        <f t="shared" si="246"/>
        <v>0</v>
      </c>
      <c r="C1985" s="58">
        <f t="shared" si="242"/>
        <v>171.9194128119324</v>
      </c>
      <c r="D1985" s="83">
        <f t="shared" si="247"/>
        <v>733.33333333333326</v>
      </c>
      <c r="E1985">
        <f t="shared" si="243"/>
        <v>0</v>
      </c>
      <c r="G1985">
        <v>1935</v>
      </c>
      <c r="H1985" s="13">
        <f t="shared" si="248"/>
        <v>-1.0275684203264746E-2</v>
      </c>
      <c r="I1985">
        <f t="shared" si="249"/>
        <v>152.03596387861512</v>
      </c>
      <c r="J1985" t="e">
        <f t="shared" si="244"/>
        <v>#NUM!</v>
      </c>
      <c r="K1985" s="27" t="e">
        <f t="shared" si="245"/>
        <v>#NUM!</v>
      </c>
    </row>
    <row r="1986" spans="1:11" x14ac:dyDescent="0.25">
      <c r="A1986" s="26">
        <v>1936</v>
      </c>
      <c r="B1986" s="82">
        <f t="shared" si="246"/>
        <v>0</v>
      </c>
      <c r="C1986" s="58">
        <f t="shared" si="242"/>
        <v>171.9194128119324</v>
      </c>
      <c r="D1986" s="83">
        <f t="shared" si="247"/>
        <v>733.33333333333326</v>
      </c>
      <c r="E1986">
        <f t="shared" si="243"/>
        <v>0</v>
      </c>
      <c r="G1986">
        <v>1936</v>
      </c>
      <c r="H1986" s="13">
        <f t="shared" si="248"/>
        <v>-1.0275684203264746E-2</v>
      </c>
      <c r="I1986">
        <f t="shared" si="249"/>
        <v>152.02568819441186</v>
      </c>
      <c r="J1986" t="e">
        <f t="shared" si="244"/>
        <v>#NUM!</v>
      </c>
      <c r="K1986" s="27" t="e">
        <f t="shared" si="245"/>
        <v>#NUM!</v>
      </c>
    </row>
    <row r="1987" spans="1:11" x14ac:dyDescent="0.25">
      <c r="A1987" s="26">
        <v>1937</v>
      </c>
      <c r="B1987" s="82">
        <f t="shared" si="246"/>
        <v>0</v>
      </c>
      <c r="C1987" s="58">
        <f t="shared" si="242"/>
        <v>171.9194128119324</v>
      </c>
      <c r="D1987" s="83">
        <f t="shared" si="247"/>
        <v>733.33333333333326</v>
      </c>
      <c r="E1987">
        <f t="shared" si="243"/>
        <v>0</v>
      </c>
      <c r="G1987">
        <v>1937</v>
      </c>
      <c r="H1987" s="13">
        <f t="shared" si="248"/>
        <v>-1.0275684203264746E-2</v>
      </c>
      <c r="I1987">
        <f t="shared" si="249"/>
        <v>152.01541251020859</v>
      </c>
      <c r="J1987" t="e">
        <f t="shared" si="244"/>
        <v>#NUM!</v>
      </c>
      <c r="K1987" s="27" t="e">
        <f t="shared" si="245"/>
        <v>#NUM!</v>
      </c>
    </row>
    <row r="1988" spans="1:11" x14ac:dyDescent="0.25">
      <c r="A1988" s="26">
        <v>1938</v>
      </c>
      <c r="B1988" s="82">
        <f t="shared" si="246"/>
        <v>0</v>
      </c>
      <c r="C1988" s="58">
        <f t="shared" si="242"/>
        <v>171.9194128119324</v>
      </c>
      <c r="D1988" s="83">
        <f t="shared" si="247"/>
        <v>733.33333333333326</v>
      </c>
      <c r="E1988">
        <f t="shared" si="243"/>
        <v>0</v>
      </c>
      <c r="G1988">
        <v>1938</v>
      </c>
      <c r="H1988" s="13">
        <f t="shared" si="248"/>
        <v>-1.0275684203264746E-2</v>
      </c>
      <c r="I1988">
        <f t="shared" si="249"/>
        <v>152.00513682600533</v>
      </c>
      <c r="J1988" t="e">
        <f t="shared" si="244"/>
        <v>#NUM!</v>
      </c>
      <c r="K1988" s="27" t="e">
        <f t="shared" si="245"/>
        <v>#NUM!</v>
      </c>
    </row>
    <row r="1989" spans="1:11" x14ac:dyDescent="0.25">
      <c r="A1989" s="26">
        <v>1939</v>
      </c>
      <c r="B1989" s="82">
        <f t="shared" si="246"/>
        <v>0</v>
      </c>
      <c r="C1989" s="58">
        <f t="shared" si="242"/>
        <v>171.9194128119324</v>
      </c>
      <c r="D1989" s="83">
        <f t="shared" si="247"/>
        <v>733.33333333333326</v>
      </c>
      <c r="E1989">
        <f t="shared" si="243"/>
        <v>0</v>
      </c>
      <c r="G1989">
        <v>1939</v>
      </c>
      <c r="H1989" s="13">
        <f t="shared" si="248"/>
        <v>-1.0275684203264746E-2</v>
      </c>
      <c r="I1989">
        <f t="shared" si="249"/>
        <v>151.99486114180206</v>
      </c>
      <c r="J1989" t="e">
        <f t="shared" si="244"/>
        <v>#NUM!</v>
      </c>
      <c r="K1989" s="27" t="e">
        <f t="shared" si="245"/>
        <v>#NUM!</v>
      </c>
    </row>
    <row r="1990" spans="1:11" x14ac:dyDescent="0.25">
      <c r="A1990" s="26">
        <v>1940</v>
      </c>
      <c r="B1990" s="82">
        <f t="shared" si="246"/>
        <v>0</v>
      </c>
      <c r="C1990" s="58">
        <f t="shared" si="242"/>
        <v>171.9194128119324</v>
      </c>
      <c r="D1990" s="83">
        <f t="shared" si="247"/>
        <v>733.33333333333326</v>
      </c>
      <c r="E1990">
        <f t="shared" si="243"/>
        <v>0</v>
      </c>
      <c r="G1990">
        <v>1940</v>
      </c>
      <c r="H1990" s="13">
        <f t="shared" si="248"/>
        <v>-1.0275684203264746E-2</v>
      </c>
      <c r="I1990">
        <f t="shared" si="249"/>
        <v>151.9845854575988</v>
      </c>
      <c r="J1990" t="e">
        <f t="shared" si="244"/>
        <v>#NUM!</v>
      </c>
      <c r="K1990" s="27" t="e">
        <f t="shared" si="245"/>
        <v>#NUM!</v>
      </c>
    </row>
    <row r="1991" spans="1:11" x14ac:dyDescent="0.25">
      <c r="A1991" s="26">
        <v>1941</v>
      </c>
      <c r="B1991" s="82">
        <f t="shared" si="246"/>
        <v>0</v>
      </c>
      <c r="C1991" s="58">
        <f t="shared" si="242"/>
        <v>171.9194128119324</v>
      </c>
      <c r="D1991" s="83">
        <f t="shared" si="247"/>
        <v>733.33333333333326</v>
      </c>
      <c r="E1991">
        <f t="shared" si="243"/>
        <v>0</v>
      </c>
      <c r="G1991">
        <v>1941</v>
      </c>
      <c r="H1991" s="13">
        <f t="shared" si="248"/>
        <v>-1.0275684203264746E-2</v>
      </c>
      <c r="I1991">
        <f t="shared" si="249"/>
        <v>151.97430977339553</v>
      </c>
      <c r="J1991" t="e">
        <f t="shared" si="244"/>
        <v>#NUM!</v>
      </c>
      <c r="K1991" s="27" t="e">
        <f t="shared" si="245"/>
        <v>#NUM!</v>
      </c>
    </row>
    <row r="1992" spans="1:11" x14ac:dyDescent="0.25">
      <c r="A1992" s="26">
        <v>1942</v>
      </c>
      <c r="B1992" s="82">
        <f t="shared" si="246"/>
        <v>0</v>
      </c>
      <c r="C1992" s="58">
        <f t="shared" si="242"/>
        <v>171.9194128119324</v>
      </c>
      <c r="D1992" s="83">
        <f t="shared" si="247"/>
        <v>733.33333333333326</v>
      </c>
      <c r="E1992">
        <f t="shared" si="243"/>
        <v>0</v>
      </c>
      <c r="G1992">
        <v>1942</v>
      </c>
      <c r="H1992" s="13">
        <f t="shared" si="248"/>
        <v>-1.0275684203264746E-2</v>
      </c>
      <c r="I1992">
        <f t="shared" si="249"/>
        <v>151.96403408919227</v>
      </c>
      <c r="J1992" t="e">
        <f t="shared" si="244"/>
        <v>#NUM!</v>
      </c>
      <c r="K1992" s="27" t="e">
        <f t="shared" si="245"/>
        <v>#NUM!</v>
      </c>
    </row>
    <row r="1993" spans="1:11" x14ac:dyDescent="0.25">
      <c r="A1993" s="26">
        <v>1943</v>
      </c>
      <c r="B1993" s="82">
        <f t="shared" si="246"/>
        <v>0</v>
      </c>
      <c r="C1993" s="58">
        <f t="shared" si="242"/>
        <v>171.9194128119324</v>
      </c>
      <c r="D1993" s="83">
        <f t="shared" si="247"/>
        <v>733.33333333333326</v>
      </c>
      <c r="E1993">
        <f t="shared" si="243"/>
        <v>0</v>
      </c>
      <c r="G1993">
        <v>1943</v>
      </c>
      <c r="H1993" s="13">
        <f t="shared" si="248"/>
        <v>-1.0275684203264746E-2</v>
      </c>
      <c r="I1993">
        <f t="shared" si="249"/>
        <v>151.953758404989</v>
      </c>
      <c r="J1993" t="e">
        <f t="shared" si="244"/>
        <v>#NUM!</v>
      </c>
      <c r="K1993" s="27" t="e">
        <f t="shared" si="245"/>
        <v>#NUM!</v>
      </c>
    </row>
    <row r="1994" spans="1:11" x14ac:dyDescent="0.25">
      <c r="A1994" s="26">
        <v>1944</v>
      </c>
      <c r="B1994" s="82">
        <f t="shared" si="246"/>
        <v>0</v>
      </c>
      <c r="C1994" s="58">
        <f t="shared" si="242"/>
        <v>171.9194128119324</v>
      </c>
      <c r="D1994" s="83">
        <f t="shared" si="247"/>
        <v>733.33333333333326</v>
      </c>
      <c r="E1994">
        <f t="shared" si="243"/>
        <v>0</v>
      </c>
      <c r="G1994">
        <v>1944</v>
      </c>
      <c r="H1994" s="13">
        <f t="shared" si="248"/>
        <v>-1.0275684203264746E-2</v>
      </c>
      <c r="I1994">
        <f t="shared" si="249"/>
        <v>151.94348272078574</v>
      </c>
      <c r="J1994" t="e">
        <f t="shared" si="244"/>
        <v>#NUM!</v>
      </c>
      <c r="K1994" s="27" t="e">
        <f t="shared" si="245"/>
        <v>#NUM!</v>
      </c>
    </row>
    <row r="1995" spans="1:11" x14ac:dyDescent="0.25">
      <c r="A1995" s="26">
        <v>1945</v>
      </c>
      <c r="B1995" s="82">
        <f t="shared" si="246"/>
        <v>0</v>
      </c>
      <c r="C1995" s="58">
        <f t="shared" si="242"/>
        <v>171.9194128119324</v>
      </c>
      <c r="D1995" s="83">
        <f t="shared" si="247"/>
        <v>733.33333333333326</v>
      </c>
      <c r="E1995">
        <f t="shared" si="243"/>
        <v>0</v>
      </c>
      <c r="G1995">
        <v>1945</v>
      </c>
      <c r="H1995" s="13">
        <f t="shared" si="248"/>
        <v>-1.0275684203264746E-2</v>
      </c>
      <c r="I1995">
        <f t="shared" si="249"/>
        <v>151.93320703658247</v>
      </c>
      <c r="J1995" t="e">
        <f t="shared" si="244"/>
        <v>#NUM!</v>
      </c>
      <c r="K1995" s="27" t="e">
        <f t="shared" si="245"/>
        <v>#NUM!</v>
      </c>
    </row>
    <row r="1996" spans="1:11" x14ac:dyDescent="0.25">
      <c r="A1996" s="26">
        <v>1946</v>
      </c>
      <c r="B1996" s="82">
        <f t="shared" si="246"/>
        <v>0</v>
      </c>
      <c r="C1996" s="58">
        <f t="shared" si="242"/>
        <v>171.9194128119324</v>
      </c>
      <c r="D1996" s="83">
        <f t="shared" si="247"/>
        <v>733.33333333333326</v>
      </c>
      <c r="E1996">
        <f t="shared" si="243"/>
        <v>0</v>
      </c>
      <c r="G1996">
        <v>1946</v>
      </c>
      <c r="H1996" s="13">
        <f t="shared" si="248"/>
        <v>-1.0275684203264746E-2</v>
      </c>
      <c r="I1996">
        <f t="shared" si="249"/>
        <v>151.92293135237921</v>
      </c>
      <c r="J1996" t="e">
        <f t="shared" si="244"/>
        <v>#NUM!</v>
      </c>
      <c r="K1996" s="27" t="e">
        <f t="shared" si="245"/>
        <v>#NUM!</v>
      </c>
    </row>
    <row r="1997" spans="1:11" x14ac:dyDescent="0.25">
      <c r="A1997" s="26">
        <v>1947</v>
      </c>
      <c r="B1997" s="82">
        <f t="shared" si="246"/>
        <v>0</v>
      </c>
      <c r="C1997" s="58">
        <f t="shared" si="242"/>
        <v>171.9194128119324</v>
      </c>
      <c r="D1997" s="83">
        <f t="shared" si="247"/>
        <v>733.33333333333326</v>
      </c>
      <c r="E1997">
        <f t="shared" si="243"/>
        <v>0</v>
      </c>
      <c r="G1997">
        <v>1947</v>
      </c>
      <c r="H1997" s="13">
        <f t="shared" si="248"/>
        <v>-1.0275684203264746E-2</v>
      </c>
      <c r="I1997">
        <f t="shared" si="249"/>
        <v>151.91265566817594</v>
      </c>
      <c r="J1997" t="e">
        <f t="shared" si="244"/>
        <v>#NUM!</v>
      </c>
      <c r="K1997" s="27" t="e">
        <f t="shared" si="245"/>
        <v>#NUM!</v>
      </c>
    </row>
    <row r="1998" spans="1:11" x14ac:dyDescent="0.25">
      <c r="A1998" s="26">
        <v>1948</v>
      </c>
      <c r="B1998" s="82">
        <f t="shared" si="246"/>
        <v>0</v>
      </c>
      <c r="C1998" s="58">
        <f t="shared" si="242"/>
        <v>171.9194128119324</v>
      </c>
      <c r="D1998" s="83">
        <f t="shared" si="247"/>
        <v>733.33333333333326</v>
      </c>
      <c r="E1998">
        <f t="shared" si="243"/>
        <v>0</v>
      </c>
      <c r="G1998">
        <v>1948</v>
      </c>
      <c r="H1998" s="13">
        <f t="shared" si="248"/>
        <v>-1.0275684203264746E-2</v>
      </c>
      <c r="I1998">
        <f t="shared" si="249"/>
        <v>151.90237998397268</v>
      </c>
      <c r="J1998" t="e">
        <f t="shared" si="244"/>
        <v>#NUM!</v>
      </c>
      <c r="K1998" s="27" t="e">
        <f t="shared" si="245"/>
        <v>#NUM!</v>
      </c>
    </row>
    <row r="1999" spans="1:11" x14ac:dyDescent="0.25">
      <c r="A1999" s="26">
        <v>1949</v>
      </c>
      <c r="B1999" s="82">
        <f t="shared" si="246"/>
        <v>0</v>
      </c>
      <c r="C1999" s="58">
        <f t="shared" si="242"/>
        <v>171.9194128119324</v>
      </c>
      <c r="D1999" s="83">
        <f t="shared" si="247"/>
        <v>733.33333333333326</v>
      </c>
      <c r="E1999">
        <f t="shared" si="243"/>
        <v>0</v>
      </c>
      <c r="G1999">
        <v>1949</v>
      </c>
      <c r="H1999" s="13">
        <f t="shared" si="248"/>
        <v>-1.0275684203264746E-2</v>
      </c>
      <c r="I1999">
        <f t="shared" si="249"/>
        <v>151.89210429976941</v>
      </c>
      <c r="J1999" t="e">
        <f t="shared" si="244"/>
        <v>#NUM!</v>
      </c>
      <c r="K1999" s="27" t="e">
        <f t="shared" si="245"/>
        <v>#NUM!</v>
      </c>
    </row>
    <row r="2000" spans="1:11" x14ac:dyDescent="0.25">
      <c r="A2000" s="26">
        <v>1950</v>
      </c>
      <c r="B2000" s="82">
        <f t="shared" si="246"/>
        <v>0</v>
      </c>
      <c r="C2000" s="58">
        <f t="shared" ref="C2000:C2049" si="250">($C$37-$C$36)/2000+C1999</f>
        <v>171.9194128119324</v>
      </c>
      <c r="D2000" s="83">
        <f t="shared" si="247"/>
        <v>733.33333333333326</v>
      </c>
      <c r="E2000">
        <f t="shared" si="243"/>
        <v>0</v>
      </c>
      <c r="G2000">
        <v>1950</v>
      </c>
      <c r="H2000" s="13">
        <f t="shared" si="248"/>
        <v>-1.0275684203264746E-2</v>
      </c>
      <c r="I2000">
        <f t="shared" si="249"/>
        <v>151.88182861556615</v>
      </c>
      <c r="J2000" t="e">
        <f t="shared" si="244"/>
        <v>#NUM!</v>
      </c>
      <c r="K2000" s="27" t="e">
        <f t="shared" si="245"/>
        <v>#NUM!</v>
      </c>
    </row>
    <row r="2001" spans="1:11" x14ac:dyDescent="0.25">
      <c r="A2001" s="26">
        <v>1951</v>
      </c>
      <c r="B2001" s="82">
        <f t="shared" si="246"/>
        <v>0</v>
      </c>
      <c r="C2001" s="58">
        <f t="shared" si="250"/>
        <v>171.9194128119324</v>
      </c>
      <c r="D2001" s="83">
        <f t="shared" si="247"/>
        <v>733.33333333333326</v>
      </c>
      <c r="E2001">
        <f t="shared" si="243"/>
        <v>0</v>
      </c>
      <c r="G2001">
        <v>1951</v>
      </c>
      <c r="H2001" s="13">
        <f t="shared" si="248"/>
        <v>-1.0275684203264746E-2</v>
      </c>
      <c r="I2001">
        <f t="shared" si="249"/>
        <v>151.87155293136288</v>
      </c>
      <c r="J2001" t="e">
        <f t="shared" si="244"/>
        <v>#NUM!</v>
      </c>
      <c r="K2001" s="27" t="e">
        <f t="shared" si="245"/>
        <v>#NUM!</v>
      </c>
    </row>
    <row r="2002" spans="1:11" x14ac:dyDescent="0.25">
      <c r="A2002" s="26">
        <v>1952</v>
      </c>
      <c r="B2002" s="82">
        <f t="shared" si="246"/>
        <v>0</v>
      </c>
      <c r="C2002" s="58">
        <f t="shared" si="250"/>
        <v>171.9194128119324</v>
      </c>
      <c r="D2002" s="83">
        <f t="shared" si="247"/>
        <v>733.33333333333326</v>
      </c>
      <c r="E2002">
        <f t="shared" si="243"/>
        <v>0</v>
      </c>
      <c r="G2002">
        <v>1952</v>
      </c>
      <c r="H2002" s="13">
        <f t="shared" si="248"/>
        <v>-1.0275684203264746E-2</v>
      </c>
      <c r="I2002">
        <f t="shared" si="249"/>
        <v>151.86127724715962</v>
      </c>
      <c r="J2002" t="e">
        <f t="shared" si="244"/>
        <v>#NUM!</v>
      </c>
      <c r="K2002" s="27" t="e">
        <f t="shared" si="245"/>
        <v>#NUM!</v>
      </c>
    </row>
    <row r="2003" spans="1:11" x14ac:dyDescent="0.25">
      <c r="A2003" s="26">
        <v>1953</v>
      </c>
      <c r="B2003" s="82">
        <f t="shared" si="246"/>
        <v>0</v>
      </c>
      <c r="C2003" s="58">
        <f t="shared" si="250"/>
        <v>171.9194128119324</v>
      </c>
      <c r="D2003" s="83">
        <f t="shared" si="247"/>
        <v>733.33333333333326</v>
      </c>
      <c r="E2003">
        <f t="shared" si="243"/>
        <v>0</v>
      </c>
      <c r="G2003">
        <v>1953</v>
      </c>
      <c r="H2003" s="13">
        <f t="shared" si="248"/>
        <v>-1.0275684203264746E-2</v>
      </c>
      <c r="I2003">
        <f t="shared" si="249"/>
        <v>151.85100156295636</v>
      </c>
      <c r="J2003" t="e">
        <f t="shared" si="244"/>
        <v>#NUM!</v>
      </c>
      <c r="K2003" s="27" t="e">
        <f t="shared" si="245"/>
        <v>#NUM!</v>
      </c>
    </row>
    <row r="2004" spans="1:11" x14ac:dyDescent="0.25">
      <c r="A2004" s="26">
        <v>1954</v>
      </c>
      <c r="B2004" s="82">
        <f t="shared" si="246"/>
        <v>0</v>
      </c>
      <c r="C2004" s="58">
        <f t="shared" si="250"/>
        <v>171.9194128119324</v>
      </c>
      <c r="D2004" s="83">
        <f t="shared" si="247"/>
        <v>733.33333333333326</v>
      </c>
      <c r="E2004">
        <f t="shared" si="243"/>
        <v>0</v>
      </c>
      <c r="G2004">
        <v>1954</v>
      </c>
      <c r="H2004" s="13">
        <f t="shared" si="248"/>
        <v>-1.0275684203264746E-2</v>
      </c>
      <c r="I2004">
        <f t="shared" si="249"/>
        <v>151.84072587875309</v>
      </c>
      <c r="J2004" t="e">
        <f t="shared" si="244"/>
        <v>#NUM!</v>
      </c>
      <c r="K2004" s="27" t="e">
        <f t="shared" si="245"/>
        <v>#NUM!</v>
      </c>
    </row>
    <row r="2005" spans="1:11" x14ac:dyDescent="0.25">
      <c r="A2005" s="26">
        <v>1955</v>
      </c>
      <c r="B2005" s="82">
        <f t="shared" si="246"/>
        <v>0</v>
      </c>
      <c r="C2005" s="58">
        <f t="shared" si="250"/>
        <v>171.9194128119324</v>
      </c>
      <c r="D2005" s="83">
        <f t="shared" si="247"/>
        <v>733.33333333333326</v>
      </c>
      <c r="E2005">
        <f t="shared" si="243"/>
        <v>0</v>
      </c>
      <c r="G2005">
        <v>1955</v>
      </c>
      <c r="H2005" s="13">
        <f t="shared" si="248"/>
        <v>-1.0275684203264746E-2</v>
      </c>
      <c r="I2005">
        <f t="shared" si="249"/>
        <v>151.83045019454983</v>
      </c>
      <c r="J2005" t="e">
        <f t="shared" si="244"/>
        <v>#NUM!</v>
      </c>
      <c r="K2005" s="27" t="e">
        <f t="shared" si="245"/>
        <v>#NUM!</v>
      </c>
    </row>
    <row r="2006" spans="1:11" x14ac:dyDescent="0.25">
      <c r="A2006" s="26">
        <v>1956</v>
      </c>
      <c r="B2006" s="82">
        <f t="shared" si="246"/>
        <v>0</v>
      </c>
      <c r="C2006" s="58">
        <f t="shared" si="250"/>
        <v>171.9194128119324</v>
      </c>
      <c r="D2006" s="83">
        <f t="shared" si="247"/>
        <v>733.33333333333326</v>
      </c>
      <c r="E2006">
        <f t="shared" si="243"/>
        <v>0</v>
      </c>
      <c r="G2006">
        <v>1956</v>
      </c>
      <c r="H2006" s="13">
        <f t="shared" si="248"/>
        <v>-1.0275684203264746E-2</v>
      </c>
      <c r="I2006">
        <f t="shared" si="249"/>
        <v>151.82017451034656</v>
      </c>
      <c r="J2006" t="e">
        <f t="shared" si="244"/>
        <v>#NUM!</v>
      </c>
      <c r="K2006" s="27" t="e">
        <f t="shared" si="245"/>
        <v>#NUM!</v>
      </c>
    </row>
    <row r="2007" spans="1:11" x14ac:dyDescent="0.25">
      <c r="A2007" s="26">
        <v>1957</v>
      </c>
      <c r="B2007" s="82">
        <f t="shared" si="246"/>
        <v>0</v>
      </c>
      <c r="C2007" s="58">
        <f t="shared" si="250"/>
        <v>171.9194128119324</v>
      </c>
      <c r="D2007" s="83">
        <f t="shared" si="247"/>
        <v>733.33333333333326</v>
      </c>
      <c r="E2007">
        <f t="shared" si="243"/>
        <v>0</v>
      </c>
      <c r="G2007">
        <v>1957</v>
      </c>
      <c r="H2007" s="13">
        <f t="shared" si="248"/>
        <v>-1.0275684203264746E-2</v>
      </c>
      <c r="I2007">
        <f t="shared" si="249"/>
        <v>151.8098988261433</v>
      </c>
      <c r="J2007" t="e">
        <f t="shared" si="244"/>
        <v>#NUM!</v>
      </c>
      <c r="K2007" s="27" t="e">
        <f t="shared" si="245"/>
        <v>#NUM!</v>
      </c>
    </row>
    <row r="2008" spans="1:11" x14ac:dyDescent="0.25">
      <c r="A2008" s="26">
        <v>1958</v>
      </c>
      <c r="B2008" s="82">
        <f t="shared" si="246"/>
        <v>0</v>
      </c>
      <c r="C2008" s="58">
        <f t="shared" si="250"/>
        <v>171.9194128119324</v>
      </c>
      <c r="D2008" s="83">
        <f t="shared" si="247"/>
        <v>733.33333333333326</v>
      </c>
      <c r="E2008">
        <f t="shared" si="243"/>
        <v>0</v>
      </c>
      <c r="G2008">
        <v>1958</v>
      </c>
      <c r="H2008" s="13">
        <f t="shared" si="248"/>
        <v>-1.0275684203264746E-2</v>
      </c>
      <c r="I2008">
        <f t="shared" si="249"/>
        <v>151.79962314194003</v>
      </c>
      <c r="J2008" t="e">
        <f t="shared" si="244"/>
        <v>#NUM!</v>
      </c>
      <c r="K2008" s="27" t="e">
        <f t="shared" si="245"/>
        <v>#NUM!</v>
      </c>
    </row>
    <row r="2009" spans="1:11" x14ac:dyDescent="0.25">
      <c r="A2009" s="26">
        <v>1959</v>
      </c>
      <c r="B2009" s="82">
        <f t="shared" si="246"/>
        <v>0</v>
      </c>
      <c r="C2009" s="58">
        <f t="shared" si="250"/>
        <v>171.9194128119324</v>
      </c>
      <c r="D2009" s="83">
        <f t="shared" si="247"/>
        <v>733.33333333333326</v>
      </c>
      <c r="E2009">
        <f t="shared" si="243"/>
        <v>0</v>
      </c>
      <c r="G2009">
        <v>1959</v>
      </c>
      <c r="H2009" s="13">
        <f t="shared" si="248"/>
        <v>-1.0275684203264746E-2</v>
      </c>
      <c r="I2009">
        <f t="shared" si="249"/>
        <v>151.78934745773677</v>
      </c>
      <c r="J2009" t="e">
        <f t="shared" si="244"/>
        <v>#NUM!</v>
      </c>
      <c r="K2009" s="27" t="e">
        <f t="shared" si="245"/>
        <v>#NUM!</v>
      </c>
    </row>
    <row r="2010" spans="1:11" x14ac:dyDescent="0.25">
      <c r="A2010" s="26">
        <v>1960</v>
      </c>
      <c r="B2010" s="82">
        <f t="shared" si="246"/>
        <v>0</v>
      </c>
      <c r="C2010" s="58">
        <f t="shared" si="250"/>
        <v>171.9194128119324</v>
      </c>
      <c r="D2010" s="83">
        <f t="shared" si="247"/>
        <v>733.33333333333326</v>
      </c>
      <c r="E2010">
        <f t="shared" si="243"/>
        <v>0</v>
      </c>
      <c r="G2010">
        <v>1960</v>
      </c>
      <c r="H2010" s="13">
        <f t="shared" si="248"/>
        <v>-1.0275684203264746E-2</v>
      </c>
      <c r="I2010">
        <f t="shared" si="249"/>
        <v>151.7790717735335</v>
      </c>
      <c r="J2010" t="e">
        <f t="shared" si="244"/>
        <v>#NUM!</v>
      </c>
      <c r="K2010" s="27" t="e">
        <f t="shared" si="245"/>
        <v>#NUM!</v>
      </c>
    </row>
    <row r="2011" spans="1:11" x14ac:dyDescent="0.25">
      <c r="A2011" s="26">
        <v>1961</v>
      </c>
      <c r="B2011" s="82">
        <f t="shared" si="246"/>
        <v>0</v>
      </c>
      <c r="C2011" s="58">
        <f t="shared" si="250"/>
        <v>171.9194128119324</v>
      </c>
      <c r="D2011" s="83">
        <f t="shared" si="247"/>
        <v>733.33333333333326</v>
      </c>
      <c r="E2011">
        <f t="shared" si="243"/>
        <v>0</v>
      </c>
      <c r="G2011">
        <v>1961</v>
      </c>
      <c r="H2011" s="13">
        <f t="shared" si="248"/>
        <v>-1.0275684203264746E-2</v>
      </c>
      <c r="I2011">
        <f t="shared" si="249"/>
        <v>151.76879608933024</v>
      </c>
      <c r="J2011" t="e">
        <f t="shared" si="244"/>
        <v>#NUM!</v>
      </c>
      <c r="K2011" s="27" t="e">
        <f t="shared" si="245"/>
        <v>#NUM!</v>
      </c>
    </row>
    <row r="2012" spans="1:11" x14ac:dyDescent="0.25">
      <c r="A2012" s="26">
        <v>1962</v>
      </c>
      <c r="B2012" s="82">
        <f t="shared" si="246"/>
        <v>0</v>
      </c>
      <c r="C2012" s="58">
        <f t="shared" si="250"/>
        <v>171.9194128119324</v>
      </c>
      <c r="D2012" s="83">
        <f t="shared" si="247"/>
        <v>733.33333333333326</v>
      </c>
      <c r="E2012">
        <f t="shared" si="243"/>
        <v>0</v>
      </c>
      <c r="G2012">
        <v>1962</v>
      </c>
      <c r="H2012" s="13">
        <f t="shared" si="248"/>
        <v>-1.0275684203264746E-2</v>
      </c>
      <c r="I2012">
        <f t="shared" si="249"/>
        <v>151.75852040512697</v>
      </c>
      <c r="J2012" t="e">
        <f t="shared" si="244"/>
        <v>#NUM!</v>
      </c>
      <c r="K2012" s="27" t="e">
        <f t="shared" si="245"/>
        <v>#NUM!</v>
      </c>
    </row>
    <row r="2013" spans="1:11" x14ac:dyDescent="0.25">
      <c r="A2013" s="26">
        <v>1963</v>
      </c>
      <c r="B2013" s="82">
        <f t="shared" si="246"/>
        <v>0</v>
      </c>
      <c r="C2013" s="58">
        <f t="shared" si="250"/>
        <v>171.9194128119324</v>
      </c>
      <c r="D2013" s="83">
        <f t="shared" si="247"/>
        <v>733.33333333333326</v>
      </c>
      <c r="E2013">
        <f t="shared" si="243"/>
        <v>0</v>
      </c>
      <c r="G2013">
        <v>1963</v>
      </c>
      <c r="H2013" s="13">
        <f t="shared" si="248"/>
        <v>-1.0275684203264746E-2</v>
      </c>
      <c r="I2013">
        <f t="shared" si="249"/>
        <v>151.74824472092371</v>
      </c>
      <c r="J2013" t="e">
        <f t="shared" si="244"/>
        <v>#NUM!</v>
      </c>
      <c r="K2013" s="27" t="e">
        <f t="shared" si="245"/>
        <v>#NUM!</v>
      </c>
    </row>
    <row r="2014" spans="1:11" x14ac:dyDescent="0.25">
      <c r="A2014" s="26">
        <v>1964</v>
      </c>
      <c r="B2014" s="82">
        <f t="shared" si="246"/>
        <v>0</v>
      </c>
      <c r="C2014" s="58">
        <f t="shared" si="250"/>
        <v>171.9194128119324</v>
      </c>
      <c r="D2014" s="83">
        <f t="shared" si="247"/>
        <v>733.33333333333326</v>
      </c>
      <c r="E2014">
        <f t="shared" si="243"/>
        <v>0</v>
      </c>
      <c r="G2014">
        <v>1964</v>
      </c>
      <c r="H2014" s="13">
        <f t="shared" si="248"/>
        <v>-1.0275684203264746E-2</v>
      </c>
      <c r="I2014">
        <f t="shared" si="249"/>
        <v>151.73796903672044</v>
      </c>
      <c r="J2014" t="e">
        <f t="shared" si="244"/>
        <v>#NUM!</v>
      </c>
      <c r="K2014" s="27" t="e">
        <f t="shared" si="245"/>
        <v>#NUM!</v>
      </c>
    </row>
    <row r="2015" spans="1:11" x14ac:dyDescent="0.25">
      <c r="A2015" s="26">
        <v>1965</v>
      </c>
      <c r="B2015" s="82">
        <f t="shared" si="246"/>
        <v>0</v>
      </c>
      <c r="C2015" s="58">
        <f t="shared" si="250"/>
        <v>171.9194128119324</v>
      </c>
      <c r="D2015" s="83">
        <f t="shared" si="247"/>
        <v>733.33333333333326</v>
      </c>
      <c r="E2015">
        <f t="shared" si="243"/>
        <v>0</v>
      </c>
      <c r="G2015">
        <v>1965</v>
      </c>
      <c r="H2015" s="13">
        <f t="shared" si="248"/>
        <v>-1.0275684203264746E-2</v>
      </c>
      <c r="I2015">
        <f t="shared" si="249"/>
        <v>151.72769335251718</v>
      </c>
      <c r="J2015" t="e">
        <f t="shared" si="244"/>
        <v>#NUM!</v>
      </c>
      <c r="K2015" s="27" t="e">
        <f t="shared" si="245"/>
        <v>#NUM!</v>
      </c>
    </row>
    <row r="2016" spans="1:11" x14ac:dyDescent="0.25">
      <c r="A2016" s="26">
        <v>1966</v>
      </c>
      <c r="B2016" s="82">
        <f t="shared" si="246"/>
        <v>0</v>
      </c>
      <c r="C2016" s="58">
        <f t="shared" si="250"/>
        <v>171.9194128119324</v>
      </c>
      <c r="D2016" s="83">
        <f t="shared" si="247"/>
        <v>733.33333333333326</v>
      </c>
      <c r="E2016">
        <f t="shared" si="243"/>
        <v>0</v>
      </c>
      <c r="G2016">
        <v>1966</v>
      </c>
      <c r="H2016" s="13">
        <f t="shared" si="248"/>
        <v>-1.0275684203264746E-2</v>
      </c>
      <c r="I2016">
        <f t="shared" si="249"/>
        <v>151.71741766831391</v>
      </c>
      <c r="J2016" t="e">
        <f t="shared" si="244"/>
        <v>#NUM!</v>
      </c>
      <c r="K2016" s="27" t="e">
        <f t="shared" si="245"/>
        <v>#NUM!</v>
      </c>
    </row>
    <row r="2017" spans="1:11" x14ac:dyDescent="0.25">
      <c r="A2017" s="26">
        <v>1967</v>
      </c>
      <c r="B2017" s="82">
        <f t="shared" si="246"/>
        <v>0</v>
      </c>
      <c r="C2017" s="58">
        <f t="shared" si="250"/>
        <v>171.9194128119324</v>
      </c>
      <c r="D2017" s="83">
        <f t="shared" si="247"/>
        <v>733.33333333333326</v>
      </c>
      <c r="E2017">
        <f t="shared" si="243"/>
        <v>0</v>
      </c>
      <c r="G2017">
        <v>1967</v>
      </c>
      <c r="H2017" s="13">
        <f t="shared" si="248"/>
        <v>-1.0275684203264746E-2</v>
      </c>
      <c r="I2017">
        <f t="shared" si="249"/>
        <v>151.70714198411065</v>
      </c>
      <c r="J2017" t="e">
        <f t="shared" si="244"/>
        <v>#NUM!</v>
      </c>
      <c r="K2017" s="27" t="e">
        <f t="shared" si="245"/>
        <v>#NUM!</v>
      </c>
    </row>
    <row r="2018" spans="1:11" x14ac:dyDescent="0.25">
      <c r="A2018" s="26">
        <v>1968</v>
      </c>
      <c r="B2018" s="82">
        <f t="shared" si="246"/>
        <v>0</v>
      </c>
      <c r="C2018" s="58">
        <f t="shared" si="250"/>
        <v>171.9194128119324</v>
      </c>
      <c r="D2018" s="83">
        <f t="shared" si="247"/>
        <v>733.33333333333326</v>
      </c>
      <c r="E2018">
        <f t="shared" si="243"/>
        <v>0</v>
      </c>
      <c r="G2018">
        <v>1968</v>
      </c>
      <c r="H2018" s="13">
        <f t="shared" si="248"/>
        <v>-1.0275684203264746E-2</v>
      </c>
      <c r="I2018">
        <f t="shared" si="249"/>
        <v>151.69686629990738</v>
      </c>
      <c r="J2018" t="e">
        <f t="shared" si="244"/>
        <v>#NUM!</v>
      </c>
      <c r="K2018" s="27" t="e">
        <f t="shared" si="245"/>
        <v>#NUM!</v>
      </c>
    </row>
    <row r="2019" spans="1:11" x14ac:dyDescent="0.25">
      <c r="A2019" s="26">
        <v>1969</v>
      </c>
      <c r="B2019" s="82">
        <f t="shared" si="246"/>
        <v>0</v>
      </c>
      <c r="C2019" s="58">
        <f t="shared" si="250"/>
        <v>171.9194128119324</v>
      </c>
      <c r="D2019" s="83">
        <f t="shared" si="247"/>
        <v>733.33333333333326</v>
      </c>
      <c r="E2019">
        <f t="shared" si="243"/>
        <v>0</v>
      </c>
      <c r="G2019">
        <v>1969</v>
      </c>
      <c r="H2019" s="13">
        <f t="shared" si="248"/>
        <v>-1.0275684203264746E-2</v>
      </c>
      <c r="I2019">
        <f t="shared" si="249"/>
        <v>151.68659061570412</v>
      </c>
      <c r="J2019" t="e">
        <f t="shared" si="244"/>
        <v>#NUM!</v>
      </c>
      <c r="K2019" s="27" t="e">
        <f t="shared" si="245"/>
        <v>#NUM!</v>
      </c>
    </row>
    <row r="2020" spans="1:11" x14ac:dyDescent="0.25">
      <c r="A2020" s="26">
        <v>1970</v>
      </c>
      <c r="B2020" s="82">
        <f t="shared" si="246"/>
        <v>0</v>
      </c>
      <c r="C2020" s="58">
        <f t="shared" si="250"/>
        <v>171.9194128119324</v>
      </c>
      <c r="D2020" s="83">
        <f t="shared" si="247"/>
        <v>733.33333333333326</v>
      </c>
      <c r="E2020">
        <f t="shared" si="243"/>
        <v>0</v>
      </c>
      <c r="G2020">
        <v>1970</v>
      </c>
      <c r="H2020" s="13">
        <f t="shared" si="248"/>
        <v>-1.0275684203264746E-2</v>
      </c>
      <c r="I2020">
        <f t="shared" si="249"/>
        <v>151.67631493150085</v>
      </c>
      <c r="J2020" t="e">
        <f t="shared" si="244"/>
        <v>#NUM!</v>
      </c>
      <c r="K2020" s="27" t="e">
        <f t="shared" si="245"/>
        <v>#NUM!</v>
      </c>
    </row>
    <row r="2021" spans="1:11" x14ac:dyDescent="0.25">
      <c r="A2021" s="26">
        <v>1971</v>
      </c>
      <c r="B2021" s="82">
        <f t="shared" si="246"/>
        <v>0</v>
      </c>
      <c r="C2021" s="58">
        <f t="shared" si="250"/>
        <v>171.9194128119324</v>
      </c>
      <c r="D2021" s="83">
        <f t="shared" si="247"/>
        <v>733.33333333333326</v>
      </c>
      <c r="E2021">
        <f t="shared" si="243"/>
        <v>0</v>
      </c>
      <c r="G2021">
        <v>1971</v>
      </c>
      <c r="H2021" s="13">
        <f t="shared" si="248"/>
        <v>-1.0275684203264746E-2</v>
      </c>
      <c r="I2021">
        <f t="shared" si="249"/>
        <v>151.66603924729759</v>
      </c>
      <c r="J2021" t="e">
        <f t="shared" si="244"/>
        <v>#NUM!</v>
      </c>
      <c r="K2021" s="27" t="e">
        <f t="shared" si="245"/>
        <v>#NUM!</v>
      </c>
    </row>
    <row r="2022" spans="1:11" x14ac:dyDescent="0.25">
      <c r="A2022" s="26">
        <v>1972</v>
      </c>
      <c r="B2022" s="82">
        <f t="shared" si="246"/>
        <v>0</v>
      </c>
      <c r="C2022" s="58">
        <f t="shared" si="250"/>
        <v>171.9194128119324</v>
      </c>
      <c r="D2022" s="83">
        <f t="shared" si="247"/>
        <v>733.33333333333326</v>
      </c>
      <c r="E2022">
        <f t="shared" si="243"/>
        <v>0</v>
      </c>
      <c r="G2022">
        <v>1972</v>
      </c>
      <c r="H2022" s="13">
        <f t="shared" si="248"/>
        <v>-1.0275684203264746E-2</v>
      </c>
      <c r="I2022">
        <f t="shared" si="249"/>
        <v>151.65576356309433</v>
      </c>
      <c r="J2022" t="e">
        <f t="shared" si="244"/>
        <v>#NUM!</v>
      </c>
      <c r="K2022" s="27" t="e">
        <f t="shared" si="245"/>
        <v>#NUM!</v>
      </c>
    </row>
    <row r="2023" spans="1:11" x14ac:dyDescent="0.25">
      <c r="A2023" s="26">
        <v>1973</v>
      </c>
      <c r="B2023" s="82">
        <f t="shared" si="246"/>
        <v>0</v>
      </c>
      <c r="C2023" s="58">
        <f t="shared" si="250"/>
        <v>171.9194128119324</v>
      </c>
      <c r="D2023" s="83">
        <f t="shared" si="247"/>
        <v>733.33333333333326</v>
      </c>
      <c r="E2023">
        <f t="shared" si="243"/>
        <v>0</v>
      </c>
      <c r="G2023">
        <v>1973</v>
      </c>
      <c r="H2023" s="13">
        <f t="shared" si="248"/>
        <v>-1.0275684203264746E-2</v>
      </c>
      <c r="I2023">
        <f t="shared" si="249"/>
        <v>151.64548787889106</v>
      </c>
      <c r="J2023" t="e">
        <f t="shared" si="244"/>
        <v>#NUM!</v>
      </c>
      <c r="K2023" s="27" t="e">
        <f t="shared" si="245"/>
        <v>#NUM!</v>
      </c>
    </row>
    <row r="2024" spans="1:11" x14ac:dyDescent="0.25">
      <c r="A2024" s="26">
        <v>1974</v>
      </c>
      <c r="B2024" s="82">
        <f t="shared" si="246"/>
        <v>0</v>
      </c>
      <c r="C2024" s="58">
        <f t="shared" si="250"/>
        <v>171.9194128119324</v>
      </c>
      <c r="D2024" s="83">
        <f t="shared" si="247"/>
        <v>733.33333333333326</v>
      </c>
      <c r="E2024">
        <f t="shared" si="243"/>
        <v>0</v>
      </c>
      <c r="G2024">
        <v>1974</v>
      </c>
      <c r="H2024" s="13">
        <f t="shared" si="248"/>
        <v>-1.0275684203264746E-2</v>
      </c>
      <c r="I2024">
        <f t="shared" si="249"/>
        <v>151.6352121946878</v>
      </c>
      <c r="J2024" t="e">
        <f t="shared" si="244"/>
        <v>#NUM!</v>
      </c>
      <c r="K2024" s="27" t="e">
        <f t="shared" si="245"/>
        <v>#NUM!</v>
      </c>
    </row>
    <row r="2025" spans="1:11" x14ac:dyDescent="0.25">
      <c r="A2025" s="26">
        <v>1975</v>
      </c>
      <c r="B2025" s="82">
        <f t="shared" si="246"/>
        <v>0</v>
      </c>
      <c r="C2025" s="58">
        <f t="shared" si="250"/>
        <v>171.9194128119324</v>
      </c>
      <c r="D2025" s="83">
        <f t="shared" si="247"/>
        <v>733.33333333333326</v>
      </c>
      <c r="E2025">
        <f t="shared" si="243"/>
        <v>0</v>
      </c>
      <c r="G2025">
        <v>1975</v>
      </c>
      <c r="H2025" s="13">
        <f t="shared" si="248"/>
        <v>-1.0275684203264746E-2</v>
      </c>
      <c r="I2025">
        <f t="shared" si="249"/>
        <v>151.62493651048453</v>
      </c>
      <c r="J2025" t="e">
        <f t="shared" si="244"/>
        <v>#NUM!</v>
      </c>
      <c r="K2025" s="27" t="e">
        <f t="shared" si="245"/>
        <v>#NUM!</v>
      </c>
    </row>
    <row r="2026" spans="1:11" x14ac:dyDescent="0.25">
      <c r="A2026" s="26">
        <v>1976</v>
      </c>
      <c r="B2026" s="82">
        <f t="shared" si="246"/>
        <v>0</v>
      </c>
      <c r="C2026" s="58">
        <f t="shared" si="250"/>
        <v>171.9194128119324</v>
      </c>
      <c r="D2026" s="83">
        <f t="shared" si="247"/>
        <v>733.33333333333326</v>
      </c>
      <c r="E2026">
        <f t="shared" si="243"/>
        <v>0</v>
      </c>
      <c r="G2026">
        <v>1976</v>
      </c>
      <c r="H2026" s="13">
        <f t="shared" si="248"/>
        <v>-1.0275684203264746E-2</v>
      </c>
      <c r="I2026">
        <f t="shared" si="249"/>
        <v>151.61466082628127</v>
      </c>
      <c r="J2026" t="e">
        <f t="shared" si="244"/>
        <v>#NUM!</v>
      </c>
      <c r="K2026" s="27" t="e">
        <f t="shared" si="245"/>
        <v>#NUM!</v>
      </c>
    </row>
    <row r="2027" spans="1:11" x14ac:dyDescent="0.25">
      <c r="A2027" s="26">
        <v>1977</v>
      </c>
      <c r="B2027" s="82">
        <f t="shared" si="246"/>
        <v>0</v>
      </c>
      <c r="C2027" s="58">
        <f t="shared" si="250"/>
        <v>171.9194128119324</v>
      </c>
      <c r="D2027" s="83">
        <f t="shared" si="247"/>
        <v>733.33333333333326</v>
      </c>
      <c r="E2027">
        <f t="shared" si="243"/>
        <v>0</v>
      </c>
      <c r="G2027">
        <v>1977</v>
      </c>
      <c r="H2027" s="13">
        <f t="shared" si="248"/>
        <v>-1.0275684203264746E-2</v>
      </c>
      <c r="I2027">
        <f t="shared" si="249"/>
        <v>151.604385142078</v>
      </c>
      <c r="J2027" t="e">
        <f t="shared" si="244"/>
        <v>#NUM!</v>
      </c>
      <c r="K2027" s="27" t="e">
        <f t="shared" si="245"/>
        <v>#NUM!</v>
      </c>
    </row>
    <row r="2028" spans="1:11" x14ac:dyDescent="0.25">
      <c r="A2028" s="26">
        <v>1978</v>
      </c>
      <c r="B2028" s="82">
        <f t="shared" si="246"/>
        <v>0</v>
      </c>
      <c r="C2028" s="58">
        <f t="shared" si="250"/>
        <v>171.9194128119324</v>
      </c>
      <c r="D2028" s="83">
        <f t="shared" si="247"/>
        <v>733.33333333333326</v>
      </c>
      <c r="E2028">
        <f t="shared" si="243"/>
        <v>0</v>
      </c>
      <c r="G2028">
        <v>1978</v>
      </c>
      <c r="H2028" s="13">
        <f t="shared" si="248"/>
        <v>-1.0275684203264746E-2</v>
      </c>
      <c r="I2028">
        <f t="shared" si="249"/>
        <v>151.59410945787474</v>
      </c>
      <c r="J2028" t="e">
        <f t="shared" si="244"/>
        <v>#NUM!</v>
      </c>
      <c r="K2028" s="27" t="e">
        <f t="shared" si="245"/>
        <v>#NUM!</v>
      </c>
    </row>
    <row r="2029" spans="1:11" x14ac:dyDescent="0.25">
      <c r="A2029" s="26">
        <v>1979</v>
      </c>
      <c r="B2029" s="82">
        <f t="shared" si="246"/>
        <v>0</v>
      </c>
      <c r="C2029" s="58">
        <f t="shared" si="250"/>
        <v>171.9194128119324</v>
      </c>
      <c r="D2029" s="83">
        <f t="shared" si="247"/>
        <v>733.33333333333326</v>
      </c>
      <c r="E2029">
        <f t="shared" si="243"/>
        <v>0</v>
      </c>
      <c r="G2029">
        <v>1979</v>
      </c>
      <c r="H2029" s="13">
        <f t="shared" si="248"/>
        <v>-1.0275684203264746E-2</v>
      </c>
      <c r="I2029">
        <f t="shared" si="249"/>
        <v>151.58383377367147</v>
      </c>
      <c r="J2029" t="e">
        <f t="shared" si="244"/>
        <v>#NUM!</v>
      </c>
      <c r="K2029" s="27" t="e">
        <f t="shared" si="245"/>
        <v>#NUM!</v>
      </c>
    </row>
    <row r="2030" spans="1:11" x14ac:dyDescent="0.25">
      <c r="A2030" s="26">
        <v>1980</v>
      </c>
      <c r="B2030" s="82">
        <f t="shared" si="246"/>
        <v>0</v>
      </c>
      <c r="C2030" s="58">
        <f t="shared" si="250"/>
        <v>171.9194128119324</v>
      </c>
      <c r="D2030" s="83">
        <f t="shared" si="247"/>
        <v>733.33333333333326</v>
      </c>
      <c r="E2030">
        <f t="shared" si="243"/>
        <v>0</v>
      </c>
      <c r="G2030">
        <v>1980</v>
      </c>
      <c r="H2030" s="13">
        <f t="shared" si="248"/>
        <v>-1.0275684203264746E-2</v>
      </c>
      <c r="I2030">
        <f t="shared" si="249"/>
        <v>151.57355808946821</v>
      </c>
      <c r="J2030" t="e">
        <f t="shared" si="244"/>
        <v>#NUM!</v>
      </c>
      <c r="K2030" s="27" t="e">
        <f t="shared" si="245"/>
        <v>#NUM!</v>
      </c>
    </row>
    <row r="2031" spans="1:11" x14ac:dyDescent="0.25">
      <c r="A2031" s="26">
        <v>1981</v>
      </c>
      <c r="B2031" s="82">
        <f t="shared" si="246"/>
        <v>0</v>
      </c>
      <c r="C2031" s="58">
        <f t="shared" si="250"/>
        <v>171.9194128119324</v>
      </c>
      <c r="D2031" s="83">
        <f t="shared" si="247"/>
        <v>733.33333333333326</v>
      </c>
      <c r="E2031">
        <f t="shared" si="243"/>
        <v>0</v>
      </c>
      <c r="G2031">
        <v>1981</v>
      </c>
      <c r="H2031" s="13">
        <f t="shared" si="248"/>
        <v>-1.0275684203264746E-2</v>
      </c>
      <c r="I2031">
        <f t="shared" si="249"/>
        <v>151.56328240526494</v>
      </c>
      <c r="J2031" t="e">
        <f t="shared" si="244"/>
        <v>#NUM!</v>
      </c>
      <c r="K2031" s="27" t="e">
        <f t="shared" si="245"/>
        <v>#NUM!</v>
      </c>
    </row>
    <row r="2032" spans="1:11" x14ac:dyDescent="0.25">
      <c r="A2032" s="26">
        <v>1982</v>
      </c>
      <c r="B2032" s="82">
        <f t="shared" si="246"/>
        <v>0</v>
      </c>
      <c r="C2032" s="58">
        <f t="shared" si="250"/>
        <v>171.9194128119324</v>
      </c>
      <c r="D2032" s="83">
        <f t="shared" si="247"/>
        <v>733.33333333333326</v>
      </c>
      <c r="E2032">
        <f t="shared" si="243"/>
        <v>0</v>
      </c>
      <c r="G2032">
        <v>1982</v>
      </c>
      <c r="H2032" s="13">
        <f t="shared" si="248"/>
        <v>-1.0275684203264746E-2</v>
      </c>
      <c r="I2032">
        <f t="shared" si="249"/>
        <v>151.55300672106168</v>
      </c>
      <c r="J2032" t="e">
        <f t="shared" si="244"/>
        <v>#NUM!</v>
      </c>
      <c r="K2032" s="27" t="e">
        <f t="shared" si="245"/>
        <v>#NUM!</v>
      </c>
    </row>
    <row r="2033" spans="1:11" x14ac:dyDescent="0.25">
      <c r="A2033" s="26">
        <v>1983</v>
      </c>
      <c r="B2033" s="82">
        <f t="shared" si="246"/>
        <v>0</v>
      </c>
      <c r="C2033" s="58">
        <f t="shared" si="250"/>
        <v>171.9194128119324</v>
      </c>
      <c r="D2033" s="83">
        <f t="shared" si="247"/>
        <v>733.33333333333326</v>
      </c>
      <c r="E2033">
        <f t="shared" si="243"/>
        <v>0</v>
      </c>
      <c r="G2033">
        <v>1983</v>
      </c>
      <c r="H2033" s="13">
        <f t="shared" si="248"/>
        <v>-1.0275684203264746E-2</v>
      </c>
      <c r="I2033">
        <f t="shared" si="249"/>
        <v>151.54273103685841</v>
      </c>
      <c r="J2033" t="e">
        <f t="shared" si="244"/>
        <v>#NUM!</v>
      </c>
      <c r="K2033" s="27" t="e">
        <f t="shared" si="245"/>
        <v>#NUM!</v>
      </c>
    </row>
    <row r="2034" spans="1:11" x14ac:dyDescent="0.25">
      <c r="A2034" s="26">
        <v>1984</v>
      </c>
      <c r="B2034" s="82">
        <f t="shared" si="246"/>
        <v>0</v>
      </c>
      <c r="C2034" s="58">
        <f t="shared" si="250"/>
        <v>171.9194128119324</v>
      </c>
      <c r="D2034" s="83">
        <f t="shared" si="247"/>
        <v>733.33333333333326</v>
      </c>
      <c r="E2034">
        <f t="shared" si="243"/>
        <v>0</v>
      </c>
      <c r="G2034">
        <v>1984</v>
      </c>
      <c r="H2034" s="13">
        <f t="shared" si="248"/>
        <v>-1.0275684203264746E-2</v>
      </c>
      <c r="I2034">
        <f t="shared" si="249"/>
        <v>151.53245535265515</v>
      </c>
      <c r="J2034" t="e">
        <f t="shared" si="244"/>
        <v>#NUM!</v>
      </c>
      <c r="K2034" s="27" t="e">
        <f t="shared" si="245"/>
        <v>#NUM!</v>
      </c>
    </row>
    <row r="2035" spans="1:11" x14ac:dyDescent="0.25">
      <c r="A2035" s="26">
        <v>1985</v>
      </c>
      <c r="B2035" s="82">
        <f t="shared" si="246"/>
        <v>0</v>
      </c>
      <c r="C2035" s="58">
        <f t="shared" si="250"/>
        <v>171.9194128119324</v>
      </c>
      <c r="D2035" s="83">
        <f t="shared" si="247"/>
        <v>733.33333333333326</v>
      </c>
      <c r="E2035">
        <f t="shared" ref="E2035:E2049" si="251">((D2035^2)+(D2035*D2036)+(D2036^2))*B2036/3</f>
        <v>0</v>
      </c>
      <c r="G2035">
        <v>1985</v>
      </c>
      <c r="H2035" s="13">
        <f t="shared" si="248"/>
        <v>-1.0275684203264746E-2</v>
      </c>
      <c r="I2035">
        <f t="shared" si="249"/>
        <v>151.52217966845188</v>
      </c>
      <c r="J2035" t="e">
        <f t="shared" ref="J2035:J2049" si="252">IF($G$28&lt;$C$14,0,((($C$11^2)-((I2035-$C$13)^2))^0.5)+$C$16)</f>
        <v>#NUM!</v>
      </c>
      <c r="K2035" s="27" t="e">
        <f t="shared" ref="K2035:K2048" si="253">((J2035^2)+(J2035*J2036)+(J2036^2))*H2036/3</f>
        <v>#NUM!</v>
      </c>
    </row>
    <row r="2036" spans="1:11" x14ac:dyDescent="0.25">
      <c r="A2036" s="26">
        <v>1986</v>
      </c>
      <c r="B2036" s="82">
        <f t="shared" ref="B2036:B2049" si="254">C2036-C2035</f>
        <v>0</v>
      </c>
      <c r="C2036" s="58">
        <f t="shared" si="250"/>
        <v>171.9194128119324</v>
      </c>
      <c r="D2036" s="83">
        <f t="shared" ref="D2036:D2049" si="255">IF($G$28&lt;$C$14,0,((($C$11^2)-((C2036-$C$13)^2))^0.5)+$C$16)</f>
        <v>733.33333333333326</v>
      </c>
      <c r="E2036">
        <f t="shared" si="251"/>
        <v>0</v>
      </c>
      <c r="G2036">
        <v>1986</v>
      </c>
      <c r="H2036" s="13">
        <f t="shared" ref="H2036:H2049" si="256">I2036-I2035</f>
        <v>-1.0275684203264746E-2</v>
      </c>
      <c r="I2036">
        <f t="shared" ref="I2036:I2049" si="257">($G$27-$C$14)/2000+I2035</f>
        <v>151.51190398424862</v>
      </c>
      <c r="J2036" t="e">
        <f t="shared" si="252"/>
        <v>#NUM!</v>
      </c>
      <c r="K2036" s="27" t="e">
        <f t="shared" si="253"/>
        <v>#NUM!</v>
      </c>
    </row>
    <row r="2037" spans="1:11" x14ac:dyDescent="0.25">
      <c r="A2037" s="26">
        <v>1987</v>
      </c>
      <c r="B2037" s="82">
        <f t="shared" si="254"/>
        <v>0</v>
      </c>
      <c r="C2037" s="58">
        <f t="shared" si="250"/>
        <v>171.9194128119324</v>
      </c>
      <c r="D2037" s="83">
        <f t="shared" si="255"/>
        <v>733.33333333333326</v>
      </c>
      <c r="E2037">
        <f t="shared" si="251"/>
        <v>0</v>
      </c>
      <c r="G2037">
        <v>1987</v>
      </c>
      <c r="H2037" s="13">
        <f t="shared" si="256"/>
        <v>-1.0275684203264746E-2</v>
      </c>
      <c r="I2037">
        <f t="shared" si="257"/>
        <v>151.50162830004535</v>
      </c>
      <c r="J2037" t="e">
        <f t="shared" si="252"/>
        <v>#NUM!</v>
      </c>
      <c r="K2037" s="27" t="e">
        <f t="shared" si="253"/>
        <v>#NUM!</v>
      </c>
    </row>
    <row r="2038" spans="1:11" x14ac:dyDescent="0.25">
      <c r="A2038" s="26">
        <v>1988</v>
      </c>
      <c r="B2038" s="82">
        <f t="shared" si="254"/>
        <v>0</v>
      </c>
      <c r="C2038" s="58">
        <f t="shared" si="250"/>
        <v>171.9194128119324</v>
      </c>
      <c r="D2038" s="83">
        <f t="shared" si="255"/>
        <v>733.33333333333326</v>
      </c>
      <c r="E2038">
        <f t="shared" si="251"/>
        <v>0</v>
      </c>
      <c r="G2038">
        <v>1988</v>
      </c>
      <c r="H2038" s="13">
        <f t="shared" si="256"/>
        <v>-1.0275684203264746E-2</v>
      </c>
      <c r="I2038">
        <f t="shared" si="257"/>
        <v>151.49135261584209</v>
      </c>
      <c r="J2038" t="e">
        <f t="shared" si="252"/>
        <v>#NUM!</v>
      </c>
      <c r="K2038" s="27" t="e">
        <f t="shared" si="253"/>
        <v>#NUM!</v>
      </c>
    </row>
    <row r="2039" spans="1:11" x14ac:dyDescent="0.25">
      <c r="A2039" s="26">
        <v>1989</v>
      </c>
      <c r="B2039" s="82">
        <f t="shared" si="254"/>
        <v>0</v>
      </c>
      <c r="C2039" s="58">
        <f t="shared" si="250"/>
        <v>171.9194128119324</v>
      </c>
      <c r="D2039" s="83">
        <f t="shared" si="255"/>
        <v>733.33333333333326</v>
      </c>
      <c r="E2039">
        <f t="shared" si="251"/>
        <v>0</v>
      </c>
      <c r="G2039">
        <v>1989</v>
      </c>
      <c r="H2039" s="13">
        <f t="shared" si="256"/>
        <v>-1.0275684203264746E-2</v>
      </c>
      <c r="I2039">
        <f t="shared" si="257"/>
        <v>151.48107693163882</v>
      </c>
      <c r="J2039" t="e">
        <f t="shared" si="252"/>
        <v>#NUM!</v>
      </c>
      <c r="K2039" s="27" t="e">
        <f t="shared" si="253"/>
        <v>#NUM!</v>
      </c>
    </row>
    <row r="2040" spans="1:11" x14ac:dyDescent="0.25">
      <c r="A2040" s="26">
        <v>1990</v>
      </c>
      <c r="B2040" s="82">
        <f t="shared" si="254"/>
        <v>0</v>
      </c>
      <c r="C2040" s="58">
        <f t="shared" si="250"/>
        <v>171.9194128119324</v>
      </c>
      <c r="D2040" s="83">
        <f t="shared" si="255"/>
        <v>733.33333333333326</v>
      </c>
      <c r="E2040">
        <f t="shared" si="251"/>
        <v>0</v>
      </c>
      <c r="G2040">
        <v>1990</v>
      </c>
      <c r="H2040" s="13">
        <f t="shared" si="256"/>
        <v>-1.0275684203264746E-2</v>
      </c>
      <c r="I2040">
        <f t="shared" si="257"/>
        <v>151.47080124743556</v>
      </c>
      <c r="J2040" t="e">
        <f t="shared" si="252"/>
        <v>#NUM!</v>
      </c>
      <c r="K2040" s="27" t="e">
        <f t="shared" si="253"/>
        <v>#NUM!</v>
      </c>
    </row>
    <row r="2041" spans="1:11" x14ac:dyDescent="0.25">
      <c r="A2041" s="26">
        <v>1991</v>
      </c>
      <c r="B2041" s="82">
        <f t="shared" si="254"/>
        <v>0</v>
      </c>
      <c r="C2041" s="58">
        <f t="shared" si="250"/>
        <v>171.9194128119324</v>
      </c>
      <c r="D2041" s="83">
        <f t="shared" si="255"/>
        <v>733.33333333333326</v>
      </c>
      <c r="E2041">
        <f t="shared" si="251"/>
        <v>0</v>
      </c>
      <c r="G2041">
        <v>1991</v>
      </c>
      <c r="H2041" s="13">
        <f t="shared" si="256"/>
        <v>-1.0275684203264746E-2</v>
      </c>
      <c r="I2041">
        <f t="shared" si="257"/>
        <v>151.4605255632323</v>
      </c>
      <c r="J2041" t="e">
        <f t="shared" si="252"/>
        <v>#NUM!</v>
      </c>
      <c r="K2041" s="27" t="e">
        <f t="shared" si="253"/>
        <v>#NUM!</v>
      </c>
    </row>
    <row r="2042" spans="1:11" x14ac:dyDescent="0.25">
      <c r="A2042" s="26">
        <v>1992</v>
      </c>
      <c r="B2042" s="82">
        <f t="shared" si="254"/>
        <v>0</v>
      </c>
      <c r="C2042" s="58">
        <f t="shared" si="250"/>
        <v>171.9194128119324</v>
      </c>
      <c r="D2042" s="83">
        <f t="shared" si="255"/>
        <v>733.33333333333326</v>
      </c>
      <c r="E2042">
        <f t="shared" si="251"/>
        <v>0</v>
      </c>
      <c r="G2042">
        <v>1992</v>
      </c>
      <c r="H2042" s="13">
        <f t="shared" si="256"/>
        <v>-1.0275684203264746E-2</v>
      </c>
      <c r="I2042">
        <f t="shared" si="257"/>
        <v>151.45024987902903</v>
      </c>
      <c r="J2042" t="e">
        <f t="shared" si="252"/>
        <v>#NUM!</v>
      </c>
      <c r="K2042" s="27" t="e">
        <f t="shared" si="253"/>
        <v>#NUM!</v>
      </c>
    </row>
    <row r="2043" spans="1:11" x14ac:dyDescent="0.25">
      <c r="A2043" s="26">
        <v>1993</v>
      </c>
      <c r="B2043" s="82">
        <f t="shared" si="254"/>
        <v>0</v>
      </c>
      <c r="C2043" s="58">
        <f t="shared" si="250"/>
        <v>171.9194128119324</v>
      </c>
      <c r="D2043" s="83">
        <f t="shared" si="255"/>
        <v>733.33333333333326</v>
      </c>
      <c r="E2043">
        <f t="shared" si="251"/>
        <v>0</v>
      </c>
      <c r="G2043">
        <v>1993</v>
      </c>
      <c r="H2043" s="13">
        <f t="shared" si="256"/>
        <v>-1.0275684203264746E-2</v>
      </c>
      <c r="I2043">
        <f t="shared" si="257"/>
        <v>151.43997419482577</v>
      </c>
      <c r="J2043" t="e">
        <f t="shared" si="252"/>
        <v>#NUM!</v>
      </c>
      <c r="K2043" s="27" t="e">
        <f t="shared" si="253"/>
        <v>#NUM!</v>
      </c>
    </row>
    <row r="2044" spans="1:11" x14ac:dyDescent="0.25">
      <c r="A2044" s="26">
        <v>1994</v>
      </c>
      <c r="B2044" s="82">
        <f t="shared" si="254"/>
        <v>0</v>
      </c>
      <c r="C2044" s="58">
        <f t="shared" si="250"/>
        <v>171.9194128119324</v>
      </c>
      <c r="D2044" s="83">
        <f t="shared" si="255"/>
        <v>733.33333333333326</v>
      </c>
      <c r="E2044">
        <f t="shared" si="251"/>
        <v>0</v>
      </c>
      <c r="G2044">
        <v>1994</v>
      </c>
      <c r="H2044" s="13">
        <f t="shared" si="256"/>
        <v>-1.0275684203264746E-2</v>
      </c>
      <c r="I2044">
        <f t="shared" si="257"/>
        <v>151.4296985106225</v>
      </c>
      <c r="J2044" t="e">
        <f t="shared" si="252"/>
        <v>#NUM!</v>
      </c>
      <c r="K2044" s="27" t="e">
        <f t="shared" si="253"/>
        <v>#NUM!</v>
      </c>
    </row>
    <row r="2045" spans="1:11" x14ac:dyDescent="0.25">
      <c r="A2045" s="26">
        <v>1995</v>
      </c>
      <c r="B2045" s="82">
        <f t="shared" si="254"/>
        <v>0</v>
      </c>
      <c r="C2045" s="58">
        <f t="shared" si="250"/>
        <v>171.9194128119324</v>
      </c>
      <c r="D2045" s="83">
        <f t="shared" si="255"/>
        <v>733.33333333333326</v>
      </c>
      <c r="E2045">
        <f t="shared" si="251"/>
        <v>0</v>
      </c>
      <c r="G2045">
        <v>1995</v>
      </c>
      <c r="H2045" s="13">
        <f t="shared" si="256"/>
        <v>-1.0275684203264746E-2</v>
      </c>
      <c r="I2045">
        <f t="shared" si="257"/>
        <v>151.41942282641924</v>
      </c>
      <c r="J2045" t="e">
        <f t="shared" si="252"/>
        <v>#NUM!</v>
      </c>
      <c r="K2045" s="27" t="e">
        <f t="shared" si="253"/>
        <v>#NUM!</v>
      </c>
    </row>
    <row r="2046" spans="1:11" x14ac:dyDescent="0.25">
      <c r="A2046" s="26">
        <v>1996</v>
      </c>
      <c r="B2046" s="82">
        <f t="shared" si="254"/>
        <v>0</v>
      </c>
      <c r="C2046" s="58">
        <f t="shared" si="250"/>
        <v>171.9194128119324</v>
      </c>
      <c r="D2046" s="83">
        <f t="shared" si="255"/>
        <v>733.33333333333326</v>
      </c>
      <c r="E2046">
        <f t="shared" si="251"/>
        <v>0</v>
      </c>
      <c r="G2046">
        <v>1996</v>
      </c>
      <c r="H2046" s="13">
        <f t="shared" si="256"/>
        <v>-1.0275684203264746E-2</v>
      </c>
      <c r="I2046">
        <f t="shared" si="257"/>
        <v>151.40914714221597</v>
      </c>
      <c r="J2046" t="e">
        <f t="shared" si="252"/>
        <v>#NUM!</v>
      </c>
      <c r="K2046" s="27" t="e">
        <f t="shared" si="253"/>
        <v>#NUM!</v>
      </c>
    </row>
    <row r="2047" spans="1:11" x14ac:dyDescent="0.25">
      <c r="A2047" s="26">
        <v>1997</v>
      </c>
      <c r="B2047" s="82">
        <f t="shared" si="254"/>
        <v>0</v>
      </c>
      <c r="C2047" s="58">
        <f t="shared" si="250"/>
        <v>171.9194128119324</v>
      </c>
      <c r="D2047" s="83">
        <f t="shared" si="255"/>
        <v>733.33333333333326</v>
      </c>
      <c r="E2047">
        <f t="shared" si="251"/>
        <v>0</v>
      </c>
      <c r="G2047">
        <v>1997</v>
      </c>
      <c r="H2047" s="13">
        <f t="shared" si="256"/>
        <v>-1.0275684203264746E-2</v>
      </c>
      <c r="I2047">
        <f t="shared" si="257"/>
        <v>151.39887145801271</v>
      </c>
      <c r="J2047" t="e">
        <f t="shared" si="252"/>
        <v>#NUM!</v>
      </c>
      <c r="K2047" s="27" t="e">
        <f t="shared" si="253"/>
        <v>#NUM!</v>
      </c>
    </row>
    <row r="2048" spans="1:11" x14ac:dyDescent="0.25">
      <c r="A2048" s="26">
        <v>1998</v>
      </c>
      <c r="B2048" s="82">
        <f t="shared" si="254"/>
        <v>0</v>
      </c>
      <c r="C2048" s="58">
        <f t="shared" si="250"/>
        <v>171.9194128119324</v>
      </c>
      <c r="D2048" s="83">
        <f t="shared" si="255"/>
        <v>733.33333333333326</v>
      </c>
      <c r="E2048">
        <f t="shared" si="251"/>
        <v>0</v>
      </c>
      <c r="G2048">
        <v>1998</v>
      </c>
      <c r="H2048" s="13">
        <f t="shared" si="256"/>
        <v>-1.0275684203264746E-2</v>
      </c>
      <c r="I2048">
        <f t="shared" si="257"/>
        <v>151.38859577380944</v>
      </c>
      <c r="J2048" t="e">
        <f t="shared" si="252"/>
        <v>#NUM!</v>
      </c>
      <c r="K2048" s="27" t="e">
        <f t="shared" si="253"/>
        <v>#NUM!</v>
      </c>
    </row>
    <row r="2049" spans="1:11" ht="15.75" thickBot="1" x14ac:dyDescent="0.3">
      <c r="A2049" s="28">
        <v>1999</v>
      </c>
      <c r="B2049" s="80">
        <f t="shared" si="254"/>
        <v>0</v>
      </c>
      <c r="C2049" s="60">
        <f t="shared" si="250"/>
        <v>171.9194128119324</v>
      </c>
      <c r="D2049" s="81">
        <f t="shared" si="255"/>
        <v>733.33333333333326</v>
      </c>
      <c r="E2049" s="59">
        <f t="shared" si="251"/>
        <v>0</v>
      </c>
      <c r="F2049" s="59"/>
      <c r="G2049" s="59">
        <v>1999</v>
      </c>
      <c r="H2049" s="13">
        <f t="shared" si="256"/>
        <v>-1.0275684203264746E-2</v>
      </c>
      <c r="I2049" s="59">
        <f t="shared" si="257"/>
        <v>151.37832008960618</v>
      </c>
      <c r="J2049" s="59" t="e">
        <f t="shared" si="252"/>
        <v>#NUM!</v>
      </c>
      <c r="K2049" s="29"/>
    </row>
  </sheetData>
  <mergeCells count="11">
    <mergeCell ref="M2:R2"/>
    <mergeCell ref="A3:F3"/>
    <mergeCell ref="A7:F7"/>
    <mergeCell ref="A18:F18"/>
    <mergeCell ref="A24:C24"/>
    <mergeCell ref="E24:G24"/>
    <mergeCell ref="B29:C29"/>
    <mergeCell ref="F29:G29"/>
    <mergeCell ref="A48:E48"/>
    <mergeCell ref="G48:K48"/>
    <mergeCell ref="A47:K4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BBD-1BE8-4DCA-9FE1-59A65A5F5714}">
  <dimension ref="A1:H7"/>
  <sheetViews>
    <sheetView workbookViewId="0">
      <selection activeCell="E7" sqref="E7"/>
    </sheetView>
  </sheetViews>
  <sheetFormatPr defaultRowHeight="15" x14ac:dyDescent="0.25"/>
  <cols>
    <col min="2" max="2" width="29" customWidth="1"/>
    <col min="3" max="4" width="19.5703125" customWidth="1"/>
    <col min="5" max="5" width="19.28515625" customWidth="1"/>
    <col min="6" max="6" width="19.7109375" customWidth="1"/>
    <col min="7" max="7" width="17.5703125" customWidth="1"/>
    <col min="8" max="8" width="15" customWidth="1"/>
    <col min="10" max="10" width="16.7109375" customWidth="1"/>
  </cols>
  <sheetData>
    <row r="1" spans="1:8" x14ac:dyDescent="0.25">
      <c r="A1" t="s">
        <v>275</v>
      </c>
      <c r="B1" t="s">
        <v>271</v>
      </c>
      <c r="C1" t="s">
        <v>68</v>
      </c>
      <c r="D1" t="s">
        <v>1</v>
      </c>
      <c r="E1" t="s">
        <v>272</v>
      </c>
      <c r="F1" t="s">
        <v>273</v>
      </c>
      <c r="G1" t="s">
        <v>274</v>
      </c>
      <c r="H1" t="s">
        <v>343</v>
      </c>
    </row>
    <row r="2" spans="1:8" ht="30" x14ac:dyDescent="0.25">
      <c r="A2" t="s">
        <v>205</v>
      </c>
      <c r="B2" s="53" t="s">
        <v>276</v>
      </c>
      <c r="C2">
        <f>$D$2+2*(Input!$D$10)</f>
        <v>1670</v>
      </c>
      <c r="D2">
        <f>Input!$D$9</f>
        <v>1650</v>
      </c>
      <c r="E2">
        <f>$C$2</f>
        <v>1670</v>
      </c>
      <c r="F2">
        <f>0.1*$C$2</f>
        <v>167</v>
      </c>
      <c r="G2" s="82">
        <f>0.1935*$C$2-0.455*Input!$D$10</f>
        <v>318.59499999999997</v>
      </c>
      <c r="H2" s="82">
        <f>(0.098983*Tabell2[[#This Row],[Inner diameter]]^3)/1000000</f>
        <v>444.644008875</v>
      </c>
    </row>
    <row r="3" spans="1:8" ht="30" x14ac:dyDescent="0.25">
      <c r="A3" t="s">
        <v>206</v>
      </c>
      <c r="B3" s="53" t="s">
        <v>277</v>
      </c>
      <c r="C3">
        <f>$D$2+2*(Input!$D$10)</f>
        <v>1670</v>
      </c>
      <c r="D3">
        <f>Input!$D$9</f>
        <v>1650</v>
      </c>
      <c r="E3" s="82">
        <f>0.8*$C$3</f>
        <v>1336</v>
      </c>
      <c r="F3" s="82">
        <f>0.154*$C$3</f>
        <v>257.18</v>
      </c>
      <c r="G3" s="82">
        <f>0.255*$C$3-0.635*Input!$D$10</f>
        <v>419.5</v>
      </c>
      <c r="H3" s="82">
        <f>(0.1298*Tabell2[[#This Row],[Inner diameter]]^3)/1000000</f>
        <v>583.07782499999996</v>
      </c>
    </row>
    <row r="4" spans="1:8" x14ac:dyDescent="0.25">
      <c r="A4" t="s">
        <v>207</v>
      </c>
      <c r="B4" t="s">
        <v>278</v>
      </c>
      <c r="C4">
        <f>$D$2+2*(Input!$D$10)</f>
        <v>1670</v>
      </c>
      <c r="D4">
        <f>Input!$D$9</f>
        <v>1650</v>
      </c>
      <c r="E4" s="82">
        <f>$C$4</f>
        <v>1670</v>
      </c>
      <c r="F4" s="82">
        <f>0.05*$C$4</f>
        <v>83.5</v>
      </c>
      <c r="G4" s="82">
        <f>0.1675*$C$4-Input!$D$10</f>
        <v>269.72500000000002</v>
      </c>
      <c r="H4" s="82">
        <f>(0.076435*Tabell2[[#This Row],[Inner diameter]]^3)/1000000</f>
        <v>343.355574375</v>
      </c>
    </row>
    <row r="5" spans="1:8" x14ac:dyDescent="0.25">
      <c r="A5" t="s">
        <v>208</v>
      </c>
      <c r="B5" t="s">
        <v>279</v>
      </c>
      <c r="C5">
        <f>$D$2+2*(Input!$D$10)</f>
        <v>1670</v>
      </c>
      <c r="D5">
        <f>Input!$D$9</f>
        <v>1650</v>
      </c>
      <c r="E5" s="82">
        <f>0.875*$C$5</f>
        <v>1461.25</v>
      </c>
      <c r="F5" s="82">
        <f>0.08*$C$5</f>
        <v>133.6</v>
      </c>
      <c r="G5" s="82">
        <f>0.205*$C$5-Input!$D$10</f>
        <v>332.34999999999997</v>
      </c>
      <c r="H5" s="82">
        <f>(0.09653*Tabell2[[#This Row],[Inner diameter]]^3)/1000000</f>
        <v>433.62482625000001</v>
      </c>
    </row>
    <row r="6" spans="1:8" x14ac:dyDescent="0.25">
      <c r="A6" t="s">
        <v>209</v>
      </c>
      <c r="B6" t="s">
        <v>280</v>
      </c>
      <c r="C6">
        <f>$D$2+2*(Input!$D$10)</f>
        <v>1670</v>
      </c>
      <c r="D6">
        <f>Input!$D$9</f>
        <v>1650</v>
      </c>
      <c r="E6" s="82">
        <f>0.9*$D$6</f>
        <v>1485</v>
      </c>
      <c r="F6" s="82">
        <f>0.17*$D$6</f>
        <v>280.5</v>
      </c>
      <c r="G6" s="82">
        <f>0.25*$D$6</f>
        <v>412.5</v>
      </c>
      <c r="H6" s="82">
        <f>(0.132842*Tabell2[[#This Row],[Inner diameter]]^3)/1000000</f>
        <v>596.74286925000001</v>
      </c>
    </row>
    <row r="7" spans="1:8" x14ac:dyDescent="0.25">
      <c r="A7" t="s">
        <v>210</v>
      </c>
      <c r="B7" t="s">
        <v>281</v>
      </c>
      <c r="C7">
        <f>$D$2+2*(Input!$D$10)</f>
        <v>1670</v>
      </c>
      <c r="D7">
        <f>Input!$D$9</f>
        <v>1650</v>
      </c>
      <c r="E7" s="82">
        <f>$D$7/1.16</f>
        <v>1422.4137931034484</v>
      </c>
      <c r="F7" s="82">
        <f>$D$7/5.39</f>
        <v>306.12244897959187</v>
      </c>
      <c r="G7" s="82">
        <f>$D$7/3.8</f>
        <v>434.21052631578948</v>
      </c>
      <c r="H7" s="82">
        <f>(0.1405496*Tabell2[[#This Row],[Inner diameter]]^3)/1000000</f>
        <v>631.36637189999999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dimension ref="A1:U43"/>
  <sheetViews>
    <sheetView topLeftCell="A6" workbookViewId="0">
      <selection activeCell="H6" sqref="H6"/>
    </sheetView>
  </sheetViews>
  <sheetFormatPr defaultRowHeight="15" x14ac:dyDescent="0.25"/>
  <cols>
    <col min="1" max="1" width="17" customWidth="1"/>
    <col min="2" max="2" width="25.140625" customWidth="1"/>
    <col min="3" max="3" width="13.5703125" customWidth="1"/>
    <col min="4" max="4" width="9.5703125" customWidth="1"/>
    <col min="5" max="5" width="107.140625" customWidth="1"/>
    <col min="6" max="6" width="13.28515625" customWidth="1"/>
    <col min="7" max="7" width="19.140625" customWidth="1"/>
    <col min="9" max="9" width="9.7109375" customWidth="1"/>
  </cols>
  <sheetData>
    <row r="1" spans="1:21" ht="18.75" x14ac:dyDescent="0.25">
      <c r="A1" s="109" t="s">
        <v>165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5.75" x14ac:dyDescent="0.25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30" x14ac:dyDescent="0.25">
      <c r="A3" t="s">
        <v>344</v>
      </c>
      <c r="B3" s="53" t="s">
        <v>276</v>
      </c>
      <c r="D3" s="7"/>
      <c r="E3" s="7"/>
      <c r="F3" s="289" t="s">
        <v>288</v>
      </c>
      <c r="G3" s="289"/>
      <c r="H3" s="7"/>
      <c r="J3" t="s">
        <v>346</v>
      </c>
      <c r="K3" t="s">
        <v>292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30.75" x14ac:dyDescent="0.3">
      <c r="A4" s="4" t="s">
        <v>13</v>
      </c>
      <c r="B4" s="5">
        <f>Input!$D$12</f>
        <v>500</v>
      </c>
      <c r="C4" s="6" t="s">
        <v>12</v>
      </c>
      <c r="D4" s="7"/>
      <c r="E4" s="7"/>
      <c r="F4" s="200" t="s">
        <v>282</v>
      </c>
      <c r="G4" s="141">
        <f>IF(Input!$D$10=0,5,Input!$D$10)</f>
        <v>10</v>
      </c>
      <c r="H4" s="7"/>
      <c r="I4" s="3" t="s">
        <v>342</v>
      </c>
      <c r="J4" s="93">
        <f>Tabell2[[#This Row],[Vol dish]]</f>
        <v>343.355574375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30.75" x14ac:dyDescent="0.3">
      <c r="A5" s="8" t="s">
        <v>1</v>
      </c>
      <c r="B5" s="9">
        <f>Input!$D$9</f>
        <v>1650</v>
      </c>
      <c r="C5" s="10" t="s">
        <v>7</v>
      </c>
      <c r="D5" s="11"/>
      <c r="E5" s="11"/>
      <c r="F5" s="200" t="s">
        <v>285</v>
      </c>
      <c r="G5" s="141">
        <f>'Vessel Dish Type List (IGNORE!)'!$D$2</f>
        <v>1650</v>
      </c>
      <c r="H5" s="11"/>
      <c r="I5" s="3" t="s">
        <v>297</v>
      </c>
      <c r="J5" s="93" t="e">
        <f>$B$7-SQRT(($B$7)^2-($B$11)^2)</f>
        <v>#VALUE!</v>
      </c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8.75" x14ac:dyDescent="0.3">
      <c r="A6" s="8" t="s">
        <v>348</v>
      </c>
      <c r="B6" s="9">
        <f>$B$5/2</f>
        <v>825</v>
      </c>
      <c r="C6" s="10" t="s">
        <v>7</v>
      </c>
      <c r="D6" s="11"/>
      <c r="E6" s="11"/>
      <c r="F6" s="200"/>
      <c r="G6" s="141"/>
      <c r="H6" s="11"/>
      <c r="I6" s="3"/>
      <c r="J6" s="93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30.75" x14ac:dyDescent="0.3">
      <c r="A7" s="8" t="s">
        <v>15</v>
      </c>
      <c r="B7" s="9">
        <f>IF(Input!$D$10=0,5,Input!$D$10)</f>
        <v>10</v>
      </c>
      <c r="C7" s="1" t="s">
        <v>7</v>
      </c>
      <c r="F7" s="200" t="s">
        <v>296</v>
      </c>
      <c r="G7" s="141" t="e">
        <f>$B$3/2</f>
        <v>#VALUE!</v>
      </c>
      <c r="I7" s="3" t="s">
        <v>305</v>
      </c>
      <c r="J7" s="37" t="e">
        <f>ASIN(($B$11/2)/$B$7)*(180/PI())</f>
        <v>#VALUE!</v>
      </c>
      <c r="N7" s="82"/>
      <c r="O7" s="83"/>
      <c r="Q7" s="12"/>
      <c r="R7" s="13"/>
      <c r="S7" s="111"/>
      <c r="U7" s="12"/>
    </row>
    <row r="8" spans="1:21" ht="18.75" x14ac:dyDescent="0.3">
      <c r="A8" s="8" t="s">
        <v>349</v>
      </c>
      <c r="B8" s="9">
        <f>VLOOKUP($B$3,Tabell2[[Dish Head Type]:[Vol dish]],2,FALSE)</f>
        <v>1670</v>
      </c>
      <c r="C8" s="1" t="s">
        <v>7</v>
      </c>
      <c r="F8" s="200"/>
      <c r="G8" s="141"/>
      <c r="I8" s="3"/>
      <c r="J8" s="37"/>
      <c r="N8" s="82"/>
      <c r="O8" s="83"/>
      <c r="Q8" s="12"/>
      <c r="R8" s="13"/>
      <c r="S8" s="111"/>
      <c r="U8" s="12"/>
    </row>
    <row r="9" spans="1:21" ht="45.75" x14ac:dyDescent="0.3">
      <c r="A9" s="8"/>
      <c r="B9" s="14"/>
      <c r="C9" s="1"/>
      <c r="F9" s="200" t="s">
        <v>284</v>
      </c>
      <c r="G9" s="141">
        <f>'Vessel Dish Type List (IGNORE!)'!$C$2</f>
        <v>1670</v>
      </c>
      <c r="I9" s="3" t="s">
        <v>309</v>
      </c>
      <c r="J9" s="37">
        <f>ASIN($B$16/$B$7)*(180/PI())</f>
        <v>1.1888752937823752</v>
      </c>
      <c r="N9" s="12"/>
      <c r="O9" s="12"/>
      <c r="Q9" s="12"/>
      <c r="R9" s="13"/>
      <c r="S9" s="12"/>
      <c r="U9" s="12"/>
    </row>
    <row r="10" spans="1:21" ht="45.75" x14ac:dyDescent="0.3">
      <c r="A10" s="96" t="s">
        <v>121</v>
      </c>
      <c r="B10" s="14" t="str">
        <f>IF($B$5&lt;1000,
CONCATENATE(ROUNDUP(0.22167*$B$5,0),"mm"),
CONCATENATE(ROUNDUP(0.133002*$B$5,0), "mm - ",ROUNDUP(0.22167*$B$5,0),"mm"))</f>
        <v>220mm - 366mm</v>
      </c>
      <c r="C10" s="1"/>
      <c r="D10" s="14"/>
      <c r="F10" s="192" t="s">
        <v>272</v>
      </c>
      <c r="G10" s="3">
        <f>'Vessel Dish Type List (IGNORE!)'!$E$2</f>
        <v>1670</v>
      </c>
      <c r="I10" s="3" t="s">
        <v>306</v>
      </c>
      <c r="J10" s="37">
        <f>$B$7*(1-COS($E$5*PI()/180))</f>
        <v>0</v>
      </c>
      <c r="N10" s="12"/>
      <c r="O10" s="12"/>
      <c r="Q10" s="12"/>
      <c r="R10" s="13"/>
      <c r="S10" s="12"/>
      <c r="U10" s="12"/>
    </row>
    <row r="11" spans="1:21" ht="45.75" x14ac:dyDescent="0.3">
      <c r="A11" s="96" t="s">
        <v>259</v>
      </c>
      <c r="B11" s="14" t="str">
        <f>IF($B$5&lt;1000,
CONCATENATE(ROUNDUP(0.22167*$B$5/25.4,1)," in"),
CONCATENATE(SUBSTITUTE(ROUNDUP(0.133002*$B$5/25.4,1),",",".",1), " in - ",SUBSTITUTE(ROUNDUP(0.22167*$B$5/25.4,1),",",".",1)," in"))</f>
        <v>8.7 in - 14.4 in</v>
      </c>
      <c r="C11" s="1"/>
      <c r="F11" s="192" t="s">
        <v>286</v>
      </c>
      <c r="G11" s="3">
        <f>'Vessel Dish Type List (IGNORE!)'!$F$2</f>
        <v>167</v>
      </c>
      <c r="I11" s="3" t="s">
        <v>298</v>
      </c>
      <c r="J11" s="3">
        <f>ATAN($B$17/($B$7-$E$7-$B$18))*(180/PI())</f>
        <v>0</v>
      </c>
      <c r="K11" s="3">
        <f>ATAN($B$21/($B$7-$E$7-$B$20))*(180/PI())</f>
        <v>89.652757102914236</v>
      </c>
      <c r="N11" s="12"/>
      <c r="O11" s="12"/>
      <c r="Q11" s="12"/>
      <c r="R11" s="13"/>
      <c r="S11" s="12"/>
      <c r="U11" s="12"/>
    </row>
    <row r="12" spans="1:21" ht="30.75" x14ac:dyDescent="0.3">
      <c r="A12" s="96" t="s">
        <v>158</v>
      </c>
      <c r="B12" s="108">
        <f>VLOOKUP($B$3,Tabell2[[Dish Head Type]:[Vol dish]],7,FALSE)</f>
        <v>444.644008875</v>
      </c>
      <c r="C12" s="1" t="s">
        <v>12</v>
      </c>
      <c r="F12" s="192" t="s">
        <v>287</v>
      </c>
      <c r="G12" s="93">
        <f>'Vessel Dish Type List (IGNORE!)'!$G$2</f>
        <v>318.59499999999997</v>
      </c>
      <c r="I12" s="3" t="s">
        <v>299</v>
      </c>
      <c r="J12" s="3">
        <f>SQRT(($B$7-$E$7-$B$18)^2+($B$17)^2)</f>
        <v>10</v>
      </c>
      <c r="K12" s="3">
        <f>SQRT(($B$7-$E$7-$B$20)^2+($B$21)^2)</f>
        <v>1650.0303027520433</v>
      </c>
      <c r="N12" s="12"/>
      <c r="O12" s="12"/>
      <c r="Q12" s="12"/>
      <c r="R12" s="13"/>
      <c r="S12" s="12"/>
      <c r="U12" s="12"/>
    </row>
    <row r="13" spans="1:21" ht="30.75" x14ac:dyDescent="0.3">
      <c r="A13" s="96" t="s">
        <v>6</v>
      </c>
      <c r="B13" s="97">
        <f>VLOOKUP($B$3,Tabell2[[Dish Head Type]:[Vol dish]],6,FALSE)</f>
        <v>318.59499999999997</v>
      </c>
      <c r="C13" s="1" t="s">
        <v>7</v>
      </c>
      <c r="F13" s="192" t="s">
        <v>295</v>
      </c>
      <c r="G13" s="93">
        <f>($B$4-$B$9)*$B$7/($B$7-$B$9)</f>
        <v>500</v>
      </c>
      <c r="I13" s="3" t="s">
        <v>300</v>
      </c>
      <c r="J13" s="3">
        <f>$E$10*SIN(($E$4+$E$9)*(PI()/180))</f>
        <v>0</v>
      </c>
      <c r="K13" s="3" t="e">
        <f>$F$10*SIN(($E$4+$F$9)*(PI()/180))</f>
        <v>#VALUE!</v>
      </c>
      <c r="N13" s="12"/>
      <c r="O13" s="12"/>
      <c r="Q13" s="12"/>
      <c r="R13" s="13"/>
      <c r="S13" s="12"/>
      <c r="U13" s="12"/>
    </row>
    <row r="14" spans="1:21" ht="18.75" x14ac:dyDescent="0.3">
      <c r="A14" s="96" t="s">
        <v>159</v>
      </c>
      <c r="B14" s="97">
        <f>$B$4-$B$12</f>
        <v>55.355991125000003</v>
      </c>
      <c r="C14" s="1" t="s">
        <v>12</v>
      </c>
      <c r="F14" s="53"/>
      <c r="I14" s="3" t="s">
        <v>301</v>
      </c>
      <c r="J14" s="3">
        <f>$B$7-SQRT($E$10^2-$E$11^2)</f>
        <v>10</v>
      </c>
      <c r="K14" s="3" t="e">
        <f>$B$7-SQRT($F$10^2-$F$11^2)</f>
        <v>#VALUE!</v>
      </c>
      <c r="N14" s="12"/>
      <c r="O14" s="12"/>
      <c r="Q14" s="12"/>
      <c r="R14" s="13"/>
      <c r="S14" s="12"/>
      <c r="U14" s="12"/>
    </row>
    <row r="15" spans="1:21" ht="31.5" thickBot="1" x14ac:dyDescent="0.35">
      <c r="A15" s="96" t="s">
        <v>163</v>
      </c>
      <c r="B15" s="97">
        <f>($B$4-(0.1*($B$5/100)^3))/(PI()*(($B$5)/200)^2)*100</f>
        <v>23.751938798250517</v>
      </c>
      <c r="C15" s="1" t="s">
        <v>7</v>
      </c>
      <c r="F15" s="53"/>
      <c r="N15" s="12"/>
      <c r="O15" s="12"/>
      <c r="Q15" s="12"/>
      <c r="R15" s="13"/>
      <c r="S15" s="12"/>
      <c r="U15" s="12"/>
    </row>
    <row r="16" spans="1:21" ht="30.75" x14ac:dyDescent="0.3">
      <c r="A16" s="15" t="s">
        <v>14</v>
      </c>
      <c r="B16" s="95">
        <f>($B$13+$B$15)/$B$5</f>
        <v>0.20748299321106092</v>
      </c>
      <c r="C16" s="2"/>
      <c r="F16" s="192" t="s">
        <v>289</v>
      </c>
      <c r="G16" s="3"/>
      <c r="I16" s="198" t="s">
        <v>311</v>
      </c>
      <c r="J16" s="198" t="s">
        <v>345</v>
      </c>
    </row>
    <row r="17" spans="1:21" ht="15.75" thickBot="1" x14ac:dyDescent="0.3">
      <c r="F17" s="192" t="s">
        <v>178</v>
      </c>
      <c r="G17" s="3" t="str">
        <f>Input!$C$33</f>
        <v>ZG10</v>
      </c>
      <c r="I17" s="199" t="e">
        <f>IF($E$12&lt;$E$3,(1/3*PI()*$E$12^2*(3*$B$7-$E$12)/1000000),IF($E$12&lt;$B$10,(1/3*PI()*$E$3^2*(3*$B$7-$E$3)/1000000)+(((PI()*(SQRT($B$9^2-($E$12-$B$10)^2)+$B$4-$B$9)^2*($E$12-$E$3)-$B$11^2*PI()*($E$12-$E$3))/1.4+$B$11^2*PI()*($E$12-$E$3))/1000000),$E$2+(($E$12-$B$10)*PI()*$B$4^2/1000000)))</f>
        <v>#VALUE!</v>
      </c>
      <c r="J17" s="199" t="e">
        <f>IF($F$12&lt;$E$3,(1/3*PI()*$F$12^2*(3*$B$7-$F$12)/1000000),IF($F$12&lt;$B$10,(1/3*PI()*$E$3^2*(3*$B$7-$E$3)/1000000)+(((PI()*(SQRT($B$9^2-($F$12-$B$10)^2)+$B$4-$B$9)^2*($F$12-$E$3)-$B$11^2*PI()*($F$12-$E$3))/1.4+$B$11^2*PI()*($F$12-$E$3))/1000000),$E$2+(($F$12-$B$10)*PI()*$B$4^2/1000000)))</f>
        <v>#VALUE!</v>
      </c>
    </row>
    <row r="18" spans="1:21" x14ac:dyDescent="0.25">
      <c r="F18" s="192" t="s">
        <v>303</v>
      </c>
      <c r="G18" s="3" t="e">
        <f>VLOOKUP($B$15,Tabell3[],3,FALSE)</f>
        <v>#N/A</v>
      </c>
    </row>
    <row r="19" spans="1:21" ht="60" x14ac:dyDescent="0.25">
      <c r="A19" s="110" t="s">
        <v>164</v>
      </c>
      <c r="B19" s="110"/>
      <c r="C19" s="110"/>
      <c r="D19" s="110"/>
      <c r="E19" s="110"/>
      <c r="F19" s="192" t="s">
        <v>307</v>
      </c>
      <c r="G19" s="3" t="e">
        <f>VLOOKUP($B$15,Tabell3[],4,FALSE)</f>
        <v>#N/A</v>
      </c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</row>
    <row r="20" spans="1:21" ht="45.75" x14ac:dyDescent="0.3">
      <c r="A20" s="4" t="s">
        <v>156</v>
      </c>
      <c r="B20" s="5">
        <f>Input!$D$11-$B$4</f>
        <v>0</v>
      </c>
      <c r="C20" s="6" t="s">
        <v>12</v>
      </c>
      <c r="D20" s="7"/>
      <c r="E20" s="7"/>
      <c r="F20" s="192" t="s">
        <v>308</v>
      </c>
      <c r="G20" s="3" t="e">
        <f>VLOOKUP($B$15,Tabell3[],5,FALSE)</f>
        <v>#N/A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8.75" x14ac:dyDescent="0.3">
      <c r="A21" s="8" t="s">
        <v>1</v>
      </c>
      <c r="B21" s="9">
        <f>$B$5</f>
        <v>1650</v>
      </c>
      <c r="C21" s="10" t="s">
        <v>7</v>
      </c>
      <c r="D21" s="11"/>
      <c r="E21" s="11"/>
      <c r="F21" s="192" t="s">
        <v>291</v>
      </c>
      <c r="G21" s="3" t="e">
        <f>VLOOKUP($B$15,Tabell3[],6,FALSE)</f>
        <v>#N/A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.75" x14ac:dyDescent="0.3">
      <c r="A22" s="8" t="s">
        <v>15</v>
      </c>
      <c r="B22" s="9">
        <f>$B$7</f>
        <v>10</v>
      </c>
      <c r="C22" s="1" t="s">
        <v>7</v>
      </c>
      <c r="F22" s="192" t="s">
        <v>294</v>
      </c>
      <c r="G22" s="3" t="e">
        <f>VLOOKUP($B$15,Tabell3[],7,FALSE)</f>
        <v>#N/A</v>
      </c>
      <c r="N22" s="12"/>
      <c r="O22" s="58"/>
      <c r="Q22" s="12"/>
      <c r="R22" s="13"/>
      <c r="S22" s="111"/>
      <c r="U22" s="12"/>
    </row>
    <row r="23" spans="1:21" ht="18.75" x14ac:dyDescent="0.3">
      <c r="A23" s="8"/>
      <c r="B23" s="14"/>
      <c r="C23" s="1"/>
      <c r="F23" s="53" t="s">
        <v>347</v>
      </c>
      <c r="G23" s="3" t="e">
        <f>VLOOKUP($B$15,Tabell3[],2,FALSE)</f>
        <v>#N/A</v>
      </c>
      <c r="N23" s="12"/>
      <c r="O23" s="12"/>
      <c r="Q23" s="12"/>
      <c r="R23" s="13"/>
      <c r="S23" s="12"/>
      <c r="U23" s="12"/>
    </row>
    <row r="24" spans="1:21" ht="18.75" x14ac:dyDescent="0.3">
      <c r="A24" s="96" t="s">
        <v>122</v>
      </c>
      <c r="B24" s="97">
        <f>$B$13</f>
        <v>318.59499999999997</v>
      </c>
      <c r="C24" s="1" t="s">
        <v>7</v>
      </c>
      <c r="G24" s="12"/>
      <c r="N24" s="12"/>
      <c r="O24" s="12"/>
      <c r="Q24" s="12"/>
      <c r="R24" s="13"/>
      <c r="S24" s="12"/>
      <c r="U24" s="12"/>
    </row>
    <row r="25" spans="1:21" ht="30.75" x14ac:dyDescent="0.3">
      <c r="A25" s="96" t="s">
        <v>153</v>
      </c>
      <c r="B25" s="97">
        <f>(Input!$D$11-$B$4)/(PI()*($B$5/200)^2)*100</f>
        <v>0</v>
      </c>
      <c r="C25" s="1" t="s">
        <v>7</v>
      </c>
      <c r="G25" s="12"/>
      <c r="N25" s="12"/>
      <c r="O25" s="12"/>
      <c r="Q25" s="12"/>
      <c r="R25" s="13"/>
      <c r="S25" s="12"/>
      <c r="U25" s="12"/>
    </row>
    <row r="26" spans="1:21" ht="30.75" x14ac:dyDescent="0.3">
      <c r="A26" s="96" t="s">
        <v>123</v>
      </c>
      <c r="B26" s="97">
        <f>SUM($B$13,$B$15,$B$24,$B$25)</f>
        <v>660.94193879825048</v>
      </c>
      <c r="C26" s="1" t="s">
        <v>7</v>
      </c>
      <c r="G26" s="12"/>
      <c r="N26" s="12"/>
      <c r="O26" s="12"/>
      <c r="Q26" s="12"/>
      <c r="R26" s="13"/>
      <c r="S26" s="12"/>
      <c r="U26" s="12"/>
    </row>
    <row r="27" spans="1:21" ht="18.75" x14ac:dyDescent="0.3">
      <c r="A27" s="15"/>
      <c r="B27" s="16"/>
      <c r="C27" s="2"/>
      <c r="E27" s="12"/>
    </row>
    <row r="29" spans="1:21" ht="15.75" x14ac:dyDescent="0.25">
      <c r="A29" s="110" t="s">
        <v>162</v>
      </c>
      <c r="B29" s="110"/>
      <c r="C29" s="110"/>
      <c r="K29" s="12"/>
    </row>
    <row r="30" spans="1:21" ht="30" x14ac:dyDescent="0.25">
      <c r="A30" s="33" t="s">
        <v>157</v>
      </c>
      <c r="B30" s="42">
        <f>($B$4+$B$20+$B$12)*8</f>
        <v>7557.1520710000004</v>
      </c>
      <c r="C30" s="33" t="s">
        <v>161</v>
      </c>
      <c r="F30" s="53"/>
    </row>
    <row r="31" spans="1:21" ht="30" x14ac:dyDescent="0.25">
      <c r="A31" s="33" t="s">
        <v>155</v>
      </c>
      <c r="B31" s="42">
        <f>(PI()*(($B$5+2*$B$7)/200)^2*((($B$26+2*$B$7)-2*(0.1935*($B$5+4*$B$7)-0.455*$B$7))/100)+2*(0.1*(($B$5+2*$B$7)/100)^3))*8</f>
        <v>8082.9843237719952</v>
      </c>
      <c r="C31" s="32" t="s">
        <v>161</v>
      </c>
      <c r="F31" s="53"/>
    </row>
    <row r="32" spans="1:21" ht="30" x14ac:dyDescent="0.25">
      <c r="A32" s="33" t="s">
        <v>160</v>
      </c>
      <c r="B32" s="42">
        <f>ROUNDUP($B$31-$B$30,-1)</f>
        <v>530</v>
      </c>
      <c r="C32" s="3" t="s">
        <v>161</v>
      </c>
      <c r="F32" s="53"/>
    </row>
    <row r="33" spans="1:13" x14ac:dyDescent="0.25">
      <c r="F33" s="53"/>
    </row>
    <row r="34" spans="1:13" x14ac:dyDescent="0.25">
      <c r="A34" s="7"/>
      <c r="F34" s="53"/>
      <c r="G34" s="44"/>
      <c r="J34" s="12"/>
      <c r="M34" s="12"/>
    </row>
    <row r="35" spans="1:13" x14ac:dyDescent="0.25">
      <c r="A35" s="7"/>
      <c r="B35" s="12"/>
      <c r="F35" s="53"/>
      <c r="M35" s="83"/>
    </row>
    <row r="37" spans="1:13" x14ac:dyDescent="0.25">
      <c r="F37" s="53"/>
      <c r="G37" s="44"/>
    </row>
    <row r="38" spans="1:13" x14ac:dyDescent="0.25">
      <c r="F38" s="53"/>
    </row>
    <row r="39" spans="1:13" x14ac:dyDescent="0.25">
      <c r="F39" s="53"/>
      <c r="G39" s="44"/>
    </row>
    <row r="43" spans="1:13" x14ac:dyDescent="0.25">
      <c r="B43" s="12"/>
    </row>
  </sheetData>
  <mergeCells count="1">
    <mergeCell ref="F3:G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653665-11B3-451E-A590-5BBADAB11857}">
          <x14:formula1>
            <xm:f>'Vessel Dish Type List (IGNORE!)'!$B$2:$B$7</xm:f>
          </x14:formula1>
          <xm:sqref>B3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61BB4063A0843A98DDED9340B9A22" ma:contentTypeVersion="21" ma:contentTypeDescription="Create a new document." ma:contentTypeScope="" ma:versionID="c38080685fc09ecd27228cdea37d3667">
  <xsd:schema xmlns:xsd="http://www.w3.org/2001/XMLSchema" xmlns:xs="http://www.w3.org/2001/XMLSchema" xmlns:p="http://schemas.microsoft.com/office/2006/metadata/properties" xmlns:ns2="f791f741-6119-49bc-bbdc-f96f318e5cb7" xmlns:ns3="f4bc3b22-f035-4da8-9857-dfb308c90e08" targetNamespace="http://schemas.microsoft.com/office/2006/metadata/properties" ma:root="true" ma:fieldsID="77f9e0db185f0412f215f3808d991167" ns2:_="" ns3:_="">
    <xsd:import namespace="f791f741-6119-49bc-bbdc-f96f318e5cb7"/>
    <xsd:import namespace="f4bc3b22-f035-4da8-9857-dfb308c90e08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Sign_x002d_off_x0020_status" minOccurs="0"/>
                <xsd:element ref="ns2:i06dbb2e4a844f07ade2e2ec6666b7dd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f741-6119-49bc-bbdc-f96f318e5cb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Sign_x002d_off_x0020_status" ma:index="11" nillable="true" ma:displayName="Sign-off status" ma:internalName="Sign_x002d_off_x0020_status" ma:readOnly="false">
      <xsd:simpleType>
        <xsd:restriction base="dms:Text">
          <xsd:maxLength value="255"/>
        </xsd:restriction>
      </xsd:simpleType>
    </xsd:element>
    <xsd:element name="i06dbb2e4a844f07ade2e2ec6666b7dd" ma:index="12" nillable="true" ma:displayName="Process_0" ma:hidden="true" ma:internalName="i06dbb2e4a844f07ade2e2ec6666b7dd" ma:readOnly="false">
      <xsd:simpleType>
        <xsd:restriction base="dms:Note"/>
      </xsd:simpleType>
    </xsd:element>
    <xsd:element name="lcf76f155ced4ddcb4097134ff3c332f0" ma:index="13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d37fda6-6a57-4ba4-aa60-c57cff4213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c3b22-f035-4da8-9857-dfb308c90e08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dc8f4c55-816b-48d3-ac79-d0683d4d42a2}" ma:internalName="TaxCatchAll" ma:showField="CatchAllData" ma:web="f4bc3b22-f035-4da8-9857-dfb308c90e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f791f741-6119-49bc-bbdc-f96f318e5cb7" xsi:nil="true"/>
    <TaxCatchAll xmlns="f4bc3b22-f035-4da8-9857-dfb308c90e08" xsi:nil="true"/>
    <lcf76f155ced4ddcb4097134ff3c332f xmlns="f791f741-6119-49bc-bbdc-f96f318e5cb7">
      <Terms xmlns="http://schemas.microsoft.com/office/infopath/2007/PartnerControls"/>
    </lcf76f155ced4ddcb4097134ff3c332f>
    <Sign_x002d_off_x0020_status xmlns="f791f741-6119-49bc-bbdc-f96f318e5cb7" xsi:nil="true"/>
    <lcf76f155ced4ddcb4097134ff3c332f0 xmlns="f791f741-6119-49bc-bbdc-f96f318e5cb7" xsi:nil="true"/>
    <MigrationWizId xmlns="f791f741-6119-49bc-bbdc-f96f318e5cb7">257b5b45-68e5-4918-b7bb-d141aaa85bab</MigrationWizId>
    <MigrationWizIdPermissions xmlns="f791f741-6119-49bc-bbdc-f96f318e5cb7" xsi:nil="true"/>
    <MigrationWizIdVersion xmlns="f791f741-6119-49bc-bbdc-f96f318e5cb7">257b5b45-68e5-4918-b7bb-d141aaa85bab-638406465510000000</MigrationWizIdVersi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5BCA7D-7794-4021-91E4-59373B0643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f741-6119-49bc-bbdc-f96f318e5cb7"/>
    <ds:schemaRef ds:uri="f4bc3b22-f035-4da8-9857-dfb308c90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6BBB80-A575-4B51-82A8-07CA5EC5F16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65c24eb-ee91-41b4-a797-d1ed8e8d739d"/>
    <ds:schemaRef ds:uri="bcefeded-d1be-47e7-ac51-55f70281957c"/>
    <ds:schemaRef ds:uri="http://schemas.openxmlformats.org/package/2006/metadata/core-properties"/>
    <ds:schemaRef ds:uri="http://schemas.microsoft.com/office/2006/metadata/properties"/>
    <ds:schemaRef ds:uri="f791f741-6119-49bc-bbdc-f96f318e5cb7"/>
    <ds:schemaRef ds:uri="f4bc3b22-f035-4da8-9857-dfb308c90e08"/>
  </ds:schemaRefs>
</ds:datastoreItem>
</file>

<file path=customXml/itemProps3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16</vt:i4>
      </vt:variant>
    </vt:vector>
  </HeadingPairs>
  <TitlesOfParts>
    <vt:vector size="16" baseType="lpstr">
      <vt:lpstr>Input</vt:lpstr>
      <vt:lpstr>Main Mixing Purpose List</vt:lpstr>
      <vt:lpstr>SS Material List</vt:lpstr>
      <vt:lpstr>O-rings List</vt:lpstr>
      <vt:lpstr>IP-Class List</vt:lpstr>
      <vt:lpstr>Vessel dimensions - DIN 28011</vt:lpstr>
      <vt:lpstr>Output</vt:lpstr>
      <vt:lpstr>ZG</vt:lpstr>
      <vt:lpstr>ZGP</vt:lpstr>
      <vt:lpstr>HP</vt:lpstr>
      <vt:lpstr>HS</vt:lpstr>
      <vt:lpstr>ZF</vt:lpstr>
      <vt:lpstr>Min Vol (IGNORE!)</vt:lpstr>
      <vt:lpstr>Min Vol ZG (IGNORE!)</vt:lpstr>
      <vt:lpstr>Vessel Dish Type List (IGNORE!)</vt:lpstr>
      <vt:lpstr>Vessel dimension - (IGNORE)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Petter Abrahamsson</cp:lastModifiedBy>
  <dcterms:created xsi:type="dcterms:W3CDTF">2015-06-05T18:19:34Z</dcterms:created>
  <dcterms:modified xsi:type="dcterms:W3CDTF">2024-01-26T14:01:20Z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0x01010074F61BB4063A0843A98DDED9340B9A22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