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154" documentId="8_{4562B576-9AE5-43A5-BD83-88E41A32A943}" xr6:coauthVersionLast="47" xr6:coauthVersionMax="47" xr10:uidLastSave="{BA1DEEAF-3770-41DF-BE72-7C556EC6284E}"/>
  <bookViews>
    <workbookView xWindow="28680" yWindow="-120" windowWidth="29040" windowHeight="15720" tabRatio="866" activeTab="5"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7" i="20" l="1"/>
  <c r="I37" i="20"/>
  <c r="H37" i="20"/>
  <c r="H36" i="20"/>
  <c r="D13" i="1"/>
  <c r="B51" i="7" l="1"/>
  <c r="B50" i="7"/>
  <c r="B49" i="7"/>
  <c r="B48" i="7"/>
  <c r="B5" i="7"/>
  <c r="B45" i="7"/>
  <c r="N25" i="20"/>
  <c r="N24" i="20"/>
  <c r="D5" i="7"/>
  <c r="E5" i="7"/>
  <c r="C5" i="7"/>
  <c r="G22" i="13"/>
  <c r="F22" i="13"/>
  <c r="E22" i="13"/>
  <c r="D22" i="13"/>
  <c r="C22" i="13"/>
  <c r="G15" i="13"/>
  <c r="F15" i="13"/>
  <c r="E15" i="13"/>
  <c r="D15" i="13"/>
  <c r="C15" i="13"/>
  <c r="D2" i="18"/>
  <c r="C5" i="18" s="1"/>
  <c r="G5" i="18" s="1"/>
  <c r="D3" i="18"/>
  <c r="D4" i="18"/>
  <c r="D5" i="18"/>
  <c r="D6" i="18"/>
  <c r="D7" i="18"/>
  <c r="G10" i="13"/>
  <c r="F10" i="13"/>
  <c r="E10" i="13"/>
  <c r="D10" i="13"/>
  <c r="C10" i="13"/>
  <c r="G9" i="13"/>
  <c r="F9" i="13"/>
  <c r="E9" i="13"/>
  <c r="D9" i="13"/>
  <c r="C9" i="13"/>
  <c r="F8" i="13"/>
  <c r="E8" i="13"/>
  <c r="D8" i="13"/>
  <c r="C8" i="13"/>
  <c r="G8" i="13"/>
  <c r="B33" i="13"/>
  <c r="B4" i="20"/>
  <c r="G17" i="13"/>
  <c r="C44" i="4"/>
  <c r="F6" i="4"/>
  <c r="F7" i="4"/>
  <c r="F8" i="4"/>
  <c r="F9" i="4"/>
  <c r="F10" i="4"/>
  <c r="F41" i="4" s="1" a="1"/>
  <c r="F41" i="4" s="1"/>
  <c r="F11" i="4"/>
  <c r="F12" i="4"/>
  <c r="F13" i="4"/>
  <c r="F14" i="4"/>
  <c r="F15" i="4"/>
  <c r="F16" i="4"/>
  <c r="F18" i="4"/>
  <c r="F19" i="4"/>
  <c r="F20" i="4"/>
  <c r="F21" i="4"/>
  <c r="F22" i="4"/>
  <c r="F23" i="4"/>
  <c r="F24" i="4"/>
  <c r="F25" i="4"/>
  <c r="F26" i="4"/>
  <c r="F27" i="4"/>
  <c r="F28" i="4"/>
  <c r="F29" i="4"/>
  <c r="F30" i="4"/>
  <c r="F31" i="4"/>
  <c r="F32" i="4"/>
  <c r="F33" i="4"/>
  <c r="F34" i="4"/>
  <c r="F35" i="4"/>
  <c r="F36" i="4"/>
  <c r="F37" i="4"/>
  <c r="F38" i="4"/>
  <c r="F39" i="4"/>
  <c r="F40" i="4"/>
  <c r="F2" i="4"/>
  <c r="F17" i="4" s="1"/>
  <c r="C6" i="18" l="1"/>
  <c r="C3" i="18"/>
  <c r="G3" i="18" s="1"/>
  <c r="C2" i="18"/>
  <c r="G2" i="18" s="1"/>
  <c r="C7" i="18"/>
  <c r="C4" i="18"/>
  <c r="G4" i="18" s="1"/>
  <c r="F53" i="6"/>
  <c r="Q49" i="3"/>
  <c r="Q48" i="3"/>
  <c r="B7" i="20" l="1"/>
  <c r="B25" i="20" s="1"/>
  <c r="B5" i="20"/>
  <c r="B6" i="20" l="1"/>
  <c r="F17" i="13"/>
  <c r="E17" i="13"/>
  <c r="D17" i="13"/>
  <c r="C17" i="13"/>
  <c r="G36" i="13"/>
  <c r="F36" i="13"/>
  <c r="E36" i="13"/>
  <c r="C36" i="13"/>
  <c r="C35" i="13"/>
  <c r="B28" i="20" l="1"/>
  <c r="B18" i="20"/>
  <c r="B23" i="20"/>
  <c r="S19" i="20"/>
  <c r="S18" i="20"/>
  <c r="S17" i="20"/>
  <c r="R17" i="20"/>
  <c r="S16" i="20"/>
  <c r="S15" i="20"/>
  <c r="S14" i="20"/>
  <c r="S9" i="20"/>
  <c r="B24" i="20" l="1"/>
  <c r="K13" i="11" l="1"/>
  <c r="J13" i="11"/>
  <c r="G17" i="11"/>
  <c r="G4" i="11"/>
  <c r="B19" i="19"/>
  <c r="G7" i="11"/>
  <c r="Q19" i="19" l="1"/>
  <c r="Q18" i="19"/>
  <c r="Q17" i="19"/>
  <c r="P17" i="19"/>
  <c r="Q16" i="19"/>
  <c r="Q15" i="19"/>
  <c r="Q14" i="19"/>
  <c r="Q9" i="19"/>
  <c r="B13" i="19" l="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H32" i="20" l="1"/>
  <c r="B11" i="20"/>
  <c r="B27" i="20"/>
  <c r="B19" i="20"/>
  <c r="B9" i="19"/>
  <c r="E3" i="19" s="1"/>
  <c r="G34" i="19" s="1"/>
  <c r="E5" i="19"/>
  <c r="E6" i="19" s="1"/>
  <c r="E7" i="19" s="1"/>
  <c r="B14" i="20" l="1"/>
  <c r="J33" i="20"/>
  <c r="I33" i="20"/>
  <c r="H33" i="20"/>
  <c r="G33" i="20"/>
  <c r="G32" i="20"/>
  <c r="I32" i="20"/>
  <c r="G13" i="13"/>
  <c r="F13" i="13"/>
  <c r="E13" i="13"/>
  <c r="D13" i="13"/>
  <c r="C13" i="13"/>
  <c r="B29" i="20"/>
  <c r="F33" i="20"/>
  <c r="F32" i="20"/>
  <c r="B13" i="20"/>
  <c r="J32" i="20"/>
  <c r="I35" i="19"/>
  <c r="I33" i="19"/>
  <c r="I34" i="19"/>
  <c r="I36" i="19"/>
  <c r="G36" i="19"/>
  <c r="G33" i="19"/>
  <c r="E4" i="19"/>
  <c r="E16" i="19"/>
  <c r="G35" i="19"/>
  <c r="F8" i="19"/>
  <c r="E8" i="19"/>
  <c r="F7" i="19"/>
  <c r="B34" i="20" l="1"/>
  <c r="B35" i="20" s="1"/>
  <c r="G14" i="13"/>
  <c r="F14" i="13"/>
  <c r="E14" i="13"/>
  <c r="D14" i="13"/>
  <c r="C14" i="13"/>
  <c r="I37" i="19"/>
  <c r="E9" i="19"/>
  <c r="E10" i="19" s="1"/>
  <c r="G14" i="19" s="1"/>
  <c r="F9" i="19"/>
  <c r="F10" i="19" s="1"/>
  <c r="H14" i="19" s="1"/>
  <c r="E19" i="19" l="1"/>
  <c r="E16" i="13"/>
  <c r="F16" i="13"/>
  <c r="D16" i="13"/>
  <c r="C16" i="13"/>
  <c r="G16"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1" i="13"/>
  <c r="F21" i="13"/>
  <c r="E21" i="13"/>
  <c r="D21" i="13"/>
  <c r="C21" i="13"/>
  <c r="D35" i="13"/>
  <c r="W5" i="3"/>
  <c r="V5" i="3"/>
  <c r="U5" i="3"/>
  <c r="T5" i="3"/>
  <c r="B7" i="11"/>
  <c r="D37" i="19" l="1"/>
  <c r="E39" i="19" s="1"/>
  <c r="J11" i="11"/>
  <c r="K14" i="11"/>
  <c r="J10" i="11"/>
  <c r="J14" i="11"/>
  <c r="J12" i="11"/>
  <c r="G29" i="19"/>
  <c r="W66" i="7"/>
  <c r="W66" i="6"/>
  <c r="W66" i="5"/>
  <c r="D38" i="13"/>
  <c r="G38" i="13"/>
  <c r="F38" i="13"/>
  <c r="E38" i="13"/>
  <c r="C38" i="13"/>
  <c r="G39" i="13"/>
  <c r="F39" i="13"/>
  <c r="E39" i="13"/>
  <c r="C39" i="13"/>
  <c r="W66" i="4"/>
  <c r="W66" i="3" l="1"/>
  <c r="F47" i="13" l="1"/>
  <c r="E47" i="13"/>
  <c r="D47" i="13"/>
  <c r="C47" i="13"/>
  <c r="F45" i="13"/>
  <c r="E45" i="13"/>
  <c r="D45" i="13"/>
  <c r="C45" i="13"/>
  <c r="F42" i="13"/>
  <c r="E42" i="13"/>
  <c r="D42" i="13"/>
  <c r="C42" i="13"/>
  <c r="G23" i="13" l="1"/>
  <c r="F23" i="13"/>
  <c r="E23" i="13"/>
  <c r="D23" i="13"/>
  <c r="C23" i="13"/>
  <c r="G35" i="13"/>
  <c r="F35" i="13"/>
  <c r="E35" i="13"/>
  <c r="B45" i="6"/>
  <c r="B45" i="4"/>
  <c r="B45" i="5"/>
  <c r="F46" i="13" l="1"/>
  <c r="E46" i="13"/>
  <c r="D46" i="13"/>
  <c r="C46" i="13"/>
  <c r="F44" i="13"/>
  <c r="E44" i="13"/>
  <c r="D44" i="13"/>
  <c r="C44" i="13"/>
  <c r="B2" i="7"/>
  <c r="H2" i="4" l="1"/>
  <c r="R2" i="3"/>
  <c r="T2" i="3"/>
  <c r="D2" i="6"/>
  <c r="L2" i="3"/>
  <c r="D2" i="7"/>
  <c r="N2" i="3"/>
  <c r="B2" i="5"/>
  <c r="D2" i="3"/>
  <c r="B2" i="6"/>
  <c r="V2" i="3"/>
  <c r="H2" i="3"/>
  <c r="B2" i="4"/>
  <c r="F2" i="6"/>
  <c r="P2" i="3"/>
  <c r="D2" i="5"/>
  <c r="B2" i="3"/>
  <c r="F2" i="5"/>
  <c r="F2" i="3"/>
  <c r="J2" i="3"/>
  <c r="D2" i="4"/>
  <c r="G18" i="13"/>
  <c r="F18" i="13"/>
  <c r="E18" i="13"/>
  <c r="D18" i="13"/>
  <c r="G4" i="13"/>
  <c r="F4" i="13"/>
  <c r="E4" i="13"/>
  <c r="D4" i="13"/>
  <c r="C18" i="13"/>
  <c r="B22" i="11"/>
  <c r="B5" i="11"/>
  <c r="B10" i="11" s="1"/>
  <c r="B4" i="11"/>
  <c r="L66" i="3"/>
  <c r="L67" i="3"/>
  <c r="L68" i="3"/>
  <c r="L69" i="3"/>
  <c r="J65" i="3"/>
  <c r="H67" i="3"/>
  <c r="J67" i="3" s="1"/>
  <c r="H69" i="3"/>
  <c r="J69" i="3" s="1"/>
  <c r="H65" i="3"/>
  <c r="H18" i="4" l="1"/>
  <c r="H17" i="4"/>
  <c r="H40" i="4"/>
  <c r="H16" i="4"/>
  <c r="H39" i="4"/>
  <c r="H15" i="4"/>
  <c r="H38" i="4"/>
  <c r="H14" i="4"/>
  <c r="H37" i="4"/>
  <c r="H13" i="4"/>
  <c r="H36" i="4"/>
  <c r="H12" i="4"/>
  <c r="H35" i="4"/>
  <c r="H11" i="4"/>
  <c r="H34" i="4"/>
  <c r="H10" i="4"/>
  <c r="H41" i="4" s="1" a="1"/>
  <c r="H41" i="4" s="1"/>
  <c r="H33" i="4"/>
  <c r="H9" i="4"/>
  <c r="H32" i="4"/>
  <c r="H8" i="4"/>
  <c r="H31" i="4"/>
  <c r="H7" i="4"/>
  <c r="H26" i="4"/>
  <c r="H24" i="4"/>
  <c r="H23" i="4"/>
  <c r="H21" i="4"/>
  <c r="H20" i="4"/>
  <c r="H19" i="4"/>
  <c r="H30" i="4"/>
  <c r="H6" i="4"/>
  <c r="H29" i="4"/>
  <c r="H28" i="4"/>
  <c r="H27" i="4"/>
  <c r="H25" i="4"/>
  <c r="H22" i="4"/>
  <c r="G13" i="1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R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B44" i="7" s="1"/>
  <c r="G31" i="13" s="1"/>
  <c r="B41" i="4" a="1"/>
  <c r="B41" i="4" s="1"/>
  <c r="B41" i="5" a="1"/>
  <c r="B41" i="5" s="1"/>
  <c r="D41" i="4" a="1"/>
  <c r="D41" i="4" s="1"/>
  <c r="D41" i="6" a="1"/>
  <c r="D41" i="6" s="1"/>
  <c r="B41" i="6" a="1"/>
  <c r="B41" i="6" s="1"/>
  <c r="B41" i="7" a="1"/>
  <c r="B41" i="7" s="1"/>
  <c r="D41" i="5" a="1"/>
  <c r="D41" i="5" s="1"/>
  <c r="P41" i="3" a="1"/>
  <c r="P41" i="3" s="1"/>
  <c r="H41" i="3" a="1"/>
  <c r="H41" i="3" s="1"/>
  <c r="F41" i="3" a="1"/>
  <c r="F41" i="3" s="1"/>
  <c r="L41" i="3" a="1"/>
  <c r="L41" i="3" s="1"/>
  <c r="N41" i="3" a="1"/>
  <c r="N41" i="3" s="1"/>
  <c r="J41" i="3" a="1"/>
  <c r="J41" i="3" s="1"/>
  <c r="D41" i="3" a="1"/>
  <c r="D41" i="3" s="1"/>
  <c r="B41" i="3" a="1"/>
  <c r="B41" i="3" s="1"/>
  <c r="R41" i="3" a="1"/>
  <c r="R41" i="3" s="1"/>
  <c r="G24" i="13" l="1"/>
  <c r="G37" i="13"/>
  <c r="G32" i="13"/>
  <c r="G33" i="13"/>
  <c r="B44" i="4"/>
  <c r="X60" i="4" s="1" a="1"/>
  <c r="X60" i="4" s="1"/>
  <c r="B44" i="3"/>
  <c r="G60" i="3" s="1"/>
  <c r="E44" i="3"/>
  <c r="B44" i="6"/>
  <c r="F31" i="13" s="1"/>
  <c r="F24" i="13" s="1"/>
  <c r="B44" i="5"/>
  <c r="X49" i="5" s="1" a="1"/>
  <c r="X49" i="5" s="1"/>
  <c r="X50" i="5" s="1"/>
  <c r="F44" i="3"/>
  <c r="F68" i="3" l="1"/>
  <c r="G49" i="3"/>
  <c r="F56" i="3"/>
  <c r="F66" i="3"/>
  <c r="G54" i="3"/>
  <c r="G52" i="3"/>
  <c r="F48" i="3"/>
  <c r="F54" i="3"/>
  <c r="X49" i="3" s="1" a="1"/>
  <c r="X49" i="3" s="1"/>
  <c r="X50" i="3" s="1"/>
  <c r="G57" i="3"/>
  <c r="K57" i="3" s="1"/>
  <c r="G59" i="3"/>
  <c r="K59" i="3" s="1"/>
  <c r="G55" i="3"/>
  <c r="K55" i="3" s="1"/>
  <c r="F64" i="3"/>
  <c r="F52" i="3"/>
  <c r="H52" i="3" s="1"/>
  <c r="G56" i="3"/>
  <c r="G50" i="3"/>
  <c r="F50" i="3"/>
  <c r="H50" i="3" s="1"/>
  <c r="X49" i="6" a="1"/>
  <c r="X49" i="6" s="1"/>
  <c r="X50" i="6" s="1"/>
  <c r="I23" i="20"/>
  <c r="X49" i="7" a="1"/>
  <c r="X49" i="7" s="1"/>
  <c r="X50" i="7" s="1"/>
  <c r="G67" i="3"/>
  <c r="K67" i="3" s="1"/>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C31" i="13"/>
  <c r="C24" i="13" s="1"/>
  <c r="F23" i="20" s="1"/>
  <c r="J23" i="20"/>
  <c r="D31" i="13"/>
  <c r="D24" i="13" s="1"/>
  <c r="G23" i="20" s="1"/>
  <c r="E31" i="13"/>
  <c r="E24" i="13" s="1"/>
  <c r="H23" i="20" s="1"/>
  <c r="H68" i="3"/>
  <c r="H66" i="3"/>
  <c r="H56" i="3"/>
  <c r="K49" i="3"/>
  <c r="H55" i="4"/>
  <c r="H49" i="4"/>
  <c r="H53" i="4"/>
  <c r="H51" i="4"/>
  <c r="B2" i="8"/>
  <c r="G26" i="8" s="1"/>
  <c r="I24" i="20" l="1"/>
  <c r="I34" i="20" s="1"/>
  <c r="I35" i="20" s="1"/>
  <c r="H25" i="20"/>
  <c r="H24" i="20"/>
  <c r="H34" i="20" s="1"/>
  <c r="H35" i="20" s="1"/>
  <c r="J24" i="20"/>
  <c r="J34" i="20" s="1"/>
  <c r="J35" i="20" s="1"/>
  <c r="G24" i="20"/>
  <c r="G34" i="20" s="1"/>
  <c r="G35" i="20" s="1"/>
  <c r="G28" i="20"/>
  <c r="G26" i="20"/>
  <c r="G29" i="20"/>
  <c r="G27" i="20"/>
  <c r="G25" i="20"/>
  <c r="X60" i="3"/>
  <c r="X71" i="3" s="1"/>
  <c r="X51" i="3"/>
  <c r="K58" i="3"/>
  <c r="X60" i="7"/>
  <c r="X68" i="7" s="1"/>
  <c r="E37" i="13"/>
  <c r="E32" i="13"/>
  <c r="F37" i="13"/>
  <c r="F32" i="13"/>
  <c r="D37" i="13"/>
  <c r="D32" i="13"/>
  <c r="C37" i="13"/>
  <c r="C32" i="13"/>
  <c r="X55" i="4"/>
  <c r="X61" i="4" s="1"/>
  <c r="X51" i="4"/>
  <c r="X50" i="4"/>
  <c r="H52" i="4"/>
  <c r="K52" i="4" s="1"/>
  <c r="X76" i="4"/>
  <c r="X60" i="6"/>
  <c r="G34" i="13"/>
  <c r="G25" i="13"/>
  <c r="X60" i="5"/>
  <c r="X55" i="7"/>
  <c r="X56" i="7" s="1"/>
  <c r="X51" i="7"/>
  <c r="H48" i="3"/>
  <c r="K48" i="3" s="1"/>
  <c r="X55" i="5"/>
  <c r="H64" i="3"/>
  <c r="J64" i="3" s="1"/>
  <c r="H29" i="20"/>
  <c r="H27" i="20"/>
  <c r="H26" i="20"/>
  <c r="H31" i="20"/>
  <c r="H28" i="20"/>
  <c r="G31" i="20"/>
  <c r="J31" i="20"/>
  <c r="J25" i="20"/>
  <c r="J27" i="20"/>
  <c r="J29" i="20"/>
  <c r="J26" i="20"/>
  <c r="J28" i="20"/>
  <c r="F24" i="20"/>
  <c r="F34" i="20" s="1"/>
  <c r="F35" i="20" s="1"/>
  <c r="F28" i="20"/>
  <c r="F31" i="20"/>
  <c r="F25" i="20"/>
  <c r="F26" i="20"/>
  <c r="F27" i="20"/>
  <c r="F29" i="20"/>
  <c r="F37" i="20" s="1"/>
  <c r="I31" i="20"/>
  <c r="I27" i="20"/>
  <c r="I28" i="20"/>
  <c r="I25" i="20"/>
  <c r="I26" i="20"/>
  <c r="I29" i="20"/>
  <c r="H50" i="7"/>
  <c r="K50" i="7" s="1"/>
  <c r="H62" i="3"/>
  <c r="K62" i="3" s="1"/>
  <c r="F33" i="13"/>
  <c r="F34" i="13"/>
  <c r="D33" i="13"/>
  <c r="D34" i="13"/>
  <c r="C33" i="13"/>
  <c r="C34" i="13"/>
  <c r="E33" i="13"/>
  <c r="E34"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J36" i="20" l="1"/>
  <c r="F36" i="20"/>
  <c r="J41" i="20"/>
  <c r="J40" i="20"/>
  <c r="J39" i="20"/>
  <c r="H39" i="20"/>
  <c r="H41" i="20"/>
  <c r="H44" i="20" s="1"/>
  <c r="H40" i="20"/>
  <c r="H43" i="20" s="1"/>
  <c r="I36" i="20"/>
  <c r="I41" i="20"/>
  <c r="I40" i="20"/>
  <c r="I39" i="20"/>
  <c r="G41" i="20"/>
  <c r="G40" i="20"/>
  <c r="G39" i="20"/>
  <c r="G37" i="20"/>
  <c r="G36" i="20"/>
  <c r="F39" i="20"/>
  <c r="F42" i="20" s="1"/>
  <c r="F45" i="20" s="1"/>
  <c r="F48" i="20" s="1"/>
  <c r="X75" i="3"/>
  <c r="X77" i="3"/>
  <c r="X62" i="3"/>
  <c r="X52" i="3" s="1"/>
  <c r="X67" i="3"/>
  <c r="X70" i="3"/>
  <c r="X69" i="3"/>
  <c r="F41" i="20"/>
  <c r="X74" i="3"/>
  <c r="X72" i="3"/>
  <c r="F40" i="20"/>
  <c r="X68" i="3"/>
  <c r="X63" i="3"/>
  <c r="X76" i="3"/>
  <c r="X73" i="3"/>
  <c r="J52" i="4"/>
  <c r="X71" i="7"/>
  <c r="X53" i="7"/>
  <c r="X72" i="7"/>
  <c r="X73" i="7"/>
  <c r="X74" i="7"/>
  <c r="X70" i="7"/>
  <c r="X52" i="7"/>
  <c r="X54" i="7"/>
  <c r="X76" i="7"/>
  <c r="X75" i="7"/>
  <c r="X69" i="7"/>
  <c r="X67" i="7"/>
  <c r="X77" i="7"/>
  <c r="X54" i="6"/>
  <c r="X77" i="4"/>
  <c r="X73" i="4"/>
  <c r="X74" i="4"/>
  <c r="X71" i="4"/>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Z49" i="3"/>
  <c r="J48" i="3"/>
  <c r="C25" i="13"/>
  <c r="X51" i="5"/>
  <c r="X55" i="3"/>
  <c r="X61" i="3" s="1"/>
  <c r="X63" i="6"/>
  <c r="X53" i="6" s="1"/>
  <c r="X62" i="6"/>
  <c r="J50" i="7"/>
  <c r="H47" i="20"/>
  <c r="H50" i="20" s="1"/>
  <c r="E25" i="13"/>
  <c r="F25" i="13"/>
  <c r="X55" i="6"/>
  <c r="X56" i="6" s="1"/>
  <c r="J48" i="7"/>
  <c r="X51" i="6"/>
  <c r="Z49" i="6"/>
  <c r="K50" i="6"/>
  <c r="K60" i="3"/>
  <c r="K50" i="5"/>
  <c r="K48" i="4"/>
  <c r="J62" i="3"/>
  <c r="K54" i="3"/>
  <c r="K64" i="3"/>
  <c r="J50" i="3"/>
  <c r="J54" i="4"/>
  <c r="K54" i="4"/>
  <c r="C27" i="8"/>
  <c r="C28" i="8" s="1"/>
  <c r="G27" i="8"/>
  <c r="I51" i="8" s="1"/>
  <c r="H51" i="8" s="1"/>
  <c r="C11" i="13" l="1"/>
  <c r="I8" i="13"/>
  <c r="X54" i="3"/>
  <c r="H42" i="20"/>
  <c r="H45" i="20" s="1"/>
  <c r="H48" i="20" s="1"/>
  <c r="E11" i="13" s="1"/>
  <c r="J42" i="20"/>
  <c r="J45" i="20" s="1"/>
  <c r="J48" i="20" s="1"/>
  <c r="G11" i="13" s="1"/>
  <c r="J43" i="20"/>
  <c r="J46" i="20"/>
  <c r="J49" i="20" s="1"/>
  <c r="G12" i="13" s="1"/>
  <c r="J44" i="20"/>
  <c r="J47" i="20" s="1"/>
  <c r="J50" i="20" s="1"/>
  <c r="I42" i="20"/>
  <c r="I45" i="20" s="1"/>
  <c r="I48" i="20" s="1"/>
  <c r="F11" i="13" s="1"/>
  <c r="I43" i="20"/>
  <c r="I46" i="20" s="1"/>
  <c r="I49" i="20" s="1"/>
  <c r="F12" i="13" s="1"/>
  <c r="I44" i="20"/>
  <c r="I47" i="20" s="1"/>
  <c r="I50" i="20" s="1"/>
  <c r="G43" i="20"/>
  <c r="G46" i="20" s="1"/>
  <c r="G49" i="20" s="1"/>
  <c r="D12" i="13" s="1"/>
  <c r="G42" i="20"/>
  <c r="G45" i="20" s="1"/>
  <c r="G48" i="20" s="1"/>
  <c r="D11" i="13" s="1"/>
  <c r="G44" i="20"/>
  <c r="G47" i="20" s="1"/>
  <c r="G50" i="20" s="1"/>
  <c r="F44" i="20"/>
  <c r="F47" i="20" s="1"/>
  <c r="F50" i="20" s="1"/>
  <c r="F43" i="20"/>
  <c r="F46" i="20" s="1"/>
  <c r="F49" i="20" s="1"/>
  <c r="C12" i="13" s="1"/>
  <c r="F28" i="13"/>
  <c r="X56" i="3"/>
  <c r="X52" i="6"/>
  <c r="Z52" i="6" s="1"/>
  <c r="Z53" i="6"/>
  <c r="Z54" i="6"/>
  <c r="H46" i="20"/>
  <c r="H49" i="20" s="1"/>
  <c r="E12" i="13" s="1"/>
  <c r="X54" i="5"/>
  <c r="Z49" i="5"/>
  <c r="Z51" i="5"/>
  <c r="E27" i="13" s="1"/>
  <c r="Z50" i="5"/>
  <c r="E26" i="13" s="1"/>
  <c r="X57" i="5"/>
  <c r="Z50" i="6"/>
  <c r="F26" i="13" s="1"/>
  <c r="Z56" i="6"/>
  <c r="Z51" i="6"/>
  <c r="F27" i="13" s="1"/>
  <c r="X61" i="6"/>
  <c r="X58" i="6" s="1"/>
  <c r="D25" i="13"/>
  <c r="Z50" i="4"/>
  <c r="D26" i="13" s="1"/>
  <c r="Z49" i="4"/>
  <c r="X57" i="6"/>
  <c r="Z55" i="6"/>
  <c r="Z50" i="7"/>
  <c r="G26" i="13" s="1"/>
  <c r="Z49" i="7"/>
  <c r="C41" i="8"/>
  <c r="C42" i="8" s="1"/>
  <c r="C36" i="8"/>
  <c r="C31" i="8"/>
  <c r="C33" i="8" s="1"/>
  <c r="C40" i="8" s="1"/>
  <c r="C37" i="8"/>
  <c r="G28" i="8"/>
  <c r="J51" i="8" s="1"/>
  <c r="G37" i="8"/>
  <c r="G41" i="8"/>
  <c r="G42" i="8" s="1"/>
  <c r="G31" i="8"/>
  <c r="G33" i="8" s="1"/>
  <c r="G34" i="8" s="1"/>
  <c r="G36" i="8"/>
  <c r="I52" i="8"/>
  <c r="H52" i="8" s="1"/>
  <c r="X57" i="4" l="1"/>
  <c r="Z57" i="4" s="1"/>
  <c r="X58" i="4"/>
  <c r="X53" i="3"/>
  <c r="Z53" i="3" s="1"/>
  <c r="C28" i="13"/>
  <c r="Z52" i="3"/>
  <c r="X63" i="7"/>
  <c r="X62" i="7"/>
  <c r="D28" i="13"/>
  <c r="X63" i="5"/>
  <c r="X53" i="5" s="1"/>
  <c r="X62" i="5"/>
  <c r="E28" i="13" s="1"/>
  <c r="X56" i="5"/>
  <c r="Z56" i="5" s="1"/>
  <c r="X61" i="5"/>
  <c r="X58" i="5" s="1"/>
  <c r="Z55" i="5"/>
  <c r="Z51" i="3"/>
  <c r="C27" i="13" s="1"/>
  <c r="Z50" i="3"/>
  <c r="C26" i="13" s="1"/>
  <c r="Y77" i="6"/>
  <c r="Y70" i="6"/>
  <c r="Y73" i="6"/>
  <c r="Y67" i="6"/>
  <c r="Y75" i="6"/>
  <c r="Y71" i="6"/>
  <c r="Y74" i="6"/>
  <c r="Y72" i="6"/>
  <c r="Y69" i="6"/>
  <c r="Y68" i="6"/>
  <c r="Y76" i="6"/>
  <c r="Z57" i="6"/>
  <c r="X56" i="4"/>
  <c r="Z55" i="4"/>
  <c r="X61" i="7"/>
  <c r="X58" i="7" s="1"/>
  <c r="Z51" i="7"/>
  <c r="G27" i="13" s="1"/>
  <c r="Z57" i="5"/>
  <c r="Z51" i="4"/>
  <c r="D27" i="13" s="1"/>
  <c r="Z56" i="3"/>
  <c r="X57" i="3"/>
  <c r="X57" i="7"/>
  <c r="Z56" i="7"/>
  <c r="Z55" i="7"/>
  <c r="C51" i="8"/>
  <c r="B51" i="8" s="1"/>
  <c r="J50" i="8"/>
  <c r="K50" i="8" s="1"/>
  <c r="D50" i="8"/>
  <c r="C34" i="8"/>
  <c r="G40" i="8"/>
  <c r="J52" i="8"/>
  <c r="I53" i="8"/>
  <c r="H53" i="8" s="1"/>
  <c r="Z54" i="3" l="1"/>
  <c r="X52" i="5"/>
  <c r="Z52" i="5" s="1"/>
  <c r="Z52" i="7"/>
  <c r="G28"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l="1"/>
  <c r="I89" i="8"/>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E374" i="8" s="1"/>
  <c r="I376" i="8"/>
  <c r="H376" i="8" s="1"/>
  <c r="J375" i="8"/>
  <c r="K373" i="8"/>
  <c r="B376" i="8" l="1"/>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I1367" i="8"/>
  <c r="H1367" i="8" s="1"/>
  <c r="J1366" i="8"/>
  <c r="E1365" i="8" l="1"/>
  <c r="B1367" i="8"/>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<sst xmlns="http://schemas.openxmlformats.org/spreadsheetml/2006/main" count="1152" uniqueCount="402">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</sst>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2" fillId="5" borderId="29" applyNumberFormat="0" applyAlignment="0" applyProtection="0"/>
  </cellStyleXfs>
  <cellXfs count="305">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1" fillId="0" borderId="22" xfId="0" applyFont="1" applyBorder="1" applyAlignment="1">
      <alignment wrapText="1"/>
    </xf>
    <xf numFmtId="0" fontId="1" fillId="0" borderId="28" xfId="0" applyFont="1" applyBorder="1"/>
    <xf numFmtId="0" fontId="1" fillId="0" borderId="40" xfId="0" applyFont="1" applyBorder="1"/>
    <xf numFmtId="0" fontId="1" fillId="0" borderId="22" xfId="0" applyFont="1" applyBorder="1"/>
    <xf numFmtId="0" fontId="0" fillId="0" borderId="8" xfId="0" applyBorder="1" applyAlignment="1">
      <alignment wrapText="1"/>
    </xf>
    <xf numFmtId="0" fontId="0" fillId="0" borderId="6" xfId="0" applyBorder="1"/>
    <xf numFmtId="0" fontId="0" fillId="0" borderId="8" xfId="0" applyBorder="1"/>
    <xf numFmtId="164" fontId="0" fillId="0" borderId="40" xfId="0" applyNumberFormat="1" applyBorder="1"/>
    <xf numFmtId="2" fontId="0" fillId="0" borderId="40" xfId="0" applyNumberFormat="1" applyBorder="1"/>
    <xf numFmtId="0" fontId="0" fillId="13" borderId="8" xfId="0" applyFill="1" applyBorder="1"/>
    <xf numFmtId="166" fontId="0" fillId="13" borderId="40" xfId="0" applyNumberFormat="1" applyFill="1" applyBorder="1"/>
    <xf numFmtId="2" fontId="0" fillId="13" borderId="40" xfId="0" applyNumberFormat="1" applyFill="1" applyBorder="1"/>
    <xf numFmtId="0" fontId="0" fillId="14" borderId="8" xfId="0" applyFill="1" applyBorder="1"/>
    <xf numFmtId="2" fontId="0" fillId="14" borderId="40" xfId="0" applyNumberFormat="1" applyFill="1" applyBorder="1"/>
    <xf numFmtId="166" fontId="0" fillId="14" borderId="40" xfId="0" applyNumberFormat="1" applyFill="1" applyBorder="1"/>
    <xf numFmtId="2" fontId="0" fillId="10" borderId="28" xfId="0" applyNumberFormat="1" applyFill="1" applyBorder="1"/>
    <xf numFmtId="0" fontId="0" fillId="15" borderId="8" xfId="0" applyFill="1" applyBorder="1"/>
    <xf numFmtId="2" fontId="0" fillId="15" borderId="22" xfId="0" applyNumberFormat="1" applyFill="1" applyBorder="1"/>
    <xf numFmtId="2" fontId="0" fillId="15" borderId="40" xfId="0" applyNumberFormat="1" applyFill="1" applyBorder="1"/>
    <xf numFmtId="166" fontId="0" fillId="15" borderId="40" xfId="0" applyNumberFormat="1" applyFill="1" applyBorder="1"/>
    <xf numFmtId="2" fontId="0" fillId="4" borderId="40" xfId="0" applyNumberFormat="1" applyFill="1" applyBorder="1"/>
    <xf numFmtId="2" fontId="0" fillId="16" borderId="22" xfId="0" applyNumberFormat="1"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0.73606152402635283</c:v>
                </c:pt>
                <c:pt idx="2">
                  <c:v>1.4721230480527057</c:v>
                </c:pt>
                <c:pt idx="3">
                  <c:v>2.2081845720790585</c:v>
                </c:pt>
                <c:pt idx="4">
                  <c:v>2.9442460961054113</c:v>
                </c:pt>
                <c:pt idx="5">
                  <c:v>3.6803076201317642</c:v>
                </c:pt>
                <c:pt idx="6">
                  <c:v>4.416369144158117</c:v>
                </c:pt>
                <c:pt idx="7">
                  <c:v>5.1524306681844703</c:v>
                </c:pt>
                <c:pt idx="8">
                  <c:v>5.8884921922108227</c:v>
                </c:pt>
                <c:pt idx="9">
                  <c:v>6.624553716237175</c:v>
                </c:pt>
                <c:pt idx="10">
                  <c:v>7.3606152402635283</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0.73606152402635283</c:v>
                </c:pt>
                <c:pt idx="2">
                  <c:v>1.4721230480527057</c:v>
                </c:pt>
                <c:pt idx="3">
                  <c:v>2.2081845720790585</c:v>
                </c:pt>
                <c:pt idx="4">
                  <c:v>2.9442460961054113</c:v>
                </c:pt>
                <c:pt idx="5">
                  <c:v>3.6803076201317642</c:v>
                </c:pt>
                <c:pt idx="6">
                  <c:v>4.416369144158117</c:v>
                </c:pt>
                <c:pt idx="7">
                  <c:v>5.1524306681844703</c:v>
                </c:pt>
                <c:pt idx="8">
                  <c:v>5.8884921922108227</c:v>
                </c:pt>
                <c:pt idx="9">
                  <c:v>6.624553716237175</c:v>
                </c:pt>
                <c:pt idx="10">
                  <c:v>7.3606152402635283</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10</xdr:col>
      <xdr:colOff>276270</xdr:colOff>
      <xdr:row>19</xdr:row>
      <xdr:rowOff>85725</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11</xdr:col>
      <xdr:colOff>136071</xdr:colOff>
      <xdr:row>25</xdr:row>
      <xdr:rowOff>312965</xdr:rowOff>
    </xdr:from>
    <xdr:to>
      <xdr:col>25</xdr:col>
      <xdr:colOff>336690</xdr:colOff>
      <xdr:row>48</xdr:row>
      <xdr:rowOff>17419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N1:T25" totalsRowShown="0" dataDxfId="76">
  <autoFilter ref="N1:T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zoomScale="115" zoomScaleNormal="115" workbookViewId="0">
      <selection activeCell="D13" sqref="D13"/>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64" t="s">
        <v>0</v>
      </c>
      <c r="D2" s="265"/>
      <c r="E2" s="266"/>
      <c r="F2" s="190"/>
      <c r="G2" s="46"/>
    </row>
    <row r="3" spans="1:16">
      <c r="A3" s="17"/>
      <c r="B3" s="17"/>
      <c r="C3" s="120" t="s">
        <v>191</v>
      </c>
      <c r="D3" s="268" t="s">
        <v>204</v>
      </c>
      <c r="E3" s="268"/>
      <c r="F3" s="190"/>
      <c r="G3" s="190"/>
    </row>
    <row r="4" spans="1:16">
      <c r="A4" s="17"/>
      <c r="B4" s="17"/>
      <c r="C4" s="120" t="s">
        <v>190</v>
      </c>
      <c r="D4" s="269"/>
      <c r="E4" s="269"/>
      <c r="F4" s="190"/>
      <c r="G4" s="17"/>
    </row>
    <row r="5" spans="1:16">
      <c r="A5" s="17"/>
      <c r="B5" s="17"/>
      <c r="C5" s="120" t="s">
        <v>189</v>
      </c>
      <c r="D5" s="269"/>
      <c r="E5" s="269"/>
      <c r="F5" s="190"/>
      <c r="G5" s="17"/>
    </row>
    <row r="6" spans="1:16">
      <c r="A6" s="17"/>
      <c r="B6" s="17"/>
      <c r="C6" s="120" t="s">
        <v>195</v>
      </c>
      <c r="D6" s="269"/>
      <c r="E6" s="269"/>
      <c r="F6" s="190"/>
      <c r="G6" s="17"/>
    </row>
    <row r="7" spans="1:16">
      <c r="A7" s="17"/>
      <c r="B7" s="17"/>
      <c r="C7" s="120" t="s">
        <v>192</v>
      </c>
      <c r="D7" s="269" t="s">
        <v>225</v>
      </c>
      <c r="E7" s="269"/>
      <c r="F7" s="190"/>
      <c r="G7" s="17"/>
    </row>
    <row r="8" spans="1:16">
      <c r="A8" s="17"/>
      <c r="B8" s="17"/>
      <c r="C8" s="120" t="s">
        <v>193</v>
      </c>
      <c r="D8" s="269" t="s">
        <v>237</v>
      </c>
      <c r="E8" s="269"/>
      <c r="F8" s="190"/>
      <c r="G8" s="17"/>
    </row>
    <row r="9" spans="1:16">
      <c r="A9" s="17"/>
      <c r="B9" s="17"/>
      <c r="C9" s="3" t="s">
        <v>1</v>
      </c>
      <c r="D9" s="3">
        <v>1500</v>
      </c>
      <c r="E9" s="3" t="s">
        <v>7</v>
      </c>
      <c r="F9" s="259"/>
      <c r="G9" s="35" t="s">
        <v>397</v>
      </c>
    </row>
    <row r="10" spans="1:16">
      <c r="A10" s="17"/>
      <c r="B10" s="17"/>
      <c r="C10" s="3" t="s">
        <v>154</v>
      </c>
      <c r="D10" s="3">
        <v>10</v>
      </c>
      <c r="E10" s="3" t="s">
        <v>7</v>
      </c>
      <c r="F10" s="259"/>
      <c r="G10" s="35" t="s">
        <v>397</v>
      </c>
    </row>
    <row r="11" spans="1:16">
      <c r="A11" s="17"/>
      <c r="B11" s="17"/>
      <c r="C11" s="3" t="s">
        <v>348</v>
      </c>
      <c r="D11" s="3">
        <v>2000</v>
      </c>
      <c r="E11" s="3" t="s">
        <v>12</v>
      </c>
      <c r="F11" s="259"/>
      <c r="G11" s="35" t="s">
        <v>398</v>
      </c>
    </row>
    <row r="12" spans="1:16">
      <c r="A12" s="17"/>
      <c r="B12" s="17"/>
      <c r="C12" s="3" t="s">
        <v>2</v>
      </c>
      <c r="D12" s="3">
        <v>2000</v>
      </c>
      <c r="E12" s="3" t="s">
        <v>12</v>
      </c>
      <c r="F12" s="259"/>
      <c r="G12" s="35" t="s">
        <v>398</v>
      </c>
    </row>
    <row r="13" spans="1:16">
      <c r="A13" s="17"/>
      <c r="B13" s="17"/>
      <c r="C13" s="3" t="s">
        <v>182</v>
      </c>
      <c r="D13" s="3" t="str">
        <f>IF($D$3=0,
"General",
VLOOKUP($D$3,Tabell15[],5,FALSE))</f>
        <v>General</v>
      </c>
      <c r="E13" s="3"/>
      <c r="F13" s="190"/>
      <c r="G13" s="17"/>
    </row>
    <row r="14" spans="1:16">
      <c r="A14" s="17"/>
      <c r="B14" s="17"/>
      <c r="C14" s="3" t="s">
        <v>4</v>
      </c>
      <c r="D14" s="3">
        <v>1000</v>
      </c>
      <c r="E14" s="3" t="s">
        <v>130</v>
      </c>
      <c r="F14" s="259"/>
      <c r="G14" s="35" t="s">
        <v>399</v>
      </c>
    </row>
    <row r="15" spans="1:16">
      <c r="A15" s="17"/>
      <c r="B15" s="17"/>
      <c r="C15" s="3" t="s">
        <v>3</v>
      </c>
      <c r="D15" s="3">
        <v>1</v>
      </c>
      <c r="E15" s="3" t="s">
        <v>131</v>
      </c>
      <c r="F15" s="190"/>
      <c r="G15" s="17"/>
    </row>
    <row r="16" spans="1:16">
      <c r="A16" s="17"/>
      <c r="B16" s="17"/>
      <c r="C16" s="268" t="s">
        <v>178</v>
      </c>
      <c r="D16" s="268"/>
      <c r="E16" s="268"/>
      <c r="F16" s="190"/>
      <c r="G16" s="17"/>
      <c r="O16" s="3" t="s">
        <v>147</v>
      </c>
      <c r="P16" s="3"/>
    </row>
    <row r="17" spans="1:16">
      <c r="A17" s="17"/>
      <c r="B17" s="17"/>
      <c r="C17" s="3" t="s">
        <v>234</v>
      </c>
      <c r="D17" s="3" t="s">
        <v>140</v>
      </c>
      <c r="E17" s="3"/>
      <c r="F17" s="190"/>
      <c r="G17" s="17"/>
      <c r="O17" s="3" t="s">
        <v>142</v>
      </c>
      <c r="P17" s="3" t="s">
        <v>149</v>
      </c>
    </row>
    <row r="18" spans="1:16">
      <c r="A18" s="17"/>
      <c r="B18" s="17"/>
      <c r="C18" s="268" t="s">
        <v>171</v>
      </c>
      <c r="D18" s="268"/>
      <c r="E18" s="268"/>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67" t="s">
        <v>133</v>
      </c>
      <c r="C27" s="3" t="s">
        <v>229</v>
      </c>
      <c r="D27" s="3"/>
      <c r="E27" s="3"/>
      <c r="F27" s="190"/>
      <c r="O27" s="3" t="s">
        <v>142</v>
      </c>
      <c r="P27" s="3" t="s">
        <v>150</v>
      </c>
    </row>
    <row r="28" spans="1:16" ht="20.100000000000001" customHeight="1">
      <c r="A28" s="17"/>
      <c r="B28" s="267"/>
      <c r="C28" s="3" t="s">
        <v>230</v>
      </c>
      <c r="D28" s="3"/>
      <c r="E28" s="3"/>
      <c r="F28" s="17"/>
      <c r="O28" s="3" t="s">
        <v>142</v>
      </c>
      <c r="P28" s="3" t="s">
        <v>151</v>
      </c>
    </row>
    <row r="29" spans="1:16" ht="20.100000000000001" customHeight="1">
      <c r="A29" s="17"/>
      <c r="B29" s="267"/>
      <c r="C29" s="3" t="s">
        <v>231</v>
      </c>
      <c r="D29" s="3"/>
      <c r="E29" s="3"/>
      <c r="F29" s="17"/>
      <c r="O29" s="3" t="s">
        <v>148</v>
      </c>
      <c r="P29" s="3"/>
    </row>
    <row r="30" spans="1:16" ht="20.100000000000001" customHeight="1">
      <c r="A30" s="17"/>
      <c r="B30" s="267"/>
      <c r="C30" s="3" t="s">
        <v>232</v>
      </c>
      <c r="D30" s="3" t="s">
        <v>31</v>
      </c>
      <c r="E30" s="3"/>
      <c r="F30" s="190"/>
      <c r="O30" s="3"/>
      <c r="P30" s="3"/>
    </row>
    <row r="31" spans="1:16" ht="20.100000000000001" customHeight="1">
      <c r="A31" s="17"/>
      <c r="B31" s="267"/>
      <c r="C31" s="3" t="s">
        <v>233</v>
      </c>
      <c r="D31" s="3"/>
      <c r="E31" s="3"/>
      <c r="F31" s="190"/>
      <c r="O31" s="3"/>
      <c r="P31" s="3"/>
    </row>
    <row r="32" spans="1:16">
      <c r="A32" s="17"/>
      <c r="B32" s="17"/>
      <c r="C32" s="17"/>
      <c r="D32" s="17"/>
      <c r="E32" s="17"/>
      <c r="F32" s="17"/>
    </row>
    <row r="33" spans="2:7" ht="30">
      <c r="B33" s="191" t="s">
        <v>281</v>
      </c>
      <c r="C33" s="3" t="s">
        <v>26</v>
      </c>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63"/>
      <c r="C50" s="263"/>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B2" sqref="B2"/>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198</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198</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63"/>
      <c r="C53" s="263"/>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63"/>
      <c r="C48" s="263"/>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63"/>
      <c r="C46" s="263"/>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W55"/>
  <sheetViews>
    <sheetView tabSelected="1" topLeftCell="B21" zoomScaleNormal="100" workbookViewId="0">
      <selection activeCell="I38" sqref="I38"/>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9.5703125" customWidth="1"/>
    <col min="7" max="7" width="10.42578125" customWidth="1"/>
    <col min="8" max="8" width="13.28515625" customWidth="1"/>
    <col min="9" max="9" width="19.140625" customWidth="1"/>
    <col min="10" max="10" width="23.85546875" customWidth="1"/>
    <col min="11" max="11" width="9.7109375" customWidth="1"/>
    <col min="12" max="12" width="11.5703125" bestFit="1" customWidth="1"/>
    <col min="13" max="13" width="13" customWidth="1"/>
    <col min="18" max="18" width="10.7109375" customWidth="1"/>
  </cols>
  <sheetData>
    <row r="1" spans="1:23" ht="18.75">
      <c r="A1" s="109" t="s">
        <v>165</v>
      </c>
      <c r="B1" s="109"/>
      <c r="C1" s="109"/>
      <c r="D1" s="112"/>
      <c r="E1" s="112"/>
      <c r="F1" s="112"/>
      <c r="G1" s="112"/>
      <c r="H1" s="112"/>
      <c r="I1" s="112"/>
      <c r="J1" s="112"/>
      <c r="K1" s="112"/>
      <c r="L1" s="112"/>
      <c r="M1" s="112"/>
      <c r="N1" t="s">
        <v>291</v>
      </c>
      <c r="O1" t="s">
        <v>302</v>
      </c>
      <c r="P1" t="s">
        <v>301</v>
      </c>
      <c r="Q1" t="s">
        <v>300</v>
      </c>
      <c r="R1" t="s">
        <v>288</v>
      </c>
      <c r="S1" t="s">
        <v>289</v>
      </c>
      <c r="T1" t="s">
        <v>290</v>
      </c>
      <c r="U1" s="112"/>
      <c r="V1" s="112"/>
      <c r="W1" s="112"/>
    </row>
    <row r="2" spans="1:23" ht="15.75">
      <c r="A2" s="107" t="s">
        <v>16</v>
      </c>
      <c r="B2" s="107"/>
      <c r="C2" s="107"/>
      <c r="D2" s="110"/>
      <c r="E2" s="110"/>
      <c r="F2" s="110"/>
      <c r="G2" s="110"/>
      <c r="H2" s="110"/>
      <c r="I2" s="110"/>
      <c r="J2" s="110"/>
      <c r="K2" s="110"/>
      <c r="L2" s="110"/>
      <c r="M2" s="110"/>
      <c r="N2" s="194" t="s">
        <v>18</v>
      </c>
      <c r="O2">
        <v>35</v>
      </c>
      <c r="P2">
        <v>27.5</v>
      </c>
      <c r="Q2">
        <v>9</v>
      </c>
      <c r="R2" s="195">
        <v>61.25</v>
      </c>
      <c r="S2" s="196">
        <v>90</v>
      </c>
      <c r="T2" s="195">
        <v>16.39</v>
      </c>
      <c r="U2" s="110"/>
      <c r="V2" s="110"/>
      <c r="W2" s="110"/>
    </row>
    <row r="3" spans="1:23" ht="30">
      <c r="A3" t="s">
        <v>342</v>
      </c>
      <c r="B3" s="53" t="s">
        <v>274</v>
      </c>
      <c r="D3" s="7"/>
      <c r="E3" s="7"/>
      <c r="F3" s="7"/>
      <c r="G3" s="7"/>
      <c r="H3" s="53"/>
      <c r="I3" s="53"/>
      <c r="J3" s="7"/>
      <c r="N3" s="194" t="s">
        <v>19</v>
      </c>
      <c r="O3">
        <v>48</v>
      </c>
      <c r="P3">
        <v>27.5</v>
      </c>
      <c r="Q3">
        <v>9</v>
      </c>
      <c r="R3" s="195">
        <v>61.75</v>
      </c>
      <c r="S3" s="196">
        <v>90.5</v>
      </c>
      <c r="T3" s="195">
        <v>18.88</v>
      </c>
      <c r="U3" s="7"/>
      <c r="V3" s="7"/>
      <c r="W3" s="7"/>
    </row>
    <row r="4" spans="1:23" ht="18.75">
      <c r="A4" s="4" t="s">
        <v>13</v>
      </c>
      <c r="B4" s="5">
        <f>IF(Input!$D$24="Metric",Input!$D$12,Input!$F$12/0.264172)</f>
        <v>2000</v>
      </c>
      <c r="C4" s="6" t="s">
        <v>12</v>
      </c>
      <c r="D4" s="7"/>
      <c r="E4" s="7"/>
      <c r="F4" s="7"/>
      <c r="G4" s="7"/>
      <c r="H4" s="53"/>
      <c r="J4" s="7"/>
      <c r="L4" s="82"/>
      <c r="N4" s="194"/>
      <c r="O4">
        <v>0</v>
      </c>
      <c r="P4">
        <v>0</v>
      </c>
      <c r="Q4">
        <v>0</v>
      </c>
      <c r="R4" s="195"/>
      <c r="S4" s="196"/>
      <c r="T4" s="195"/>
      <c r="U4" s="7"/>
      <c r="V4" s="7"/>
      <c r="W4" s="7"/>
    </row>
    <row r="5" spans="1:23" ht="18.75">
      <c r="A5" s="8" t="s">
        <v>1</v>
      </c>
      <c r="B5" s="9">
        <f>IF(Input!$D$24="Metric",Input!$D$9,Input!$F$9*25.4)</f>
        <v>1500</v>
      </c>
      <c r="C5" s="10" t="s">
        <v>7</v>
      </c>
      <c r="D5" s="7"/>
      <c r="E5" s="11"/>
      <c r="F5" s="11"/>
      <c r="G5" s="11"/>
      <c r="H5" s="53"/>
      <c r="J5" s="11"/>
      <c r="L5" s="82"/>
      <c r="N5" s="194" t="s">
        <v>20</v>
      </c>
      <c r="O5">
        <v>58.5</v>
      </c>
      <c r="P5">
        <v>47</v>
      </c>
      <c r="Q5">
        <v>16</v>
      </c>
      <c r="R5" s="196">
        <v>91</v>
      </c>
      <c r="S5" s="196">
        <v>162.80000000000001</v>
      </c>
      <c r="T5" s="195">
        <v>19.37</v>
      </c>
      <c r="U5" s="11"/>
      <c r="V5" s="11"/>
      <c r="W5" s="11"/>
    </row>
    <row r="6" spans="1:23" ht="18.75">
      <c r="A6" s="8" t="s">
        <v>346</v>
      </c>
      <c r="B6" s="9">
        <f>$B$5/2</f>
        <v>750</v>
      </c>
      <c r="C6" s="10" t="s">
        <v>7</v>
      </c>
      <c r="D6" s="7"/>
      <c r="E6" s="11"/>
      <c r="F6" s="11"/>
      <c r="G6" s="11"/>
      <c r="H6" s="53"/>
      <c r="J6" s="11"/>
      <c r="L6" s="82"/>
      <c r="N6" s="194" t="s">
        <v>21</v>
      </c>
      <c r="O6">
        <v>74</v>
      </c>
      <c r="P6">
        <v>47</v>
      </c>
      <c r="Q6">
        <v>16</v>
      </c>
      <c r="R6" s="196">
        <v>101</v>
      </c>
      <c r="S6" s="196">
        <v>172.8</v>
      </c>
      <c r="T6" s="195">
        <v>19.96</v>
      </c>
      <c r="U6" s="11"/>
      <c r="V6" s="11"/>
      <c r="W6" s="11"/>
    </row>
    <row r="7" spans="1:23" ht="18.75">
      <c r="A7" s="8" t="s">
        <v>15</v>
      </c>
      <c r="B7" s="9">
        <f>IF(Input!$D$24="Metric",IF(Input!$D$10=0,5,Input!$D$10),IF(Input!$F$10=0,5,Input!$F$10*25.4))</f>
        <v>10</v>
      </c>
      <c r="C7" s="1" t="s">
        <v>7</v>
      </c>
      <c r="D7" s="7"/>
      <c r="H7" s="53"/>
      <c r="L7" s="58"/>
      <c r="N7" s="194" t="s">
        <v>22</v>
      </c>
      <c r="O7">
        <v>80</v>
      </c>
      <c r="P7">
        <v>52</v>
      </c>
      <c r="Q7">
        <v>16</v>
      </c>
      <c r="R7" s="196">
        <v>102.5</v>
      </c>
      <c r="S7" s="196">
        <v>174.3</v>
      </c>
      <c r="T7" s="195">
        <v>19.59</v>
      </c>
      <c r="U7" s="111"/>
      <c r="W7" s="12"/>
    </row>
    <row r="8" spans="1:23" ht="18.75">
      <c r="A8" s="8" t="s">
        <v>347</v>
      </c>
      <c r="B8" s="9">
        <f>VLOOKUP($B$3,Tabell2[[Dish Head Type]:[Vol dish]],2,FALSE)</f>
        <v>1520</v>
      </c>
      <c r="C8" s="1" t="s">
        <v>7</v>
      </c>
      <c r="H8" s="53"/>
      <c r="L8" s="58"/>
      <c r="N8" s="194" t="s">
        <v>23</v>
      </c>
      <c r="O8">
        <v>88.5</v>
      </c>
      <c r="P8">
        <v>64.75</v>
      </c>
      <c r="Q8">
        <v>16</v>
      </c>
      <c r="R8" s="196">
        <v>106</v>
      </c>
      <c r="S8" s="196">
        <v>177.8</v>
      </c>
      <c r="T8" s="195">
        <v>18.850000000000001</v>
      </c>
      <c r="U8" s="111"/>
      <c r="W8" s="12"/>
    </row>
    <row r="9" spans="1:23" ht="15.75">
      <c r="A9" s="8" t="s">
        <v>270</v>
      </c>
      <c r="B9" s="11">
        <f>VLOOKUP($B$3,Tabell2[[Dish Head Type]:[Vol dish]],4,FALSE)</f>
        <v>1520</v>
      </c>
      <c r="C9" s="1"/>
      <c r="H9" s="53"/>
      <c r="L9" s="58"/>
      <c r="N9" s="194" t="s">
        <v>24</v>
      </c>
      <c r="O9">
        <v>118</v>
      </c>
      <c r="P9">
        <v>79.75</v>
      </c>
      <c r="Q9">
        <v>20</v>
      </c>
      <c r="R9" s="196">
        <v>107.6</v>
      </c>
      <c r="S9" s="195">
        <f>194.94+4.6</f>
        <v>199.54</v>
      </c>
      <c r="T9" s="195">
        <v>19.09</v>
      </c>
      <c r="U9" s="111"/>
      <c r="W9" s="12"/>
    </row>
    <row r="10" spans="1:23" ht="15.75">
      <c r="A10" s="8" t="s">
        <v>284</v>
      </c>
      <c r="B10" s="11">
        <f>VLOOKUP($B$3,Tabell2[[Dish Head Type]:[Vol dish]],5,FALSE)</f>
        <v>152</v>
      </c>
      <c r="C10" s="1"/>
      <c r="H10" s="53"/>
      <c r="L10" s="58"/>
      <c r="N10" s="194" t="s">
        <v>25</v>
      </c>
      <c r="O10">
        <v>150</v>
      </c>
      <c r="P10">
        <v>99.75</v>
      </c>
      <c r="Q10">
        <v>20</v>
      </c>
      <c r="R10" s="196">
        <v>119.6</v>
      </c>
      <c r="S10" s="195">
        <v>211.09527947999999</v>
      </c>
      <c r="T10" s="195">
        <v>19.079999999999998</v>
      </c>
      <c r="U10" s="111"/>
      <c r="W10" s="12"/>
    </row>
    <row r="11" spans="1:23" ht="15.75">
      <c r="A11" s="8" t="s">
        <v>354</v>
      </c>
      <c r="B11" s="200">
        <f>($B$6-$B$10)*$B$9/($B$9-$B$10)</f>
        <v>664.44444444444446</v>
      </c>
      <c r="C11" s="1"/>
      <c r="H11" s="53"/>
      <c r="L11" s="58"/>
      <c r="N11" s="194" t="s">
        <v>26</v>
      </c>
      <c r="O11">
        <v>175</v>
      </c>
      <c r="P11">
        <v>114.75</v>
      </c>
      <c r="Q11">
        <v>20</v>
      </c>
      <c r="R11" s="196">
        <v>125.5</v>
      </c>
      <c r="S11" s="196">
        <v>217</v>
      </c>
      <c r="T11" s="195">
        <v>18.62</v>
      </c>
      <c r="U11" s="111"/>
      <c r="W11" s="12"/>
    </row>
    <row r="12" spans="1:23" ht="18.75">
      <c r="A12" s="8"/>
      <c r="B12" s="14"/>
      <c r="C12" s="1"/>
      <c r="H12" s="53"/>
      <c r="L12" s="58"/>
      <c r="N12" t="s">
        <v>134</v>
      </c>
      <c r="O12">
        <v>200</v>
      </c>
      <c r="P12">
        <v>124.75</v>
      </c>
      <c r="Q12">
        <v>0</v>
      </c>
      <c r="U12" s="12"/>
      <c r="W12" s="12"/>
    </row>
    <row r="13" spans="1:23" ht="45.75">
      <c r="A13" s="96" t="s">
        <v>121</v>
      </c>
      <c r="B13" s="14" t="str">
        <f>IF($B$5&lt;1000,
CONCATENATE(ROUNDUP(0.5*$B$11,0),"mm"),
CONCATENATE(ROUNDUP(0.3*$B$11,0), "mm - ",ROUNDUP(0.5*$B$11,0),"mm"))</f>
        <v>200mm - 333mm</v>
      </c>
      <c r="C13" s="1"/>
      <c r="D13" s="14"/>
      <c r="E13" s="14"/>
      <c r="F13" s="14"/>
      <c r="H13" s="53"/>
      <c r="L13" s="58"/>
      <c r="N13" t="s">
        <v>135</v>
      </c>
      <c r="O13">
        <v>225</v>
      </c>
      <c r="P13">
        <v>124.75</v>
      </c>
      <c r="Q13">
        <v>0</v>
      </c>
      <c r="U13" s="12"/>
      <c r="W13" s="12"/>
    </row>
    <row r="14" spans="1:23" ht="45.75">
      <c r="A14" s="96" t="s">
        <v>257</v>
      </c>
      <c r="B14" s="14" t="str">
        <f>IF($B$5&lt;1000,
CONCATENATE(ROUNDUP(0.5*$B$11/25.4,1)," in"),
CONCATENATE(ROUNDUP(0.3*$B$11/25.4,1), " in - ",ROUNDUP(0.5*$B$11/25.4,1)," in"))</f>
        <v>7,9 in - 13,1 in</v>
      </c>
      <c r="C14" s="1"/>
      <c r="H14" s="53"/>
      <c r="N14" s="194" t="s">
        <v>30</v>
      </c>
      <c r="O14">
        <v>33</v>
      </c>
      <c r="P14">
        <v>40</v>
      </c>
      <c r="Q14">
        <v>9</v>
      </c>
      <c r="R14" s="195">
        <v>89.75</v>
      </c>
      <c r="S14" s="196">
        <f>2.27+135.93</f>
        <v>138.20000000000002</v>
      </c>
      <c r="T14" s="196">
        <v>42</v>
      </c>
      <c r="U14" s="12"/>
      <c r="W14" s="12"/>
    </row>
    <row r="15" spans="1:23" ht="30.75">
      <c r="A15" s="96" t="s">
        <v>375</v>
      </c>
      <c r="B15" s="108">
        <f>VLOOKUP($B$3,Tabell2[[Dish Head Type]:[Vol dish]],7,FALSE)</f>
        <v>334.06762500000002</v>
      </c>
      <c r="C15" s="1" t="s">
        <v>12</v>
      </c>
      <c r="H15" s="53"/>
      <c r="I15" s="82"/>
      <c r="N15" s="194" t="s">
        <v>31</v>
      </c>
      <c r="O15">
        <v>52.5</v>
      </c>
      <c r="P15">
        <v>57</v>
      </c>
      <c r="Q15">
        <v>16</v>
      </c>
      <c r="R15" s="196">
        <v>131.5</v>
      </c>
      <c r="S15" s="196">
        <f>207.14+4.16</f>
        <v>211.29999999999998</v>
      </c>
      <c r="T15" s="196">
        <v>47</v>
      </c>
      <c r="U15" s="12"/>
      <c r="W15" s="12"/>
    </row>
    <row r="16" spans="1:23" ht="30.75">
      <c r="A16" s="96" t="s">
        <v>374</v>
      </c>
      <c r="B16" s="97">
        <f>VLOOKUP($B$3,Tabell2[[Dish Head Type]:[Vol dish]],6,FALSE)</f>
        <v>289.57</v>
      </c>
      <c r="C16" s="1" t="s">
        <v>7</v>
      </c>
      <c r="H16" s="53"/>
      <c r="I16" s="82"/>
      <c r="N16" s="194" t="s">
        <v>32</v>
      </c>
      <c r="O16">
        <v>69.5</v>
      </c>
      <c r="P16">
        <v>80</v>
      </c>
      <c r="Q16">
        <v>20</v>
      </c>
      <c r="R16" s="196">
        <v>169</v>
      </c>
      <c r="S16" s="196">
        <f>255.84+4.16</f>
        <v>260</v>
      </c>
      <c r="T16" s="196">
        <v>58</v>
      </c>
      <c r="U16" s="12"/>
      <c r="W16" s="12"/>
    </row>
    <row r="17" spans="1:23" ht="18.75">
      <c r="A17" s="96" t="s">
        <v>159</v>
      </c>
      <c r="B17" s="97">
        <f>$B$4-$B$15</f>
        <v>1665.9323749999999</v>
      </c>
      <c r="C17" s="1" t="s">
        <v>12</v>
      </c>
      <c r="H17" s="53"/>
      <c r="N17" s="194" t="s">
        <v>27</v>
      </c>
      <c r="O17">
        <v>33</v>
      </c>
      <c r="P17">
        <v>27.5</v>
      </c>
      <c r="Q17">
        <v>9</v>
      </c>
      <c r="R17" s="195">
        <f>3.5+58.13</f>
        <v>61.63</v>
      </c>
      <c r="S17" s="195">
        <f>106.56+2.27</f>
        <v>108.83</v>
      </c>
      <c r="T17" s="195">
        <v>34.14</v>
      </c>
      <c r="U17" s="12"/>
      <c r="W17" s="12"/>
    </row>
    <row r="18" spans="1:23" ht="30.75">
      <c r="A18" s="96" t="s">
        <v>163</v>
      </c>
      <c r="B18" s="97">
        <f>($B$4-(0.1*($B$5/100)^3))/(PI()*(($B$5)/200)^2)*100</f>
        <v>940.78255249875917</v>
      </c>
      <c r="C18" s="1" t="s">
        <v>7</v>
      </c>
      <c r="H18" s="53"/>
      <c r="N18" s="194" t="s">
        <v>28</v>
      </c>
      <c r="O18">
        <v>51.5</v>
      </c>
      <c r="P18">
        <v>47</v>
      </c>
      <c r="Q18">
        <v>16</v>
      </c>
      <c r="R18" s="195">
        <v>100.37</v>
      </c>
      <c r="S18" s="195">
        <f>176.01+4.16</f>
        <v>180.17</v>
      </c>
      <c r="T18" s="195">
        <v>47.4</v>
      </c>
      <c r="U18" s="12"/>
      <c r="W18" s="12"/>
    </row>
    <row r="19" spans="1:23" ht="18.75">
      <c r="A19" s="15" t="s">
        <v>14</v>
      </c>
      <c r="B19" s="95">
        <f>($B$16+$B$18)/$B$5</f>
        <v>0.82023503499917283</v>
      </c>
      <c r="C19" s="2"/>
      <c r="H19" s="53"/>
      <c r="N19" s="194" t="s">
        <v>29</v>
      </c>
      <c r="O19">
        <v>68</v>
      </c>
      <c r="P19">
        <v>79.75</v>
      </c>
      <c r="Q19">
        <v>20</v>
      </c>
      <c r="R19" s="196">
        <v>137</v>
      </c>
      <c r="S19" s="195">
        <f>224.61+4.16</f>
        <v>228.77</v>
      </c>
      <c r="T19" s="196">
        <v>78</v>
      </c>
    </row>
    <row r="20" spans="1:23">
      <c r="H20" s="53"/>
      <c r="K20" s="44"/>
      <c r="L20" s="44"/>
      <c r="N20" s="194" t="s">
        <v>79</v>
      </c>
      <c r="O20">
        <v>48</v>
      </c>
      <c r="P20">
        <v>27.5</v>
      </c>
      <c r="Q20">
        <v>9</v>
      </c>
      <c r="R20" s="196"/>
      <c r="S20" s="196"/>
      <c r="T20" s="196"/>
    </row>
    <row r="21" spans="1:23">
      <c r="H21" s="53"/>
      <c r="N21" s="194" t="s">
        <v>80</v>
      </c>
      <c r="O21">
        <v>75</v>
      </c>
      <c r="P21">
        <v>47</v>
      </c>
      <c r="Q21">
        <v>16</v>
      </c>
      <c r="R21" s="196">
        <v>101</v>
      </c>
      <c r="S21" s="196">
        <v>179</v>
      </c>
      <c r="T21" s="196">
        <v>20</v>
      </c>
    </row>
    <row r="22" spans="1:23" ht="15.75">
      <c r="A22" s="110" t="s">
        <v>355</v>
      </c>
      <c r="B22" s="110"/>
      <c r="C22" s="110"/>
      <c r="D22" s="110"/>
      <c r="E22" s="110" t="s">
        <v>287</v>
      </c>
      <c r="F22" s="110"/>
      <c r="G22" s="110"/>
      <c r="H22" s="53"/>
      <c r="K22" s="110"/>
      <c r="L22" s="110"/>
      <c r="M22" s="110"/>
      <c r="N22" t="s">
        <v>119</v>
      </c>
      <c r="O22">
        <v>88.5</v>
      </c>
      <c r="P22">
        <v>64.75</v>
      </c>
      <c r="Q22">
        <v>16</v>
      </c>
      <c r="R22">
        <v>105</v>
      </c>
      <c r="S22">
        <v>187</v>
      </c>
      <c r="T22">
        <v>20</v>
      </c>
      <c r="U22" s="110"/>
      <c r="V22" s="110"/>
      <c r="W22" s="110"/>
    </row>
    <row r="23" spans="1:23" ht="30.75">
      <c r="A23" s="4" t="s">
        <v>156</v>
      </c>
      <c r="B23" s="5">
        <f>IF(Input!$D$24="Metric",Input!$D$11,Input!$F$11/0.264172)-$B$4</f>
        <v>0</v>
      </c>
      <c r="C23" s="6" t="s">
        <v>12</v>
      </c>
      <c r="D23" s="7"/>
      <c r="E23" s="33" t="s">
        <v>356</v>
      </c>
      <c r="F23" s="33" t="str">
        <f>Output!C$24</f>
        <v>ZG7</v>
      </c>
      <c r="G23" s="33" t="str">
        <f>Output!D$24</f>
        <v>ZGP7</v>
      </c>
      <c r="H23" s="33" t="str">
        <f>Output!E$24</f>
        <v>HP5</v>
      </c>
      <c r="I23" s="33" t="str">
        <f>Output!F$24</f>
        <v>HS5</v>
      </c>
      <c r="J23" s="33" t="str">
        <f>Output!G$24</f>
        <v>ZF160</v>
      </c>
      <c r="K23" s="7"/>
      <c r="L23" s="7"/>
      <c r="M23" s="7"/>
      <c r="N23" s="194" t="s">
        <v>81</v>
      </c>
      <c r="O23">
        <v>118</v>
      </c>
      <c r="P23">
        <v>79.75</v>
      </c>
      <c r="Q23">
        <v>20</v>
      </c>
      <c r="R23" s="196">
        <v>109</v>
      </c>
      <c r="S23" s="196">
        <v>201</v>
      </c>
      <c r="T23" s="196">
        <v>21.38</v>
      </c>
      <c r="U23" s="7"/>
      <c r="V23" s="7"/>
      <c r="W23" s="7"/>
    </row>
    <row r="24" spans="1:23" ht="18.75">
      <c r="A24" s="8" t="s">
        <v>1</v>
      </c>
      <c r="B24" s="9">
        <f>$B$5</f>
        <v>1500</v>
      </c>
      <c r="C24" s="10" t="s">
        <v>7</v>
      </c>
      <c r="D24" s="11"/>
      <c r="E24" s="201" t="s">
        <v>373</v>
      </c>
      <c r="F24" s="202">
        <f>IF($F$23="N/A","N/A",VLOOKUP($F$23,Tabell36[],3,FALSE))</f>
        <v>64.75</v>
      </c>
      <c r="G24" s="202">
        <f>IF($G$23="N/A","N/A",VLOOKUP($G$23,Tabell36[],3,FALSE))</f>
        <v>64.75</v>
      </c>
      <c r="H24" s="202">
        <f>IF($H$23="N/A","N/A",VLOOKUP($H$23,Tabell36[],3,FALSE))</f>
        <v>47</v>
      </c>
      <c r="I24" s="202">
        <f>IF($I$23="N/A","N/A",VLOOKUP($I$23,Tabell36[],3,FALSE))</f>
        <v>57</v>
      </c>
      <c r="J24" s="202">
        <f>IF($J$23="N/A","N/A",VLOOKUP($J$23,Tabell36[],3,FALSE))</f>
        <v>84</v>
      </c>
      <c r="K24" s="11"/>
      <c r="L24" s="11"/>
      <c r="M24" s="11"/>
      <c r="N24" s="194" t="str">
        <f>IF(Input!$D$8="YES","ZFM100","ZF100")</f>
        <v>ZF100</v>
      </c>
      <c r="O24">
        <v>70</v>
      </c>
      <c r="P24">
        <v>54.75</v>
      </c>
      <c r="Q24">
        <v>36.75</v>
      </c>
      <c r="R24" s="196">
        <v>55</v>
      </c>
      <c r="S24" s="196">
        <v>66.5</v>
      </c>
      <c r="T24" s="196">
        <v>31.1</v>
      </c>
      <c r="U24" s="11"/>
      <c r="V24" s="11"/>
      <c r="W24" s="11"/>
    </row>
    <row r="25" spans="1:23" ht="30.75">
      <c r="A25" s="8" t="s">
        <v>15</v>
      </c>
      <c r="B25" s="9">
        <f>$B$7</f>
        <v>10</v>
      </c>
      <c r="C25" s="1" t="s">
        <v>7</v>
      </c>
      <c r="E25" s="191" t="s">
        <v>372</v>
      </c>
      <c r="F25" s="203">
        <f>IF($F$23="N/A","N/A",VLOOKUP($F$23,Tabell36[],4,FALSE))</f>
        <v>16</v>
      </c>
      <c r="G25" s="203">
        <f>IF($G$23="N/A","N/A",VLOOKUP($G$23,Tabell36[],4,FALSE))</f>
        <v>16</v>
      </c>
      <c r="H25" s="203">
        <f>IF($H$23="N/A","N/A",VLOOKUP($H$23,Tabell36[],4,FALSE))</f>
        <v>16</v>
      </c>
      <c r="I25" s="203">
        <f>IF($I$23="N/A","N/A",VLOOKUP($I$23,Tabell36[],4,FALSE))</f>
        <v>16</v>
      </c>
      <c r="J25" s="203">
        <f>IF($J$23="N/A","N/A",VLOOKUP($J$23,Tabell36[],4,FALSE))</f>
        <v>61</v>
      </c>
      <c r="N25" s="194" t="str">
        <f>IF(Input!$D$8="YES","ZFM160","ZF160")</f>
        <v>ZF160</v>
      </c>
      <c r="O25">
        <v>110</v>
      </c>
      <c r="P25">
        <v>84</v>
      </c>
      <c r="Q25">
        <v>61</v>
      </c>
      <c r="R25" s="196">
        <v>71.5</v>
      </c>
      <c r="S25" s="196">
        <v>169.5</v>
      </c>
      <c r="T25" s="196">
        <v>41.5</v>
      </c>
      <c r="U25" s="111"/>
      <c r="W25" s="12"/>
    </row>
    <row r="26" spans="1:23" ht="30.75">
      <c r="A26" s="8"/>
      <c r="B26" s="14"/>
      <c r="C26" s="1"/>
      <c r="E26" s="191" t="s">
        <v>371</v>
      </c>
      <c r="F26" s="203">
        <f>IF($F$23="N/A","N/A",VLOOKUP($F$23,Tabell36[],5,FALSE))</f>
        <v>106</v>
      </c>
      <c r="G26" s="203">
        <f>IF($G$23="N/A","N/A",VLOOKUP($G$23,Tabell36[],5,FALSE))</f>
        <v>105</v>
      </c>
      <c r="H26" s="203">
        <f>IF($H$23="N/A","N/A",VLOOKUP($H$23,Tabell36[],5,FALSE))</f>
        <v>100.37</v>
      </c>
      <c r="I26" s="203">
        <f>IF($I$23="N/A","N/A",VLOOKUP($I$23,Tabell36[],5,FALSE))</f>
        <v>131.5</v>
      </c>
      <c r="J26" s="203">
        <f>IF($J$23="N/A","N/A",VLOOKUP($J$23,Tabell36[],5,FALSE))</f>
        <v>71.5</v>
      </c>
      <c r="P26" s="12"/>
      <c r="Q26" s="12"/>
      <c r="S26" s="12"/>
      <c r="T26" s="13"/>
      <c r="U26" s="12"/>
      <c r="W26" s="12"/>
    </row>
    <row r="27" spans="1:23" ht="18.75">
      <c r="A27" s="96" t="s">
        <v>122</v>
      </c>
      <c r="B27" s="97">
        <f>$B$16</f>
        <v>289.57</v>
      </c>
      <c r="C27" s="1" t="s">
        <v>7</v>
      </c>
      <c r="E27" s="191" t="s">
        <v>376</v>
      </c>
      <c r="F27" s="203">
        <f>IF($F$23="N/A","N/A",VLOOKUP($F$23,Tabell36[],6,FALSE))</f>
        <v>177.8</v>
      </c>
      <c r="G27" s="203">
        <f>IF($G$23="N/A","N/A",VLOOKUP($G$23,Tabell36[],6,FALSE))</f>
        <v>187</v>
      </c>
      <c r="H27" s="203">
        <f>IF($H$23="N/A","N/A",VLOOKUP($H$23,Tabell36[],6,FALSE))</f>
        <v>180.17</v>
      </c>
      <c r="I27" s="203">
        <f>IF($I$23="N/A","N/A",VLOOKUP($I$23,Tabell36[],6,FALSE))</f>
        <v>211.29999999999998</v>
      </c>
      <c r="J27" s="203">
        <f>IF($J$23="N/A","N/A",VLOOKUP($J$23,Tabell36[],6,FALSE))</f>
        <v>169.5</v>
      </c>
      <c r="P27" s="12"/>
      <c r="Q27" s="12"/>
      <c r="S27" s="12"/>
      <c r="T27" s="13"/>
      <c r="U27" s="12"/>
      <c r="W27" s="12"/>
    </row>
    <row r="28" spans="1:23" ht="30.75">
      <c r="A28" s="96" t="s">
        <v>153</v>
      </c>
      <c r="B28" s="97">
        <f>(IF(Input!$D$24="Metric",Input!$D$11,Input!$F$11/0.264172)-$B$4)/(PI()*($B$5/200)^2)*100</f>
        <v>0</v>
      </c>
      <c r="C28" s="1" t="s">
        <v>7</v>
      </c>
      <c r="E28" s="191" t="s">
        <v>370</v>
      </c>
      <c r="F28" s="203">
        <f>IF($F$23="N/A","N/A",VLOOKUP($F$23,Tabell36[],7,FALSE))</f>
        <v>18.850000000000001</v>
      </c>
      <c r="G28" s="203">
        <f>IF($G$23="N/A","N/A",VLOOKUP($G$23,Tabell36[],7,FALSE))</f>
        <v>20</v>
      </c>
      <c r="H28" s="203">
        <f>IF($H$23="N/A","N/A",VLOOKUP($H$23,Tabell36[],7,FALSE))</f>
        <v>47.4</v>
      </c>
      <c r="I28" s="203">
        <f>IF($I$23="N/A","N/A",VLOOKUP($I$23,Tabell36[],7,FALSE))</f>
        <v>47</v>
      </c>
      <c r="J28" s="203">
        <f>IF($J$23="N/A","N/A",VLOOKUP($J$23,Tabell36[],7,FALSE))</f>
        <v>41.5</v>
      </c>
      <c r="P28" s="12"/>
      <c r="Q28" s="12"/>
      <c r="S28" s="12"/>
      <c r="T28" s="13"/>
      <c r="U28" s="12"/>
      <c r="W28" s="12"/>
    </row>
    <row r="29" spans="1:23" ht="30.75">
      <c r="A29" s="96" t="s">
        <v>123</v>
      </c>
      <c r="B29" s="97">
        <f>SUM($B$16,$B$18,$B$27,$B$28)</f>
        <v>1519.9225524987592</v>
      </c>
      <c r="C29" s="1" t="s">
        <v>7</v>
      </c>
      <c r="E29" s="191" t="s">
        <v>369</v>
      </c>
      <c r="F29" s="204">
        <f>IF($F$23="N/A","N/A",VLOOKUP($F$23,Tabell36[],2,FALSE))</f>
        <v>88.5</v>
      </c>
      <c r="G29" s="204">
        <f>IF($G$23="N/A","N/A",VLOOKUP($G$23,Tabell36[],2,FALSE))</f>
        <v>88.5</v>
      </c>
      <c r="H29" s="204">
        <f>IF($H$23="N/A","N/A",VLOOKUP($H$23,Tabell36[],2,FALSE))</f>
        <v>51.5</v>
      </c>
      <c r="I29" s="204">
        <f>IF($I$23="N/A","N/A",VLOOKUP($I$23,Tabell36[],2,FALSE))</f>
        <v>52.5</v>
      </c>
      <c r="J29" s="204">
        <f>IF($J$23="N/A","N/A",VLOOKUP($J$23,Tabell36[],2,FALSE))</f>
        <v>110</v>
      </c>
      <c r="P29" s="12"/>
      <c r="Q29" s="12"/>
      <c r="S29" s="12"/>
      <c r="T29" s="13"/>
      <c r="U29" s="12"/>
      <c r="W29" s="12"/>
    </row>
    <row r="30" spans="1:23" ht="18.75">
      <c r="A30" s="15"/>
      <c r="B30" s="16"/>
      <c r="C30" s="2"/>
      <c r="G30" s="12"/>
    </row>
    <row r="31" spans="1:23">
      <c r="E31" s="205" t="s">
        <v>357</v>
      </c>
      <c r="F31" s="3" t="str">
        <f>F23</f>
        <v>ZG7</v>
      </c>
      <c r="G31" s="3" t="str">
        <f t="shared" ref="G31:J31" si="0">G23</f>
        <v>ZGP7</v>
      </c>
      <c r="H31" s="3" t="str">
        <f t="shared" si="0"/>
        <v>HP5</v>
      </c>
      <c r="I31" s="3" t="str">
        <f t="shared" si="0"/>
        <v>HS5</v>
      </c>
      <c r="J31" s="3" t="str">
        <f t="shared" si="0"/>
        <v>ZF160</v>
      </c>
    </row>
    <row r="32" spans="1:23" ht="15.75">
      <c r="A32" s="110" t="s">
        <v>162</v>
      </c>
      <c r="B32" s="110"/>
      <c r="C32" s="110"/>
      <c r="E32" s="206" t="s">
        <v>295</v>
      </c>
      <c r="F32" s="208">
        <f>$B$9-SQRT(($B$9)^2-($B$11)^2)</f>
        <v>152.91785899788988</v>
      </c>
      <c r="G32" s="208">
        <f>$B$9-SQRT(($B$9)^2-($B$11)^2)</f>
        <v>152.91785899788988</v>
      </c>
      <c r="H32" s="208">
        <f>$B$9-SQRT(($B$9)^2-($B$11)^2)</f>
        <v>152.91785899788988</v>
      </c>
      <c r="I32" s="208">
        <f>$B$9-SQRT(($B$9)^2-($B$11)^2)</f>
        <v>152.91785899788988</v>
      </c>
      <c r="J32" s="208">
        <f t="shared" ref="J32" si="1">$B$9-SQRT(($B$9)^2-($B$11)^2)</f>
        <v>152.91785899788988</v>
      </c>
      <c r="M32" s="12"/>
    </row>
    <row r="33" spans="1:15" ht="30">
      <c r="A33" s="33" t="s">
        <v>157</v>
      </c>
      <c r="B33" s="42">
        <f>($B$4+$B$23+$B$15)*8</f>
        <v>18672.541000000001</v>
      </c>
      <c r="C33" s="33" t="s">
        <v>161</v>
      </c>
      <c r="E33" s="207" t="s">
        <v>368</v>
      </c>
      <c r="F33" s="209">
        <f>IF($B$5&lt;1000,
           ASIN(($B$11*0.5)/$B$9)*(180/PI()),
           ASIN(($B$11*0.3)/$B$9)*(180/PI()))</f>
        <v>7.5354937905479185</v>
      </c>
      <c r="G33" s="209">
        <f>IF($B$5&lt;1000,
           ASIN(($B$11*0.5)/$B$9)*(180/PI()),
           ASIN(($B$11*0.3)/$B$9)*(180/PI()))</f>
        <v>7.5354937905479185</v>
      </c>
      <c r="H33" s="209">
        <f>IF($B$5&lt;1000,
           ASIN(($B$11*0.5)/$B$9)*(180/PI()),
           ASIN(($B$11*0.3)/$B$9)*(180/PI()))</f>
        <v>7.5354937905479185</v>
      </c>
      <c r="I33" s="209">
        <f>IF($B$5&lt;1000,
           ASIN(($B$11*0.5)/$B$9)*(180/PI()),
           ASIN(($B$11*0.3)/$B$9)*(180/PI()))</f>
        <v>7.5354937905479185</v>
      </c>
      <c r="J33" s="209">
        <f>IF($B$5&lt;1000,
           ASIN(($B$11*0.5)/$B$9)*(180/PI()),
           ASIN(($B$11*0.3)/$B$9)*(180/PI()))</f>
        <v>7.5354937905479185</v>
      </c>
      <c r="L33" s="83"/>
    </row>
    <row r="34" spans="1:15" ht="30">
      <c r="A34" s="33" t="s">
        <v>155</v>
      </c>
      <c r="B34" s="42">
        <f>(PI()*(($B$5+2*$B$7)/200)^2*((($B$29+2*$B$7)-2*(0.1935*($B$5+4*$B$7)-0.455*$B$7))/100)+2*(0.1*(($B$5+2*$B$7)/100)^3))*8</f>
        <v>19453.898301662368</v>
      </c>
      <c r="C34" s="32" t="s">
        <v>161</v>
      </c>
      <c r="E34" s="207" t="s">
        <v>367</v>
      </c>
      <c r="F34" s="209">
        <f>IF(F$23="N/A","N/A",ASIN(F$24/$B$9)*(180/PI()))</f>
        <v>2.4414635975401131</v>
      </c>
      <c r="G34" s="209">
        <f>IF(G$23="N/A","N/A",ASIN(G$24/$B$9)*(180/PI()))</f>
        <v>2.4414635975401131</v>
      </c>
      <c r="H34" s="209">
        <f>IF(H$23="N/A","N/A",ASIN(H$24/$B$9)*(180/PI()))</f>
        <v>1.7719282505815497</v>
      </c>
      <c r="I34" s="209">
        <f>IF(I$23="N/A","N/A",ASIN(I$24/$B$9)*(180/PI()))</f>
        <v>2.1490956268640184</v>
      </c>
      <c r="J34" s="209">
        <f>IF(J$23="N/A","N/A",ASIN(J$24/$B$9)*(180/PI()))</f>
        <v>3.167959607647894</v>
      </c>
    </row>
    <row r="35" spans="1:15" ht="30">
      <c r="A35" s="33" t="s">
        <v>160</v>
      </c>
      <c r="B35" s="42">
        <f>ROUNDUP($B$34-$B$33,-1)</f>
        <v>790</v>
      </c>
      <c r="C35" s="3" t="s">
        <v>161</v>
      </c>
      <c r="E35" s="207" t="s">
        <v>304</v>
      </c>
      <c r="F35" s="209">
        <f>IF(F$23="N/A","N/A",$B$9*(1-COS(F$34*PI()/180)))</f>
        <v>1.3797586295643516</v>
      </c>
      <c r="G35" s="209">
        <f>IF(G$23="N/A","N/A",$B$9*(1-COS(G$34*PI()/180)))</f>
        <v>1.3797586295643516</v>
      </c>
      <c r="H35" s="209">
        <f>IF(H$23="N/A","N/A",$B$9*(1-COS(H$34*PI()/180)))</f>
        <v>0.72681850827106764</v>
      </c>
      <c r="I35" s="209">
        <f>IF(I$23="N/A","N/A",$B$9*(1-COS(I$34*PI()/180)))</f>
        <v>1.0691259968411782</v>
      </c>
      <c r="J35" s="209">
        <f>IF(J$23="N/A","N/A",$B$9*(1-COS(J$34*PI()/180)))</f>
        <v>2.322827476146081</v>
      </c>
    </row>
    <row r="36" spans="1:15">
      <c r="E36" s="210" t="s">
        <v>364</v>
      </c>
      <c r="F36" s="211">
        <f>IF(F$23="N/A","N/A",ATAN(F$25/($B$9-F$35-F$26))*(180/PI()))</f>
        <v>0.64893114665695228</v>
      </c>
      <c r="G36" s="211">
        <f>IF(G$23="N/A","N/A",ATAN(G$25/($B$9-G$35-G$26))*(180/PI()))</f>
        <v>0.64847212966479528</v>
      </c>
      <c r="H36" s="211">
        <f>IF(H$23="N/A","N/A",ATAN(H$25/($B$9-H$35-H$26))*(180/PI()))</f>
        <v>0.6460579067943184</v>
      </c>
      <c r="I36" s="211">
        <f>IF(I$23="N/A","N/A",ATAN(I$25/($B$9-I$35-I$26))*(180/PI()))</f>
        <v>0.66071171835619813</v>
      </c>
      <c r="J36" s="211">
        <f>IF(J$23="N/A","N/A",ATAN(J$25/($B$9-J$35-J$26))*(180/PI()))</f>
        <v>2.4153140237324311</v>
      </c>
    </row>
    <row r="37" spans="1:15">
      <c r="A37" s="7"/>
      <c r="E37" s="213" t="s">
        <v>365</v>
      </c>
      <c r="F37" s="215">
        <f>IF(F$23="N/A","N/A",ATAN(F$29/($B$9-F$35-$F$28))*(180/PI()))</f>
        <v>3.3770527878703258</v>
      </c>
      <c r="G37" s="215">
        <f>IF(G$23="N/A","N/A",ATAN(G$29/($B$9-G$35-$G$28))*(180/PI()))</f>
        <v>3.3796382408565577</v>
      </c>
      <c r="H37" s="215">
        <f>IF(H$23="N/A","N/A",ATAN(H$29/($B$9-H$35-$H$28))*(180/PI()))</f>
        <v>2.0039290144508373</v>
      </c>
      <c r="I37" s="215">
        <f>IF(I$23="N/A","N/A",ATAN(I$29/($B$9-I$35-$I$28))*(180/PI()))</f>
        <v>2.0427276034661355</v>
      </c>
      <c r="J37" s="215">
        <f>IF(J$23="N/A","N/A",ATAN(J$29/($B$9-J$35-$J$28))*(180/PI()))</f>
        <v>4.2616219105656432</v>
      </c>
      <c r="L37" s="12"/>
      <c r="O37" s="12"/>
    </row>
    <row r="38" spans="1:15">
      <c r="A38" s="7"/>
      <c r="E38" s="217" t="s">
        <v>366</v>
      </c>
      <c r="F38" s="220"/>
      <c r="G38" s="220"/>
      <c r="H38" s="220"/>
      <c r="I38" s="220"/>
      <c r="J38" s="220"/>
      <c r="L38" s="12"/>
      <c r="O38" s="12"/>
    </row>
    <row r="39" spans="1:15">
      <c r="A39" s="7"/>
      <c r="B39" s="12"/>
      <c r="E39" s="210" t="s">
        <v>358</v>
      </c>
      <c r="F39" s="212">
        <f>IF(F$23="N/A","N/A",SQRT(($B$9-F$35-F$26)^2+(F$25)^2))</f>
        <v>1412.710850220054</v>
      </c>
      <c r="G39" s="212">
        <f>IF(G$23="N/A","N/A",SQRT(($B$9-G$35-G$26)^2+(G$25)^2))</f>
        <v>1413.7107861271375</v>
      </c>
      <c r="H39" s="212">
        <f>IF(H$23="N/A","N/A",SQRT(($B$9-H$35-H$26)^2+(H$25)^2))</f>
        <v>1418.9933891485719</v>
      </c>
      <c r="I39" s="212">
        <f>IF(I$23="N/A","N/A",SQRT(($B$9-I$35-I$26)^2+(I$25)^2))</f>
        <v>1387.5231277846035</v>
      </c>
      <c r="J39" s="212">
        <f>IF(J$23="N/A","N/A",SQRT(($B$9-J$35-J$26)^2+(J$25)^2))</f>
        <v>1447.4630960162986</v>
      </c>
      <c r="O39" s="83"/>
    </row>
    <row r="40" spans="1:15">
      <c r="E40" s="213" t="s">
        <v>363</v>
      </c>
      <c r="F40" s="214">
        <f>IF(F$23="N/A","N/A",SQRT(($B$9-F$35-F$28)^2+(F$29)^2))</f>
        <v>1502.3791222259231</v>
      </c>
      <c r="G40" s="214">
        <f>IF(G$23="N/A","N/A",SQRT(($B$9-G$35-G$28)^2+(G$29)^2))</f>
        <v>1501.2311207289779</v>
      </c>
      <c r="H40" s="214">
        <f>IF(H$23="N/A","N/A",SQRT(($B$9-H$35-H$28)^2+(H$29)^2))</f>
        <v>1472.7738836612307</v>
      </c>
      <c r="I40" s="214">
        <f>IF(I$23="N/A","N/A",SQRT(($B$9-I$35-I$28)^2+(I$29)^2))</f>
        <v>1472.8668466102774</v>
      </c>
      <c r="J40" s="214">
        <f>IF(J$23="N/A","N/A",SQRT(($B$9-J$35-J$28)^2+(J$29)^2))</f>
        <v>1480.2699229128855</v>
      </c>
    </row>
    <row r="41" spans="1:15">
      <c r="E41" s="217" t="s">
        <v>377</v>
      </c>
      <c r="F41" s="219">
        <f>IF(F$23="N/A","N/A",$B$9-F$35-F$27)</f>
        <v>1340.8202413704357</v>
      </c>
      <c r="G41" s="219">
        <f>IF(G$23="N/A","N/A",$B$9-G$35-G$27)</f>
        <v>1331.6202413704357</v>
      </c>
      <c r="H41" s="219">
        <f>IF(H$23="N/A","N/A",$B$9-H$35-H$27)</f>
        <v>1339.1031814917289</v>
      </c>
      <c r="I41" s="219">
        <f>IF(I$23="N/A","N/A",$B$9-I$35-I$27)</f>
        <v>1307.6308740031589</v>
      </c>
      <c r="J41" s="219">
        <f>IF(J$23="N/A","N/A",$B$9-J$35-J$27)</f>
        <v>1348.1771725238539</v>
      </c>
    </row>
    <row r="42" spans="1:15">
      <c r="E42" s="210" t="s">
        <v>359</v>
      </c>
      <c r="F42" s="212">
        <f>IF(F$23="N/A","N/A",F$39*SIN((F$33+F$36)*(PI()/180)))</f>
        <v>201.11333510661686</v>
      </c>
      <c r="G42" s="212">
        <f>IF(G$23="N/A","N/A",G$39*SIN((G$33+G$36)*(PI()/180)))</f>
        <v>201.24447545749408</v>
      </c>
      <c r="H42" s="212">
        <f>IF(H$23="N/A","N/A",H$39*SIN((H$33+H$36)*(PI()/180)))</f>
        <v>201.93728207866363</v>
      </c>
      <c r="I42" s="212">
        <f>IF(I$23="N/A","N/A",I$39*SIN((I$33+I$36)*(PI()/180)))</f>
        <v>197.80999263169767</v>
      </c>
      <c r="J42" s="212">
        <f>IF(J$23="N/A","N/A",J$39*SIN((J$33+J$36)*(PI()/180)))</f>
        <v>250.12537438670543</v>
      </c>
    </row>
    <row r="43" spans="1:15">
      <c r="E43" s="213" t="s">
        <v>360</v>
      </c>
      <c r="F43" s="214">
        <f>IF(F$23="N/A","N/A",F$40*SIN((F$33+F$37)*(PI()/180)))</f>
        <v>284.41609307855077</v>
      </c>
      <c r="G43" s="214">
        <f>IF(G$23="N/A","N/A",G$40*SIN((G$33+G$37)*(PI()/180)))</f>
        <v>284.26528167504199</v>
      </c>
      <c r="H43" s="214">
        <f>IF(H$23="N/A","N/A",H$40*SIN((H$33+H$37)*(PI()/180)))</f>
        <v>244.07720180188406</v>
      </c>
      <c r="I43" s="214">
        <f>IF(I$23="N/A","N/A",I$40*SIN((I$33+I$37)*(PI()/180)))</f>
        <v>245.07613143039296</v>
      </c>
      <c r="J43" s="214">
        <f>IF(J$23="N/A","N/A",J$40*SIN((J$33+J$37)*(PI()/180)))</f>
        <v>302.63641171655695</v>
      </c>
    </row>
    <row r="44" spans="1:15">
      <c r="E44" s="217" t="s">
        <v>378</v>
      </c>
      <c r="F44" s="219">
        <f>IF(F$23="N/A","N/A",F$41*SIN((F$33)*(PI()/180)))</f>
        <v>175.83563691656153</v>
      </c>
      <c r="G44" s="219">
        <f>IF(G$23="N/A","N/A",G$41*SIN((G$33)*(PI()/180)))</f>
        <v>174.62914568849132</v>
      </c>
      <c r="H44" s="219">
        <f>IF(H$23="N/A","N/A",H$41*SIN((H$33)*(PI()/180)))</f>
        <v>175.61046108159076</v>
      </c>
      <c r="I44" s="219">
        <f>IF(I$23="N/A","N/A",I$41*SIN((I$33)*(PI()/180)))</f>
        <v>171.48317163462477</v>
      </c>
      <c r="J44" s="219">
        <f>IF(J$23="N/A","N/A",J$41*SIN((J$33)*(PI()/180)))</f>
        <v>176.80042744940013</v>
      </c>
    </row>
    <row r="45" spans="1:15">
      <c r="E45" s="210" t="s">
        <v>361</v>
      </c>
      <c r="F45" s="212">
        <f>IF(F$23="N/A","N/A",$B$9-SQRT(F$39^2-F$42^2))</f>
        <v>121.67765777280033</v>
      </c>
      <c r="G45" s="212">
        <f>IF(G$23="N/A","N/A",$B$9-SQRT(G$39^2-G$42^2))</f>
        <v>120.68629396048323</v>
      </c>
      <c r="H45" s="212">
        <f>IF(H$23="N/A","N/A",$B$9-SQRT(H$39^2-H$42^2))</f>
        <v>115.44897830159539</v>
      </c>
      <c r="I45" s="212">
        <f>IF(I$23="N/A","N/A",$B$9-SQRT(I$39^2-I$42^2))</f>
        <v>146.6494850358788</v>
      </c>
      <c r="J45" s="212">
        <f>IF(J$23="N/A","N/A",$B$9-SQRT(J$39^2-J$42^2))</f>
        <v>94.311846364360463</v>
      </c>
    </row>
    <row r="46" spans="1:15">
      <c r="E46" s="213" t="s">
        <v>362</v>
      </c>
      <c r="F46" s="214">
        <f>IF(F$23="N/A","N/A",$B$9-SQRT(F$40^2-F$43^2))</f>
        <v>44.787976967965506</v>
      </c>
      <c r="G46" s="214">
        <f>IF(G$23="N/A","N/A",$B$9-SQRT(G$40^2-G$43^2))</f>
        <v>45.928045352130084</v>
      </c>
      <c r="H46" s="214">
        <f t="shared" ref="H46" si="2">IF(H$23="N/A","N/A",$B$9-SQRT(H$40^2-H$43^2))</f>
        <v>67.591919619301279</v>
      </c>
      <c r="I46" s="214">
        <f>IF(I$23="N/A","N/A",$B$9-SQRT(I$40^2-I$43^2))</f>
        <v>67.665865702105293</v>
      </c>
      <c r="J46" s="214">
        <f>IF(J$23="N/A","N/A",$B$9-SQRT(J$40^2-J$43^2))</f>
        <v>70.996809187831104</v>
      </c>
    </row>
    <row r="47" spans="1:15">
      <c r="E47" s="217" t="s">
        <v>379</v>
      </c>
      <c r="F47" s="218">
        <f>IF(F$23="N/A","N/A",$B$9-SQRT(F$41^2-F$44^2))</f>
        <v>190.75933388312978</v>
      </c>
      <c r="G47" s="218">
        <f>IF(G$23="N/A","N/A",$B$9-SQRT(G$41^2-G$44^2))</f>
        <v>199.87988095644687</v>
      </c>
      <c r="H47" s="218">
        <f t="shared" ref="H47" si="3">IF(H$23="N/A","N/A",$B$9-SQRT(H$41^2-H$44^2))</f>
        <v>192.46156491046122</v>
      </c>
      <c r="I47" s="218">
        <f>IF(I$23="N/A","N/A",$B$9-SQRT(I$41^2-I$44^2))</f>
        <v>223.66207164474486</v>
      </c>
      <c r="J47" s="218">
        <f>IF(J$23="N/A","N/A",$B$9-SQRT(J$41^2-J$44^2))</f>
        <v>183.4659385679231</v>
      </c>
    </row>
    <row r="48" spans="1:15" ht="30">
      <c r="E48" s="223" t="s">
        <v>383</v>
      </c>
      <c r="F48" s="216">
        <f>IF(F$23="N/A","N/A",
          IF(F$45&lt;F$32,(1/3*PI()*F$45^2*(3*$B$9-F$45)/1000000),IF(F$45&lt;$B$16,(1/3*PI()*F$32^2*(3*$B$9-F$32)/1000000)+(((PI()*(SQRT($B$10^2-(F$45-$B$16)^2)+$B$6-$B$10)^2*(F$45-F$32)-$B$11^2*PI()*(F$45-F$32))/1.4+$B$11^2*PI()*(F$45-F$32))/1000000),$B$15+((F$45-$B$16)*PI()*$B$6^2/1000000))))</f>
        <v>68.812785936668234</v>
      </c>
      <c r="G48" s="216">
        <f t="shared" ref="G48:I48" si="4">IF(G$23="N/A","N/A",
          IF(G$45&lt;G$32,(1/3*PI()*G$45^2*(3*$B$9-G$45)/1000000),IF(G$45&lt;$B$16,(1/3*PI()*G$32^2*(3*$B$9-G$32)/1000000)+(((PI()*(SQRT($B$10^2-(G$45-$B$16)^2)+$B$6-$B$10)^2*(G$45-G$32)-$B$11^2*PI()*(G$45-G$32))/1.4+$B$11^2*PI()*(G$45-G$32))/1000000),$B$15+((G$45-$B$16)*PI()*$B$6^2/1000000))))</f>
        <v>67.711175903348774</v>
      </c>
      <c r="H48" s="216">
        <f t="shared" si="4"/>
        <v>62.034987890149253</v>
      </c>
      <c r="I48" s="216">
        <f t="shared" si="4"/>
        <v>99.39353198278161</v>
      </c>
      <c r="J48" s="216">
        <f>IF(J$23="N/A","N/A",
          IF(J$45&lt;J$32,(1/3*PI()*J$45^2*(3*$B$9-J$45)/1000000),IF(J$45&lt;$B$16,(1/3*PI()*J$32^2*(3*$B$9-J$32)/1000000)+(((PI()*(SQRT($B$10^2-(J$45-$B$16)^2)+$B$6-$B$10)^2*(J$45-J$32)-$B$11^2*PI()*(J$45-J$32))/1.4+$B$11^2*PI()*(J$45-J$32))/1000000),$B$15+((J$45-$B$16)*PI()*$B$6^2/1000000))))</f>
        <v>41.595802234637645</v>
      </c>
    </row>
    <row r="49" spans="2:10" ht="30">
      <c r="E49" s="224" t="s">
        <v>385</v>
      </c>
      <c r="F49" s="221">
        <f>IF(F$23="N/A","N/A",
          IF(F$46&lt;F$32,(1/3*PI()*F$46^2*(3*$B$9-F$46)/1000000),IF(F$46&lt;$B$16,(1/3*PI()*F$32^2*(3*$B$9-F$32)/1000000)+(((PI()*(SQRT($B$10^2-(F$46-$B$16)^2)+$B$6-$B$10)^2*(F$46-F$32)-$B$11^2*PI()*(F$46-F$32))/1.4+$B$11^2*PI()*(F$46-F$32))/1000000),$B$15+((F$46-$B$16)*PI()*$B$6^2/1000000))))</f>
        <v>9.4848323501219252</v>
      </c>
      <c r="G49" s="221">
        <f t="shared" ref="G49:I49" si="5">IF(G$23="N/A","N/A",
          IF(G$46&lt;G$32,(1/3*PI()*G$46^2*(3*$B$9-G$46)/1000000),IF(G$46&lt;$B$16,(1/3*PI()*G$32^2*(3*$B$9-G$32)/1000000)+(((PI()*(SQRT($B$10^2-(G$46-$B$16)^2)+$B$6-$B$10)^2*(G$46-G$32)-$B$11^2*PI()*(G$46-G$32))/1.4+$B$11^2*PI()*(G$46-G$32))/1000000),$B$15+((G$46-$B$16)*PI()*$B$6^2/1000000))))</f>
        <v>9.9713284262485775</v>
      </c>
      <c r="H49" s="221">
        <f t="shared" si="5"/>
        <v>21.493016840805634</v>
      </c>
      <c r="I49" s="221">
        <f t="shared" si="5"/>
        <v>21.53971506351721</v>
      </c>
      <c r="J49" s="221">
        <f>IF(J$23="N/A","N/A",
          IF(J$46&lt;J$32,(1/3*PI()*J$46^2*(3*$B$9-J$46)/1000000),IF(J$46&lt;$B$16,(1/3*PI()*J$32^2*(3*$B$9-J$32)/1000000)+(((PI()*(SQRT($B$10^2-(J$46-$B$16)^2)+$B$6-$B$10)^2*(J$46-J$32)-$B$11^2*PI()*(J$46-J$32))/1.4+$B$11^2*PI()*(J$46-J$32))/1000000),$B$15+((J$46-$B$16)*PI()*$B$6^2/1000000))))</f>
        <v>23.694971646958887</v>
      </c>
    </row>
    <row r="50" spans="2:10" ht="30">
      <c r="B50" s="12"/>
      <c r="E50" s="225" t="s">
        <v>384</v>
      </c>
      <c r="F50" s="222">
        <f>IF(F$23="N/A","N/A",
          IF(F$47&lt;F$32,(1/3*PI()*F$47^2*(3*$B$9-F$47)/1000000),IF(F$47&lt;$B$16,(1/3*PI()*F$32^2*(3*$B$9-F$32)/1000000)+(((PI()*(SQRT($B$10^2-(F$47-$B$16)^2)+$B$6-$B$10)^2*(F$47-F$32)-$B$11^2*PI()*(F$47-F$32))/1.4+$B$11^2*PI()*(F$47-F$32))/1000000),$B$15+((F$47-$B$16)*PI()*$B$6^2/1000000))))</f>
        <v>166.14365720399542</v>
      </c>
      <c r="G50" s="222">
        <f t="shared" ref="G50:H50" si="6">IF(G$23="N/A","N/A",
          IF(G$47&lt;G$32,(1/3*PI()*G$47^2*(3*$B$9-G$47)/1000000),IF(G$47&lt;$B$16,(1/3*PI()*G$32^2*(3*$B$9-G$32)/1000000)+(((PI()*(SQRT($B$10^2-(G$47-$B$16)^2)+$B$6-$B$10)^2*(G$47-G$32)-$B$11^2*PI()*(G$47-G$32))/1.4+$B$11^2*PI()*(G$47-G$32))/1000000),$B$15+((G$47-$B$16)*PI()*$B$6^2/1000000))))</f>
        <v>181.26785216644771</v>
      </c>
      <c r="H50" s="222">
        <f t="shared" si="6"/>
        <v>168.94467435984723</v>
      </c>
      <c r="I50" s="222">
        <f>IF(I$23="N/A","N/A",
          IF(I$47&lt;I$32,(1/3*PI()*I$47^2*(3*$B$9-I$47)/1000000),IF(I$47&lt;$B$16,(1/3*PI()*I$32^2*(3*$B$9-I$32)/1000000)+(((PI()*(SQRT($B$10^2-(I$47-$B$16)^2)+$B$6-$B$10)^2*(I$47-I$32)-$B$11^2*PI()*(I$47-I$32))/1.4+$B$11^2*PI()*(I$47-I$32))/1000000),$B$15+((I$47-$B$16)*PI()*$B$6^2/1000000))))</f>
        <v>221.70587703219309</v>
      </c>
      <c r="J50" s="222">
        <f>IF(J$23="N/A","N/A",
          IF(J$47&lt;J$32,(1/3*PI()*J$47^2*(3*$B$9-J$47)/1000000),IF(J$47&lt;$B$16,(1/3*PI()*J$32^2*(3*$B$9-J$32)/1000000)+(((PI()*(SQRT($B$10^2-(J$47-$B$16)^2)+$B$6-$B$10)^2*(J$47-J$32)-$B$11^2*PI()*(J$47-J$32))/1.4+$B$11^2*PI()*(J$47-J$32))/1000000),$B$15+((J$47-$B$16)*PI()*$B$6^2/1000000))))</f>
        <v>154.27299007376871</v>
      </c>
    </row>
    <row r="53" spans="2:10">
      <c r="F53" s="12"/>
    </row>
    <row r="54" spans="2:10">
      <c r="F54" s="12"/>
    </row>
    <row r="55" spans="2:10">
      <c r="F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4"/>
  <sheetViews>
    <sheetView topLeftCell="A4" zoomScaleNormal="100" workbookViewId="0">
      <selection activeCell="D13" sqref="D13"/>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10" max="10" width="11.7109375" bestFit="1" customWidth="1"/>
  </cols>
  <sheetData>
    <row r="1" spans="2:32" ht="15.75" thickBot="1">
      <c r="B1" s="119"/>
      <c r="C1" s="234" t="s">
        <v>125</v>
      </c>
      <c r="D1" s="234" t="s">
        <v>126</v>
      </c>
      <c r="E1" s="234" t="s">
        <v>127</v>
      </c>
      <c r="F1" s="234" t="s">
        <v>128</v>
      </c>
      <c r="G1" s="238" t="s">
        <v>129</v>
      </c>
      <c r="H1" s="53"/>
      <c r="I1" s="53"/>
      <c r="J1" s="53"/>
    </row>
    <row r="2" spans="2:32">
      <c r="B2" s="276" t="s">
        <v>400</v>
      </c>
      <c r="C2" s="277"/>
      <c r="D2" s="277"/>
      <c r="E2" s="277"/>
      <c r="F2" s="277"/>
      <c r="G2" s="278"/>
      <c r="K2" s="263"/>
      <c r="L2" s="263"/>
      <c r="M2" s="263"/>
      <c r="N2" s="263"/>
      <c r="O2" s="263"/>
      <c r="P2" s="263"/>
      <c r="Q2" s="263"/>
      <c r="R2" s="263"/>
      <c r="S2" s="263"/>
      <c r="T2" s="263"/>
      <c r="U2" s="263"/>
      <c r="V2" s="263"/>
      <c r="W2" s="263"/>
      <c r="X2" s="263"/>
      <c r="Y2" s="263"/>
      <c r="Z2" s="263"/>
      <c r="AA2" s="263"/>
      <c r="AB2" s="263"/>
      <c r="AC2" s="263"/>
      <c r="AD2" s="263"/>
      <c r="AE2" s="263"/>
      <c r="AF2" s="263"/>
    </row>
    <row r="3" spans="2:32" ht="45">
      <c r="B3" s="114" t="s">
        <v>191</v>
      </c>
      <c r="C3" s="106" t="str">
        <f>IF(Input!$D$3=0,"",VLOOKUP(Input!$D$3,'Main Mixing Purpose List'!$A$2:$F$19,2,FALSE))</f>
        <v>Biopharma - Upstream: Media prep - Sinking powder mixing</v>
      </c>
      <c r="D3" s="106" t="str">
        <f>IF(Input!$D$3=0,"",VLOOKUP(Input!$D$3,'Main Mixing Purpose List'!$A$2:$F$19,2,FALSE))</f>
        <v>Biopharma - Upstream: Media prep - Sinking powder mixing</v>
      </c>
      <c r="E3" s="106" t="str">
        <f>IF(Input!$D$3=0,"",VLOOKUP(Input!$D$3,'Main Mixing Purpose List'!$A$2:$F$19,2,FALSE))</f>
        <v>Biopharma - Upstream: Media prep - Sinking powder mixing</v>
      </c>
      <c r="F3" s="106" t="str">
        <f>IF(Input!$D$3=0,"",VLOOKUP(Input!$D$3,'Main Mixing Purpose List'!$A$2:$F$19,2,FALSE))</f>
        <v>Biopharma - Upstream: Media prep - Sinking powder mixing</v>
      </c>
      <c r="G3" s="114" t="str">
        <f>IF(Input!$D$3=0,"",VLOOKUP(Input!$D$3,'Main Mixing Purpose List'!$A$2:$F$19,2,FALSE))</f>
        <v>Biopharma - Upstream: Media prep - Sinking powder mixing</v>
      </c>
      <c r="K3" s="263"/>
      <c r="L3" s="263"/>
      <c r="M3" s="263"/>
      <c r="N3" s="263"/>
      <c r="O3" s="263"/>
      <c r="P3" s="263"/>
      <c r="Q3" s="263"/>
      <c r="R3" s="263"/>
      <c r="S3" s="263"/>
      <c r="T3" s="263"/>
      <c r="U3" s="263"/>
      <c r="V3" s="263"/>
      <c r="W3" s="263"/>
      <c r="X3" s="263"/>
      <c r="Y3" s="263"/>
      <c r="Z3" s="263"/>
      <c r="AA3" s="263"/>
      <c r="AB3" s="263"/>
      <c r="AC3" s="263"/>
      <c r="AD3" s="263"/>
      <c r="AE3" s="263"/>
      <c r="AF3" s="263"/>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73" t="s">
        <v>124</v>
      </c>
      <c r="C7" s="274"/>
      <c r="D7" s="274"/>
      <c r="E7" s="274"/>
      <c r="F7" s="274"/>
      <c r="G7" s="275"/>
    </row>
    <row r="8" spans="2:32" ht="30.75" customHeight="1">
      <c r="B8" s="114" t="s">
        <v>1</v>
      </c>
      <c r="C8" s="106" t="str">
        <f>IF(Input!$D$24="Metric",
CONCATENATE(Input!$D$9," mm"),
CONCATENATE(ROUND(Input!$F$9,1)," in"))</f>
        <v>1500 mm</v>
      </c>
      <c r="D8" s="106" t="str">
        <f>IF(Input!$D$24="Metric",
CONCATENATE(Input!$D$9," mm"),
CONCATENATE(ROUND(Input!$F$9,1)," in"))</f>
        <v>1500 mm</v>
      </c>
      <c r="E8" s="106" t="str">
        <f>IF(Input!$D$24="Metric",
CONCATENATE(Input!$D$9," mm"),
CONCATENATE(ROUND(Input!$F$9,1)," in"))</f>
        <v>1500 mm</v>
      </c>
      <c r="F8" s="106" t="str">
        <f>IF(Input!$D$24="Metric",
CONCATENATE(Input!$D$9," mm"),
CONCATENATE(ROUND(Input!$F$9,1)," in"))</f>
        <v>1500 mm</v>
      </c>
      <c r="G8" s="114" t="str">
        <f>IF(Input!$D$24="Metric",
CONCATENATE(Input!$D$9," mm"),
CONCATENATE(ROUND(Input!$F$9,1)," in"))</f>
        <v>1500 mm</v>
      </c>
      <c r="I8" s="260" t="str">
        <f>IF('Vessel dimensions - DIN 28011'!$F$48="N/A","JA","NEJ")</f>
        <v>NEJ</v>
      </c>
    </row>
    <row r="9" spans="2:32">
      <c r="B9" s="114" t="s">
        <v>348</v>
      </c>
      <c r="C9" s="106" t="str">
        <f>IF(Input!$D$24="Metric",
CONCATENATE(Input!$D$11," L"),
CONCATENATE(ROUNDUP(Input!$F$11,1)," gal"))</f>
        <v>2000 L</v>
      </c>
      <c r="D9" s="106" t="str">
        <f>IF(Input!$D$24="Metric",
CONCATENATE(Input!$D$11," L"),
CONCATENATE(ROUNDUP(Input!$F$11,1)," gal"))</f>
        <v>2000 L</v>
      </c>
      <c r="E9" s="106" t="str">
        <f>IF(Input!$D$24="Metric",
CONCATENATE(Input!$D$11," L"),
CONCATENATE(ROUNDUP(Input!$F$11,1)," gal"))</f>
        <v>2000 L</v>
      </c>
      <c r="F9" s="106" t="str">
        <f>IF(Input!$D$24="Metric",
CONCATENATE(Input!$D$11," L"),
CONCATENATE(ROUNDUP(Input!$F$11,1)," gal"))</f>
        <v>2000 L</v>
      </c>
      <c r="G9" s="114" t="str">
        <f>IF(Input!$D$24="Metric",
CONCATENATE(Input!$D$11," L"),
CONCATENATE(ROUNDUP(Input!$F$11,1)," gal"))</f>
        <v>2000 L</v>
      </c>
    </row>
    <row r="10" spans="2:32">
      <c r="B10" s="114" t="s">
        <v>2</v>
      </c>
      <c r="C10" s="106" t="str">
        <f>IF(Input!$D$24="Metric",
CONCATENATE(Input!$D$12," L"),
CONCATENATE(ROUNDUP(Input!$F$12,1)," gal"))</f>
        <v>2000 L</v>
      </c>
      <c r="D10" s="106" t="str">
        <f>IF(Input!$D$24="Metric",
CONCATENATE(Input!$D$12," L"),
CONCATENATE(ROUNDUP(Input!$F$12,1)," gal"))</f>
        <v>2000 L</v>
      </c>
      <c r="E10" s="106" t="str">
        <f>IF(Input!$D$24="Metric",
CONCATENATE(Input!$D$12," L"),
CONCATENATE(ROUNDUP(Input!$F$12,1)," gal"))</f>
        <v>2000 L</v>
      </c>
      <c r="F10" s="106" t="str">
        <f>IF(Input!$D$24="Metric",
CONCATENATE(Input!$D$12," L"),
CONCATENATE(ROUNDUP(Input!$F$12,1)," gal"))</f>
        <v>2000 L</v>
      </c>
      <c r="G10" s="114" t="str">
        <f>IF(Input!$D$24="Metric",
CONCATENATE(Input!$D$12," L"),
CONCATENATE(ROUNDUP(Input!$F$12,1)," gal"))</f>
        <v>2000 L</v>
      </c>
    </row>
    <row r="11" spans="2:32" ht="30">
      <c r="B11" s="114" t="s">
        <v>391</v>
      </c>
      <c r="C11" s="106" t="str">
        <f>IF('Vessel dimensions - DIN 28011'!$F$48="N/A","N/A",
IF(Input!$D$24="Metric",
CONCATENATE(ROUNDUP('Vessel dimensions - DIN 28011'!$F$48,1)," L"),
CONCATENATE(ROUNDUP('Vessel dimensions - DIN 28011'!$F$48*0.264172,1)," gal")))</f>
        <v>68,9 L</v>
      </c>
      <c r="D11" s="106" t="str">
        <f>IF('Vessel dimensions - DIN 28011'!$G$48="N/A","N/A",
IF(Input!$D$24="Metric",
CONCATENATE(ROUNDUP('Vessel dimensions - DIN 28011'!$G$48,1)," L"),
CONCATENATE(ROUNDUP('Vessel dimensions - DIN 28011'!$G$48*0.264172,1)," gal")))</f>
        <v>67,8 L</v>
      </c>
      <c r="E11" s="106" t="str">
        <f>IF('Vessel dimensions - DIN 28011'!$H$48="N/A","N/A",
IF(Input!$D$24="Metric",
CONCATENATE(ROUNDUP('Vessel dimensions - DIN 28011'!$H$48,1)," L"),
CONCATENATE(ROUNDUP('Vessel dimensions - DIN 28011'!$H$48*0.264172,1)," gal")))</f>
        <v>62,1 L</v>
      </c>
      <c r="F11" s="106" t="str">
        <f>IF('Vessel dimensions - DIN 28011'!$I$48="N/A","N/A",
IF(Input!$D$24="Metric",
CONCATENATE(ROUNDUP('Vessel dimensions - DIN 28011'!$I$48,1)," L"),
CONCATENATE(ROUNDUP('Vessel dimensions - DIN 28011'!$I$48*0.264172,1)," gal")))</f>
        <v>99,4 L</v>
      </c>
      <c r="G11" s="114" t="str">
        <f>IF('Vessel dimensions - DIN 28011'!$J$48="N/A","N/A",
IF(Input!$D$24="Metric",
CONCATENATE(ROUNDUP('Vessel dimensions - DIN 28011'!$J$48,1)," L"),
CONCATENATE(ROUNDUP('Vessel dimensions - DIN 28011'!$J$48*0.264172,1)," gal")))</f>
        <v>41,6 L</v>
      </c>
    </row>
    <row r="12" spans="2:32" ht="30">
      <c r="B12" s="114" t="s">
        <v>390</v>
      </c>
      <c r="C12" s="106" t="str">
        <f>IF('Vessel dimensions - DIN 28011'!$F$49="N/A","N/A",
IF(Input!$D$24="Metric",
CONCATENATE(ROUNDUP('Vessel dimensions - DIN 28011'!$F$49,1)," L"),
CONCATENATE(ROUNDUP('Vessel dimensions - DIN 28011'!$F$49*0.264172,1)," gal")))</f>
        <v>9,5 L</v>
      </c>
      <c r="D12" s="106" t="str">
        <f>IF('Vessel dimensions - DIN 28011'!$G$49="N/A","N/A",
IF(Input!$D$24="Metric",
CONCATENATE(ROUNDUP('Vessel dimensions - DIN 28011'!$G$49,1)," L"),
CONCATENATE(ROUNDUP('Vessel dimensions - DIN 28011'!$G$49*0.264172,1)," gal")))</f>
        <v>10 L</v>
      </c>
      <c r="E12" s="106" t="str">
        <f>IF('Vessel dimensions - DIN 28011'!$H$49="N/A","N/A",
IF(Input!$D$24="Metric",
CONCATENATE(ROUNDUP('Vessel dimensions - DIN 28011'!$H$49,1)," L"),
CONCATENATE(ROUNDUP('Vessel dimensions - DIN 28011'!$H$49*0.264172,1)," gal")))</f>
        <v>21,5 L</v>
      </c>
      <c r="F12" s="106" t="str">
        <f>IF('Vessel dimensions - DIN 28011'!$I$49="N/A","N/A",
IF(Input!$D$24="Metric",
CONCATENATE(ROUNDUP('Vessel dimensions - DIN 28011'!$I$49,1)," L"),
CONCATENATE(ROUNDUP('Vessel dimensions - DIN 28011'!$I$49*0.264172,1)," gal")))</f>
        <v>21,6 L</v>
      </c>
      <c r="G12" s="114" t="str">
        <f>IF('Vessel dimensions - DIN 28011'!$J$49="N/A","N/A",
IF(Input!$D$24="Metric",
CONCATENATE(ROUNDUP('Vessel dimensions - DIN 28011'!$J$49,1)," L"),
CONCATENATE(ROUNDUP('Vessel dimensions - DIN 28011'!$J$49*0.264172,1)," gal")))</f>
        <v>23,7 L</v>
      </c>
      <c r="H12" s="7"/>
    </row>
    <row r="13" spans="2:32">
      <c r="B13" s="114" t="s">
        <v>184</v>
      </c>
      <c r="C13" s="106">
        <f>IF(Input!$D$24="metric",
ROUND('Vessel dimensions - DIN 28011'!$B$19,2),
ROUND('Vessel dimensions - DIN 28011'!$B$19,2))</f>
        <v>0.82</v>
      </c>
      <c r="D13" s="106">
        <f>IF(Input!$D$24="metric",
ROUND('Vessel dimensions - DIN 28011'!$B$19,2),
ROUND('Vessel dimensions - DIN 28011'!$B$19,2))</f>
        <v>0.82</v>
      </c>
      <c r="E13" s="106">
        <f>IF(Input!$D$24="metric",
ROUND('Vessel dimensions - DIN 28011'!$B$19,2),
ROUND('Vessel dimensions - DIN 28011'!$B$19,2))</f>
        <v>0.82</v>
      </c>
      <c r="F13" s="106">
        <f>IF(Input!$D$24="metric",
ROUND('Vessel dimensions - DIN 28011'!$B$19,2),
ROUND('Vessel dimensions - DIN 28011'!$B$19,2))</f>
        <v>0.82</v>
      </c>
      <c r="G13" s="114">
        <f>IF(Input!$D$24="metric",
ROUND('Vessel dimensions - DIN 28011'!$B$19,2),
ROUND('Vessel dimensions - DIN 28011'!$B$19,2))</f>
        <v>0.82</v>
      </c>
      <c r="H13" s="7"/>
    </row>
    <row r="14" spans="2:32" ht="23.25">
      <c r="B14" s="114" t="s">
        <v>185</v>
      </c>
      <c r="C14" s="106" t="str">
        <f>IF(Input!$D$24="Metric",
'Vessel dimensions - DIN 28011'!$B$13,
'Vessel dimensions - DIN 28011'!$B$14)</f>
        <v>200mm - 333mm</v>
      </c>
      <c r="D14" s="106" t="str">
        <f>IF(Input!$D$24="Metric",
'Vessel dimensions - DIN 28011'!$B$13,
'Vessel dimensions - DIN 28011'!$B$14)</f>
        <v>200mm - 333mm</v>
      </c>
      <c r="E14" s="106" t="str">
        <f>IF(Input!$D$24="Metric",
'Vessel dimensions - DIN 28011'!$B$13,
'Vessel dimensions - DIN 28011'!$B$14)</f>
        <v>200mm - 333mm</v>
      </c>
      <c r="F14" s="106" t="str">
        <f>IF(Input!$D$24="Metric",
'Vessel dimensions - DIN 28011'!$B$13,
'Vessel dimensions - DIN 28011'!$B$14)</f>
        <v>200mm - 333mm</v>
      </c>
      <c r="G14" s="114" t="str">
        <f>IF(Input!$D$24="Metric",
'Vessel dimensions - DIN 28011'!$B$13,
'Vessel dimensions - DIN 28011'!$B$14)</f>
        <v>200mm - 333mm</v>
      </c>
      <c r="H14" s="7"/>
      <c r="J14" s="126"/>
      <c r="K14" s="127"/>
    </row>
    <row r="15" spans="2:32" ht="23.25">
      <c r="B15" s="114" t="s">
        <v>15</v>
      </c>
      <c r="C15" s="106" t="str">
        <f>IF(Input!$D$24="Metric",
CONCATENATE(Input!$D$10," mm"),
CONCATENATE(ROUND(Input!$F$10,3)," in"))</f>
        <v>10 mm</v>
      </c>
      <c r="D15" s="106" t="str">
        <f>IF(Input!$D$24="Metric",
CONCATENATE(Input!$D$10," mm"),
CONCATENATE(ROUND(Input!$F$10,3)," in"))</f>
        <v>10 mm</v>
      </c>
      <c r="E15" s="106" t="str">
        <f>IF(Input!$D$24="Metric",
CONCATENATE(Input!$D$10," mm"),
CONCATENATE(ROUND(Input!$F$10,3)," in"))</f>
        <v>10 mm</v>
      </c>
      <c r="F15" s="106" t="str">
        <f>IF(Input!$D$24="Metric",
CONCATENATE(Input!$D$10," mm"),
CONCATENATE(ROUND(Input!$F$10,3)," in"))</f>
        <v>10 mm</v>
      </c>
      <c r="G15" s="114" t="str">
        <f>IF(Input!$D$24="Metric",
CONCATENATE(Input!$D$10," mm"),
CONCATENATE(ROUND(Input!$F$10,3)," in"))</f>
        <v>10 mm</v>
      </c>
      <c r="H15" s="7"/>
      <c r="J15" s="126"/>
      <c r="K15" s="127"/>
    </row>
    <row r="16" spans="2:32" ht="30">
      <c r="B16" s="114" t="s">
        <v>160</v>
      </c>
      <c r="C16" s="106" t="str">
        <f>IF(Input!$D$24="Metric",
CONCATENATE('Vessel dimensions - DIN 28011'!$B$35," kg"),
CONCATENATE(ROUNDUP('Vessel dimensions - DIN 28011'!$B$35*2.20462,-1)," lb"))</f>
        <v>790 kg</v>
      </c>
      <c r="D16" s="106" t="str">
        <f>IF(Input!$D$24="Metric",
CONCATENATE('Vessel dimensions - DIN 28011'!$B$35," kg"),
CONCATENATE(ROUNDUP('Vessel dimensions - DIN 28011'!$B$35*2.20462,-1)," lb"))</f>
        <v>790 kg</v>
      </c>
      <c r="E16" s="106" t="str">
        <f>IF(Input!$D$24="Metric",
CONCATENATE('Vessel dimensions - DIN 28011'!$B$35," kg"),
CONCATENATE(ROUNDUP('Vessel dimensions - DIN 28011'!$B$35*2.20462,-1)," lb"))</f>
        <v>790 kg</v>
      </c>
      <c r="F16" s="106" t="str">
        <f>IF(Input!$D$24="Metric",
CONCATENATE('Vessel dimensions - DIN 28011'!$B$35," kg"),
CONCATENATE(ROUNDUP('Vessel dimensions - DIN 28011'!$B$35*2.20462,-1)," lb"))</f>
        <v>790 kg</v>
      </c>
      <c r="G16" s="114" t="str">
        <f>IF(Input!$D$24="Metric",
CONCATENATE('Vessel dimensions - DIN 28011'!$B$35," kg"),
CONCATENATE(ROUNDUP('Vessel dimensions - DIN 28011'!$B$35*2.20462,-1)," lb"))</f>
        <v>790 kg</v>
      </c>
      <c r="H16" s="7"/>
      <c r="J16" s="126"/>
      <c r="K16" s="127"/>
    </row>
    <row r="17" spans="1:9" ht="30">
      <c r="B17" s="114" t="s">
        <v>187</v>
      </c>
      <c r="C17" s="233" t="str">
        <f>IF(Input!$D$7="YES","YES - Drive Unit extension might be needed",Input!$D$7)</f>
        <v>YES - Drive Unit extension might be needed</v>
      </c>
      <c r="D17" s="106" t="str">
        <f>IF(Input!$D$7="YES","YES - Drive Unit extension might be needed",Input!$D$7)</f>
        <v>YES - Drive Unit extension might be needed</v>
      </c>
      <c r="E17" s="106" t="str">
        <f>IF(Input!$D$7="YES","YES - Drive Unit extension might be needed",Input!$D$7)</f>
        <v>YES - Drive Unit extension might be needed</v>
      </c>
      <c r="F17" s="106" t="str">
        <f>IF(Input!$D$7="YES","YES - Drive Unit extension might be needed",Input!$D$7)</f>
        <v>YES - Drive Unit extension might be needed</v>
      </c>
      <c r="G17" s="114" t="str">
        <f>IF(Input!$D$7="YES","YES",Input!$D$7)</f>
        <v>YES</v>
      </c>
    </row>
    <row r="18" spans="1:9" ht="30" customHeight="1">
      <c r="B18" s="114" t="s">
        <v>186</v>
      </c>
      <c r="C18" s="106" t="str">
        <f>Input!$D$8</f>
        <v>NO</v>
      </c>
      <c r="D18" s="106" t="str">
        <f>Input!$D$8</f>
        <v>NO</v>
      </c>
      <c r="E18" s="106" t="str">
        <f>Input!$D$8</f>
        <v>NO</v>
      </c>
      <c r="F18" s="106" t="str">
        <f>Input!$D$8</f>
        <v>NO</v>
      </c>
      <c r="G18" s="114" t="str">
        <f>Input!$D$8</f>
        <v>NO</v>
      </c>
    </row>
    <row r="19" spans="1:9" ht="45" customHeight="1">
      <c r="A19" s="27"/>
      <c r="B19" s="279" t="s">
        <v>396</v>
      </c>
      <c r="C19" s="280"/>
      <c r="D19" s="280"/>
      <c r="E19" s="280"/>
      <c r="F19" s="280"/>
      <c r="G19" s="281"/>
    </row>
    <row r="20" spans="1:9" ht="23.25" customHeight="1">
      <c r="B20" s="273" t="s">
        <v>183</v>
      </c>
      <c r="C20" s="274"/>
      <c r="D20" s="274"/>
      <c r="E20" s="274"/>
      <c r="F20" s="274"/>
      <c r="G20" s="275"/>
    </row>
    <row r="21" spans="1:9">
      <c r="B21" s="114" t="s">
        <v>182</v>
      </c>
      <c r="C21" s="106" t="str">
        <f>IF(Input!$D$3=0,Input!$D$13,VLOOKUP(Input!$D$3,'Main Mixing Purpose List'!$A$2:$F$19,5,FALSE))</f>
        <v>General</v>
      </c>
      <c r="D21" s="226" t="str">
        <f>IF(Input!$D$3=0,Input!$D$13,VLOOKUP(Input!$D$3,'Main Mixing Purpose List'!$A$2:$F$19,5,FALSE))</f>
        <v>General</v>
      </c>
      <c r="E21" s="226" t="str">
        <f>IF(Input!$D$3=0,Input!$D$13,VLOOKUP(Input!$D$3,'Main Mixing Purpose List'!$A$2:$F$19,5,FALSE))</f>
        <v>General</v>
      </c>
      <c r="F21" s="226" t="str">
        <f>IF(Input!$D$3=0,Input!$D$13,VLOOKUP(Input!$D$3,'Main Mixing Purpose List'!$A$2:$F$19,5,FALSE))</f>
        <v>General</v>
      </c>
      <c r="G21" s="114" t="str">
        <f>IF(Input!$D$3=0,Input!$D$13,VLOOKUP(Input!$D$3,'Main Mixing Purpose List'!$A$2:$F$19,5,FALSE))</f>
        <v>General</v>
      </c>
    </row>
    <row r="22" spans="1:9">
      <c r="B22" s="114" t="s">
        <v>4</v>
      </c>
      <c r="C22" s="106" t="str">
        <f>IF(Input!$D$24="Metric",
CONCATENATE(Input!$D$14," kg/m3"),
CONCATENATE(ROUNDUP(Input!$F$14,1)," lb/ft3"))</f>
        <v>1000 kg/m3</v>
      </c>
      <c r="D22" s="106" t="str">
        <f>IF(Input!$D$24="Metric",
CONCATENATE(Input!$D$14," kg/m3"),
CONCATENATE(ROUNDUP(Input!$F$14,1)," lb/ft3"))</f>
        <v>1000 kg/m3</v>
      </c>
      <c r="E22" s="106" t="str">
        <f>IF(Input!$D$24="Metric",
CONCATENATE(Input!$D$14," kg/m3"),
CONCATENATE(ROUNDUP(Input!$F$14,1)," lb/ft3"))</f>
        <v>1000 kg/m3</v>
      </c>
      <c r="F22" s="106" t="str">
        <f>IF(Input!$D$24="Metric",
CONCATENATE(Input!$D$14," kg/m3"),
CONCATENATE(ROUNDUP(Input!$F$14,1)," lb/ft3"))</f>
        <v>1000 kg/m3</v>
      </c>
      <c r="G22" s="114" t="str">
        <f>IF(Input!$D$24="Metric",
CONCATENATE(Input!$D$14," kg/m3"),
CONCATENATE(ROUNDUP(Input!$F$14,1)," lb/ft3"))</f>
        <v>1000 kg/m3</v>
      </c>
      <c r="H22" s="7"/>
    </row>
    <row r="23" spans="1:9">
      <c r="B23" s="114" t="s">
        <v>3</v>
      </c>
      <c r="C23" s="106" t="str">
        <f>CONCATENATE(Input!$D$15," cP")</f>
        <v>1 cP</v>
      </c>
      <c r="D23" s="226" t="str">
        <f>CONCATENATE(Input!$D$15," cP")</f>
        <v>1 cP</v>
      </c>
      <c r="E23" s="226" t="str">
        <f>CONCATENATE(Input!$D$15," cP")</f>
        <v>1 cP</v>
      </c>
      <c r="F23" s="226" t="str">
        <f>CONCATENATE(Input!$D$15," cP")</f>
        <v>1 cP</v>
      </c>
      <c r="G23" s="114" t="str">
        <f>CONCATENATE(Input!$D$15," cP")</f>
        <v>1 cP</v>
      </c>
    </row>
    <row r="24" spans="1:9">
      <c r="B24" s="115" t="s">
        <v>181</v>
      </c>
      <c r="C24" s="226" t="str">
        <f>$C$31</f>
        <v>ZG7</v>
      </c>
      <c r="D24" s="226" t="str">
        <f>$D$31</f>
        <v>ZGP7</v>
      </c>
      <c r="E24" s="226" t="str">
        <f>$E$31</f>
        <v>HP5</v>
      </c>
      <c r="F24" s="226" t="str">
        <f>$F$31</f>
        <v>HS5</v>
      </c>
      <c r="G24" s="114" t="str">
        <f>$G$31</f>
        <v>ZF160</v>
      </c>
    </row>
    <row r="25" spans="1:9">
      <c r="B25" s="114" t="s">
        <v>180</v>
      </c>
      <c r="C25" s="106" t="str">
        <f>IF($C$31="N/A",
           "N/A",
             CONCATENATE(ZG!$X$49," rpm (max speed)"))</f>
        <v>490 rpm (max speed)</v>
      </c>
      <c r="D25" s="106" t="str">
        <f>IF($D$31="N/A",
           "N/A",
            CONCATENATE(ZGP!$X$49," rpm (max speed)"))</f>
        <v>490 rpm (max speed)</v>
      </c>
      <c r="E25" s="106" t="str">
        <f>IF($E$31="N/A",
           "N/A",
            CONCATENATE(HP!$X$49," (max speed)"))</f>
        <v>1700 (max speed)</v>
      </c>
      <c r="F25" s="106" t="str">
        <f>IF($F$31="N/A",
           "N/A",
             CONCATENATE(HS!$X$49," (max speed)"))</f>
        <v>3900 (max speed)</v>
      </c>
      <c r="G25" s="114" t="str">
        <f>IF($G$31="N/A",
           "N/A",
            CONCATENATE(ZF!$X$49," (max speed)"))</f>
        <v>350 (max speed)</v>
      </c>
    </row>
    <row r="26" spans="1:9">
      <c r="B26" s="114" t="s">
        <v>179</v>
      </c>
      <c r="C26" s="106" t="str">
        <f>IF($C$31="N/A",
           "N/A",
             IF(Input!$D$24="Metric",
                       CONCATENATE(ROUND(ZG!$X$50,3)," W/L"),
                       CONCATENATE(ROUND(ZG!$Z$50,3)," W/gal")))</f>
        <v>0,316 W/L</v>
      </c>
      <c r="D26" s="106" t="str">
        <f>IF($D$31="N/A",
           "N/A",
            IF(Input!$D$24="Metric",
                     CONCATENATE(ROUND(ZGP!$X$50,3)," W/L"),
                     CONCATENATE(ROUND(ZGP!$Z$50,3)," W/gal")))</f>
        <v>0,316 W/L</v>
      </c>
      <c r="E26" s="106" t="str">
        <f>IF($E$31="N/A",
           "N/A",
            IF(Input!$D$24="Metric",
                     CONCATENATE(ROUND(HP!$X$50,3)," W/L"),
                     CONCATENATE(ROUND(HP!$Z$50,3)," W/gal")))</f>
        <v>0,435 W/L</v>
      </c>
      <c r="F26" s="106" t="str">
        <f>IF($F$31="N/A",
           "N/A",
            IF(Input!$D$24="Metric",
                     CONCATENATE(ROUND(HS!$X$50,3)," W/L"),
                     CONCATENATE(ROUND(HS!$Z$50,3)," W/gal")))</f>
        <v>0,876 W/L</v>
      </c>
      <c r="G26" s="114" t="str">
        <f>IF($G$31="N/A",
           "N/A",
            IF(Input!$D$24="Metric",
                     CONCATENATE(ROUND(ZF!$X$50,3)," W/L"),
                     CONCATENATE(ROUND(ZF!$Z$50,3)," W/gal")))</f>
        <v>0,113 W/L</v>
      </c>
      <c r="H26" s="7"/>
    </row>
    <row r="27" spans="1:9">
      <c r="B27" s="114" t="s">
        <v>10</v>
      </c>
      <c r="C27" s="106" t="str">
        <f>IF($C$31="N/A",
           "N/A",
            IF(Input!$D$24="metric",
                     CONCATENATE(ROUND(ZG!$X$51,3)," m/s"),
                     CONCATENATE(ROUND(ZG!$Z$51,0)," ft/min")))</f>
        <v>4,539 m/s</v>
      </c>
      <c r="D27" s="106" t="str">
        <f>IF($D$31="N/A",
           "N/A",
             IF(Input!$D$24="metric",
                       CONCATENATE(ROUND(ZGP!$X$51,3)," m/s"),
                       CONCATENATE(ROUND(ZGP!$Z$51,0)," ft/min")))</f>
        <v>4,539 m/s</v>
      </c>
      <c r="E27" s="106" t="str">
        <f>IF($E$31="N/A",
           "N/A",
            IF(Input!$D$24="metric",
                     CONCATENATE(ROUND(HP!$X$51,3)," m/s"),
                     CONCATENATE(ROUND(HP!$Z$51,0)," ft/min")))</f>
        <v>9,164 m/s</v>
      </c>
      <c r="F27" s="106" t="str">
        <f>IF($F$31="N/A",
           "N/A",
             IF(Input!$D$24="metric",
                     CONCATENATE(ROUND(HS!$X$51,3)," m/s"),
                     CONCATENATE(ROUND(HS!$Z$51,0)," ft/min")))</f>
        <v>21,431 m/s</v>
      </c>
      <c r="G27" s="114" t="str">
        <f>IF($G$31="N/A",
           "N/A",
            IF(Input!$D$24="metric",
                     CONCATENATE(ROUND(ZF!$X$51,3)," m/s"),
                     CONCATENATE(ROUND(ZF!$Z$51,0)," ft/min")))</f>
        <v>4,03 m/s</v>
      </c>
      <c r="H27" s="7"/>
    </row>
    <row r="28" spans="1:9">
      <c r="B28" s="114" t="s">
        <v>259</v>
      </c>
      <c r="C28" s="106" t="str">
        <f>IF(OR($C$31="N/A",ZG!$X$54="N/A"),
           "N/A",
            ZG!$X$54)</f>
        <v>2min 10s - 3min 40s</v>
      </c>
      <c r="D28" s="106" t="str">
        <f>IF(OR($D$31="N/A",ZGP!$X$54="N/A"),
           "N/A",
            ZGP!$X$54)</f>
        <v>N/A</v>
      </c>
      <c r="E28" s="106" t="str">
        <f>IF(OR($E$31="N/A",HP!$X$54="N/A"),
           "N/A",
            HP!$X$54)</f>
        <v>N/A</v>
      </c>
      <c r="F28" s="106" t="str">
        <f>IF(OR($F$31="N/A",HS!$X$54="N/A"),
           "N/A",
            HS!$X$54)</f>
        <v>N/A</v>
      </c>
      <c r="G28" s="114" t="str">
        <f>IF(OR($G$31="N/A",ZF!$X$54="N/A"),
           "N/A",
            ZF!$X$54)</f>
        <v>N/A</v>
      </c>
    </row>
    <row r="29" spans="1:9" ht="73.5" customHeight="1">
      <c r="B29" s="282" t="s">
        <v>389</v>
      </c>
      <c r="C29" s="283"/>
      <c r="D29" s="257" t="s">
        <v>258</v>
      </c>
      <c r="E29" s="257" t="s">
        <v>258</v>
      </c>
      <c r="F29" s="257" t="s">
        <v>258</v>
      </c>
      <c r="G29" s="257" t="s">
        <v>258</v>
      </c>
      <c r="I29" s="262"/>
    </row>
    <row r="30" spans="1:9">
      <c r="B30" s="273" t="s">
        <v>260</v>
      </c>
      <c r="C30" s="274"/>
      <c r="D30" s="274"/>
      <c r="E30" s="274"/>
      <c r="F30" s="274"/>
      <c r="G30" s="275"/>
    </row>
    <row r="31" spans="1:9">
      <c r="B31" s="114" t="s">
        <v>177</v>
      </c>
      <c r="C31" s="106" t="str">
        <f>IF(Input!$D$27=0,ZG!$B$44,Input!$D$27)</f>
        <v>ZG7</v>
      </c>
      <c r="D31" s="106" t="str">
        <f>IF(Input!$D$28=0,ZGP!$B$44,Input!$D$28)</f>
        <v>ZGP7</v>
      </c>
      <c r="E31" s="106" t="str">
        <f>IF(Input!$D$29=0,HP!$B$44,Input!$D$29)</f>
        <v>HP5</v>
      </c>
      <c r="F31" s="106" t="str">
        <f>IF(Input!$D$30=0,HS!$B$44,Input!$D$30)</f>
        <v>HS5</v>
      </c>
      <c r="G31" s="239" t="str">
        <f>IF(Input!$D$31=0,ZF!$B$44,ZF!$B$45)</f>
        <v>ZF160</v>
      </c>
    </row>
    <row r="32" spans="1:9">
      <c r="B32" s="114" t="s">
        <v>176</v>
      </c>
      <c r="C32" s="106" t="str">
        <f>IF($C$31="N/A",
           "N/A",
           IF(Input!$D$24="Metric",
                   CONCATENATE(VLOOKUP(C$31,ZG!$B$48:$M$69,3,FALSE)," mm"),
                   CONCATENATE(ROUND(VLOOKUP(C$31,ZG!$B$48:$M$69,3,FALSE)/25.4,2)," in")))</f>
        <v>177 mm</v>
      </c>
      <c r="D32" s="106" t="str">
        <f>IF($D$31="N/A",
           "N/A",
            IF(Input!$D$24="Metric",
                     CONCATENATE(VLOOKUP($D$31,ZGP!$B$48:$N$55,3,FALSE)," mm"),
                     CONCATENATE(ROUND(VLOOKUP($D$31,ZGP!$B$48:$N$55,3,FALSE)/25.4,2)," in")))</f>
        <v>177 mm</v>
      </c>
      <c r="E32" s="106" t="str">
        <f>IF($E$31="N/A",
           "N/A",
            IF(Input!$D$24="Metric",
                    CONCATENATE(VLOOKUP($E$31,HP!$B$48:$N$53,3,FALSE)," mm"),
                    CONCATENATE(ROUND(VLOOKUP($E$31,HP!$B$48:$N$53,3,FALSE)/25.4,2)," in")))</f>
        <v>103 mm</v>
      </c>
      <c r="F32" s="106" t="str">
        <f>IF(F$31="N/A",
           "N/A",
             IF(Input!$D$24="Metric",
                      CONCATENATE(VLOOKUP($F$31,HS!$B$48:$N$53,3,FALSE)," mm"),
                      CONCATENATE(ROUND(VLOOKUP($F$31,HS!$B$48:$N$53,3,FALSE)/25.4,2)," in")))</f>
        <v>105 mm</v>
      </c>
      <c r="G32" s="114" t="str">
        <f>IF($G$31="N/A",
           "N/A",
             IF(Input!$D$24="Metric",
                     CONCATENATE(VLOOKUP($G$31,ZF!$B$48:$N$51,3,FALSE)," mm"),
                     CONCATENATE(ROUND(VLOOKUP($G$31,ZF!$B$48:$N$51,3,FALSE)/25.4,2)," in")))</f>
        <v>220 mm</v>
      </c>
      <c r="I32" s="44"/>
    </row>
    <row r="33" spans="2:7">
      <c r="B33" s="114" t="str">
        <f>IF(Input!$D$24="Metric",
"Max speed at 1000 kg/m3, 1cP",
"Max speed at 62.4 lb/ft3, 1cP")</f>
        <v>Max speed at 1000 kg/m3, 1cP</v>
      </c>
      <c r="C33" s="106" t="str">
        <f>IF($C$31="N/A",
           "N/A",
             CONCATENATE(VLOOKUP(C$31,ZG!$B$48:$M$69,2,FALSE)," rpm"))</f>
        <v>490 rpm</v>
      </c>
      <c r="D33" s="106" t="str">
        <f>IF($D$31="N/A",
"N/A",
CONCATENATE(VLOOKUP(D$31,ZGP!$B$48:$N$55,2,FALSE)," rpm"))</f>
        <v>490 rpm</v>
      </c>
      <c r="E33" s="106" t="str">
        <f>IF($E$31="N/A",
"N/A",
CONCATENATE(VLOOKUP($E$31,HP!$B$48:$N$53,2,FALSE)," rpm"))</f>
        <v>1700 rpm</v>
      </c>
      <c r="F33" s="106" t="str">
        <f>IF($F$31="N/A",
           "N/A",
             CONCATENATE(VLOOKUP($F$31,HS!$B$48:$N$53,2,FALSE)," rpm"))</f>
        <v>3900 rpm</v>
      </c>
      <c r="G33" s="114" t="str">
        <f>IF($G$31="N/A",
"N/A",
CONCATENATE(VLOOKUP($G$31,ZF!$B$48:$N$51,2,FALSE)," rpm"))</f>
        <v>350 rpm</v>
      </c>
    </row>
    <row r="34" spans="2:7" ht="30">
      <c r="B34" s="114" t="s">
        <v>392</v>
      </c>
      <c r="C34" s="106" t="str">
        <f>IF($C$31="N/A",
"N/A",
CONCATENATE(ROUNDUP(VLOOKUP(C$31,ZG!$B$48:$M$69,2,FALSE)*0.1,0)," rpm"))</f>
        <v>49 rpm</v>
      </c>
      <c r="D34" s="106" t="str">
        <f>IF($D$31="N/A",
           "N/A",
            CONCATENATE(ROUNDUP(VLOOKUP($D$31,ZGP!$B$48:$N$55,2,FALSE)*0.1,0)," rpm"))</f>
        <v>49 rpm</v>
      </c>
      <c r="E34" s="106" t="str">
        <f>IF($E$31="N/A",
           "N/A",
             CONCATENATE(ROUNDUP(VLOOKUP($E$31,HP!$B$48:$N$53,2,FALSE)*0.1,0)," rpm"))</f>
        <v>170 rpm</v>
      </c>
      <c r="F34" s="106" t="str">
        <f>IF($F$31="N/A",
           "N/A",
              CONCATENATE(ROUNDUP(VLOOKUP($F$31,HS!$B$48:$N$53,2,FALSE)*0.1,0)," rpm"))</f>
        <v>390 rpm</v>
      </c>
      <c r="G34" s="114" t="str">
        <f>IF($G$31="N/A",
           "N/A",
             "1 rpm")</f>
        <v>1 rpm</v>
      </c>
    </row>
    <row r="35" spans="2:7" ht="15" customHeight="1">
      <c r="B35" s="114" t="s">
        <v>170</v>
      </c>
      <c r="C35" s="106" t="str">
        <f>VLOOKUP(Input!$D$17,'SS Material List'!$A$2:$B$9,2,FALSE)</f>
        <v>Alloy C276</v>
      </c>
      <c r="D35" s="106" t="str">
        <f>"Polypropylene (PP) - FDA USP Class VI"</f>
        <v>Polypropylene (PP) - FDA USP Class VI</v>
      </c>
      <c r="E35" s="106" t="str">
        <f>VLOOKUP(Input!$D$17,'SS Material List'!$A$2:$B$9,2,FALSE)</f>
        <v>Alloy C276</v>
      </c>
      <c r="F35" s="106" t="str">
        <f>VLOOKUP(Input!$D$17,'SS Material List'!$A$2:$B$9,2,FALSE)</f>
        <v>Alloy C276</v>
      </c>
      <c r="G35" s="114" t="str">
        <f>VLOOKUP(Input!$D$17,'SS Material List'!$A$2:$B$9,2,FALSE)</f>
        <v>Alloy C276</v>
      </c>
    </row>
    <row r="36" spans="2:7" ht="45" customHeight="1">
      <c r="B36" s="114" t="s">
        <v>175</v>
      </c>
      <c r="C36" s="106" t="str">
        <f>IF(Input!$D$24="Metric","Ra &lt;= 0,38μm, EP, on SS Component surfaces in contact with product","Ra &lt;= 15μin, EP, on SS Component surfaces in contact with product")</f>
        <v>Ra &lt;= 0,38μm, EP, on SS Component surfaces in contact with product</v>
      </c>
      <c r="D36" s="106" t="s">
        <v>258</v>
      </c>
      <c r="E36" s="106" t="str">
        <f>IF(Input!$D$24="Metric","Ra &lt;= 0,38μm, EP, on SS Component surfaces in contact with product","Ra &lt;= 15μin, EP, on SS Component surfaces in contact with product")</f>
        <v>Ra &lt;= 0,38μm, EP, on SS Component surfaces in contact with product</v>
      </c>
      <c r="F36" s="106" t="str">
        <f>IF(Input!$D$24="Metric","Ra &lt;= 0,38μm, EP, on SS Component surfaces in contact with product","Ra &lt;= 15μin, EP, on SS Component surfaces in contact with product")</f>
        <v>Ra &lt;= 0,38μm, EP, on SS Component surfaces in contact with product</v>
      </c>
      <c r="G36" s="114" t="str">
        <f>IF(Input!$D$24="Metric","Ra &lt;= 0,38μm, EP, on SS Component surfaces in contact with product","Ra &lt;= 15μin, EP, on SS Component surfaces in contact with product")</f>
        <v>Ra &lt;= 0,38μm, EP, on SS Component surfaces in contact with product</v>
      </c>
    </row>
    <row r="37" spans="2:7">
      <c r="B37" s="114" t="s">
        <v>174</v>
      </c>
      <c r="C37" s="106" t="str">
        <f>IF($C$31="N/A",
           "N/A",
             IF(Input!$D$24="Metric",
                       CONCATENATE(VLOOKUP(C$31,ZG!$B$48:$M$69,12,FALSE)," mm"),
                       CONCATENATE(ROUND(VLOOKUP(C$31,ZG!$B$48:$M$69,12,FALSE)/25.4,2)," in")))</f>
        <v>129,5 mm</v>
      </c>
      <c r="D37" s="106" t="str">
        <f>IF($D$31="N/A",
           "N/A",
            IF(Input!$D$24="Metric",
                     CONCATENATE(VLOOKUP($D$31,ZGP!$B$48:$N$55,12,FALSE)," mm"),
                     CONCATENATE(ROUND(VLOOKUP($D$31,ZGP!$B$48:$N$55,12,FALSE)/25.4,2)," in")))</f>
        <v>129,5 mm</v>
      </c>
      <c r="E37" s="106" t="str">
        <f>IF($E$31="N/A",
           "N/A",
             IF(Input!$D$24="Metric",
                     CONCATENATE(VLOOKUP($E$31,HP!$B$48:$N$53,12,FALSE)," mm"),
                     CONCATENATE(ROUND(VLOOKUP($E$31,HP!$B$48:$N$53,12,FALSE)/25.4,2)," in")))</f>
        <v>94 mm</v>
      </c>
      <c r="F37" s="106" t="str">
        <f>IF($F$31="N/A",
           "N/A",
             IF(Input!$D$24="Metric",
                      CONCATENATE(VLOOKUP($F$31,HS!$B$48:$N$53,12,FALSE)," mm"),
                      CONCATENATE(ROUND(VLOOKUP($F$31,HS!$B$48:$N$53,12,FALSE)/25.4,2)," in")))</f>
        <v>114 mm</v>
      </c>
      <c r="G37" s="114" t="str">
        <f>IF($G$31="N/A",
           "N/A",
             IF(Input!$D$24="Metric",
                     CONCATENATE(VLOOKUP($G$31,ZF!$B$48:$N$51,12,FALSE)," mm"),
                     CONCATENATE(ROUND(VLOOKUP($G$31,ZF!$B$48:$N$51,12,FALSE)/25.4,2)," in")))</f>
        <v>168 mm</v>
      </c>
    </row>
    <row r="38" spans="2:7">
      <c r="B38" s="114" t="s">
        <v>173</v>
      </c>
      <c r="C38" s="106" t="str">
        <f>IF(Input!$D$24="Metric",
"5°C - 150°C",
"41°F - 302°F")</f>
        <v>5°C - 150°C</v>
      </c>
      <c r="D38" s="106" t="str">
        <f>IF(Input!$D$24="Metric",
"5°C - 60°C",
"41°F - 140°F")</f>
        <v>5°C - 60°C</v>
      </c>
      <c r="E38" s="106" t="str">
        <f>IF(Input!$D$24="Metric",
"5°C - 150°C",
"41°F - 302°F")</f>
        <v>5°C - 150°C</v>
      </c>
      <c r="F38" s="106" t="str">
        <f>IF(Input!$D$24="Metric",
"5°C - 150°C",
"41°F - 302°F")</f>
        <v>5°C - 150°C</v>
      </c>
      <c r="G38" s="114" t="str">
        <f>IF(Input!$D$24="Metric",
"5°C - 135°C",
"41°F - 275°F")</f>
        <v>5°C - 135°C</v>
      </c>
    </row>
    <row r="39" spans="2:7" ht="15" customHeight="1">
      <c r="B39" s="114" t="s">
        <v>172</v>
      </c>
      <c r="C39" s="233" t="str">
        <f>IF(Input!$D$24="Metric",
"-1 – 7 barg",
"-14.5 – 101.5 psig")</f>
        <v>-1 – 7 barg</v>
      </c>
      <c r="D39" s="106" t="s">
        <v>258</v>
      </c>
      <c r="E39" s="233" t="str">
        <f>IF(Input!$D$24="Metric",
"-1 – 7 barg",
"-14.5 – 101.5 psig")</f>
        <v>-1 – 7 barg</v>
      </c>
      <c r="F39" s="233" t="str">
        <f>IF(Input!$D$24="Metric",
"-1 – 7 barg",
"-14.5 – 101.5 psig")</f>
        <v>-1 – 7 barg</v>
      </c>
      <c r="G39" s="239" t="str">
        <f>IF(Input!$D$24="Metric",
"-1 – 7 barg",
"-14.5 – 101.5 psig")</f>
        <v>-1 – 7 barg</v>
      </c>
    </row>
    <row r="40" spans="2:7">
      <c r="B40" s="187" t="s">
        <v>171</v>
      </c>
      <c r="C40" s="188"/>
      <c r="D40" s="188"/>
      <c r="E40" s="188"/>
      <c r="F40" s="188"/>
      <c r="G40" s="189" t="s">
        <v>258</v>
      </c>
    </row>
    <row r="41" spans="2:7" ht="30.75" customHeight="1">
      <c r="B41" s="113" t="s">
        <v>170</v>
      </c>
      <c r="C41" s="106" t="s">
        <v>169</v>
      </c>
      <c r="D41" s="106" t="s">
        <v>169</v>
      </c>
      <c r="E41" s="106" t="s">
        <v>169</v>
      </c>
      <c r="F41" s="106" t="s">
        <v>169</v>
      </c>
      <c r="G41" s="114" t="s">
        <v>258</v>
      </c>
    </row>
    <row r="42" spans="2:7">
      <c r="B42" s="113" t="s">
        <v>142</v>
      </c>
      <c r="C42" s="106" t="str">
        <f>IF(Input!D19=0,"EPDM",Input!$D$19)</f>
        <v>EPDM</v>
      </c>
      <c r="D42" s="106" t="str">
        <f>IF(Input!D19=0,"EPDM",Input!$D$19)</f>
        <v>EPDM</v>
      </c>
      <c r="E42" s="106" t="str">
        <f>IF(Input!D19=0,"EPDM",Input!$D$19)</f>
        <v>EPDM</v>
      </c>
      <c r="F42" s="106" t="str">
        <f>IF(Input!D19=0,"EPDM",Input!$D$19)</f>
        <v>EPDM</v>
      </c>
      <c r="G42" s="114" t="s">
        <v>258</v>
      </c>
    </row>
    <row r="43" spans="2:7">
      <c r="B43" s="273" t="s">
        <v>137</v>
      </c>
      <c r="C43" s="274"/>
      <c r="D43" s="274"/>
      <c r="E43" s="274"/>
      <c r="F43" s="274"/>
      <c r="G43" s="275"/>
    </row>
    <row r="44" spans="2:7">
      <c r="B44" s="113" t="s">
        <v>168</v>
      </c>
      <c r="C44" s="106" t="str">
        <f>IF(Input!$D$20=0,"IP55",Input!$D$20)</f>
        <v>IP55</v>
      </c>
      <c r="D44" s="226" t="str">
        <f>IF(Input!$D$20=0,"IP55",Input!$D$20)</f>
        <v>IP55</v>
      </c>
      <c r="E44" s="106" t="str">
        <f>IF(Input!$D$20=0,"IP55",Input!$D$20)</f>
        <v>IP55</v>
      </c>
      <c r="F44" s="106" t="str">
        <f>IF(Input!$D$20=0,"IP55",Input!$D$20)</f>
        <v>IP55</v>
      </c>
      <c r="G44" s="114" t="s">
        <v>267</v>
      </c>
    </row>
    <row r="45" spans="2:7">
      <c r="B45" s="139" t="s">
        <v>388</v>
      </c>
      <c r="C45" s="106" t="str">
        <f>IF(Input!$D$21=0,"NO",Input!$D$21)</f>
        <v>NO</v>
      </c>
      <c r="D45" s="235" t="str">
        <f>IF(Input!$D$21=0,"NO",Input!$D$21)</f>
        <v>NO</v>
      </c>
      <c r="E45" s="236" t="str">
        <f>IF(Input!$D$21=0,"NO",Input!$D$21)</f>
        <v>NO</v>
      </c>
      <c r="F45" s="236" t="str">
        <f>IF(Input!$D$21=0,"NO",Input!$D$21)</f>
        <v>NO</v>
      </c>
      <c r="G45" s="240" t="s">
        <v>258</v>
      </c>
    </row>
    <row r="46" spans="2:7">
      <c r="B46" s="113" t="s">
        <v>167</v>
      </c>
      <c r="C46" s="106" t="str">
        <f>IF(Input!$D$22=0,"NO",Input!$D$22)</f>
        <v>YES</v>
      </c>
      <c r="D46" s="237" t="str">
        <f>IF(Input!$D$22=0,"NO",Input!$D$22)</f>
        <v>YES</v>
      </c>
      <c r="E46" s="106" t="str">
        <f>IF(Input!$D$22=0,"NO",Input!$D$22)</f>
        <v>YES</v>
      </c>
      <c r="F46" s="114" t="str">
        <f>IF(Input!$D$22=0,"NO",Input!$D$22)</f>
        <v>YES</v>
      </c>
      <c r="G46" s="232" t="s">
        <v>258</v>
      </c>
    </row>
    <row r="47" spans="2:7">
      <c r="B47" s="113" t="s">
        <v>236</v>
      </c>
      <c r="C47" s="106" t="str">
        <f>IF(Input!$D$23=0,"NO",Input!$D$23)</f>
        <v>NO</v>
      </c>
      <c r="D47" s="106" t="str">
        <f>IF(Input!$D$23=0,"NO",Input!$D$23)</f>
        <v>NO</v>
      </c>
      <c r="E47" s="114" t="str">
        <f>IF(Input!$D$23=0,"NO",Input!$D$23)</f>
        <v>NO</v>
      </c>
      <c r="F47" s="114" t="str">
        <f>IF(Input!$D$23=0,"NO",Input!$D$23)</f>
        <v>NO</v>
      </c>
      <c r="G47" s="232" t="s">
        <v>258</v>
      </c>
    </row>
    <row r="48" spans="2:7" ht="15.75" thickBot="1">
      <c r="B48" s="270" t="s">
        <v>401</v>
      </c>
      <c r="C48" s="271"/>
      <c r="D48" s="271"/>
      <c r="E48" s="271"/>
      <c r="F48" s="271"/>
      <c r="G48" s="272"/>
    </row>
    <row r="49" spans="1:4">
      <c r="C49" s="129"/>
    </row>
    <row r="50" spans="1:4">
      <c r="C50" s="129"/>
    </row>
    <row r="53" spans="1:4">
      <c r="A53" s="118"/>
    </row>
    <row r="54" spans="1:4">
      <c r="A54" s="117"/>
      <c r="C54" s="129"/>
    </row>
    <row r="55" spans="1:4">
      <c r="A55" s="116"/>
    </row>
    <row r="59" spans="1:4">
      <c r="D59" s="260"/>
    </row>
    <row r="61" spans="1:4">
      <c r="D61" s="260"/>
    </row>
    <row r="69" spans="3:3">
      <c r="C69"/>
    </row>
    <row r="70" spans="3:3">
      <c r="C70"/>
    </row>
    <row r="71" spans="3:3">
      <c r="C71"/>
    </row>
    <row r="72" spans="3:3">
      <c r="C72"/>
    </row>
    <row r="73" spans="3:3">
      <c r="C73"/>
    </row>
    <row r="74" spans="3:3">
      <c r="C74"/>
    </row>
  </sheetData>
  <mergeCells count="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 ref="B48:G48"/>
    <mergeCell ref="K2:L2"/>
    <mergeCell ref="M2:N2"/>
    <mergeCell ref="O2:P2"/>
    <mergeCell ref="Q2:R2"/>
    <mergeCell ref="B30:G30"/>
    <mergeCell ref="B43:G43"/>
    <mergeCell ref="B2:G2"/>
    <mergeCell ref="B7:G7"/>
    <mergeCell ref="B20:G20"/>
    <mergeCell ref="B19:G19"/>
    <mergeCell ref="M3:N3"/>
    <mergeCell ref="K3:L3"/>
    <mergeCell ref="B29:C29"/>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C8:C18 C21:C28 C31:C39 C41:C42 C44:C47</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D8:D18 D21:D28 D31:D39 D41:D42 D44:D47</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E8:E18 E21:E28 E31:E39 E41:E42 E44:E47</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F8:F18 F21:F28 F31:F39 F41:F42 F44:F47</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G8:G18 G21:G28 G31:G39 G41:G42 G44:G47</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45" zoomScaleNormal="100" workbookViewId="0">
      <selection activeCell="F58" sqref="F58"/>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289"/>
      <c r="B1" s="289"/>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287">
        <f>IF(Input!$D$13="Gentle",1.2,IF(Input!$D$13="Vigorous", 0.8,1))</f>
        <v>1</v>
      </c>
      <c r="K2" s="288"/>
      <c r="L2" s="287">
        <f>IF(Input!$D$13="Gentle",1.2,IF(Input!$D$13="Vigorous", 0.8,1))</f>
        <v>1</v>
      </c>
      <c r="M2" s="288"/>
      <c r="N2" s="287">
        <f>IF(Input!$D$13="Gentle",1.2,IF(Input!$D$13="Vigorous", 0.8,1))</f>
        <v>1</v>
      </c>
      <c r="O2" s="288"/>
      <c r="P2" s="287">
        <f>IF(Input!$D$13="Gentle",1.2,IF(Input!$D$13="Vigorous", 0.8,1))</f>
        <v>1</v>
      </c>
      <c r="Q2" s="288"/>
      <c r="R2" s="287">
        <f>IF(Input!$D$13="Gentle",1.2,IF(Input!$D$13="Vigorous", 0.8,1))</f>
        <v>1</v>
      </c>
      <c r="S2" s="288"/>
      <c r="T2" s="287">
        <f>IF(Input!$D$13="Gentle",1.2,IF(Input!$D$13="Vigorous", 0.8,1))</f>
        <v>1</v>
      </c>
      <c r="U2" s="288"/>
      <c r="V2" s="287">
        <f>IF(Input!$D$13="Gentle",1.2,IF(Input!$D$13="Vigorous", 0.8,1))</f>
        <v>1</v>
      </c>
      <c r="W2" s="288"/>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10</v>
      </c>
      <c r="C6" s="21">
        <v>1</v>
      </c>
      <c r="D6" s="20">
        <f>(D$2)*50</f>
        <v>50</v>
      </c>
      <c r="E6" s="21">
        <v>1</v>
      </c>
      <c r="F6" s="20">
        <f>(F$2)*250</f>
        <v>250</v>
      </c>
      <c r="G6" s="21">
        <v>1</v>
      </c>
      <c r="H6" s="20">
        <f>(H$2)*850</f>
        <v>850</v>
      </c>
      <c r="I6" s="21">
        <v>1</v>
      </c>
      <c r="J6" s="20">
        <f>(J$2)*1200</f>
        <v>1200</v>
      </c>
      <c r="K6" s="21">
        <v>1</v>
      </c>
      <c r="L6" s="20">
        <f>(L$2)*2000</f>
        <v>2000</v>
      </c>
      <c r="M6" s="21">
        <v>1</v>
      </c>
      <c r="N6" s="20">
        <f>(N$2)*5000</f>
        <v>5000</v>
      </c>
      <c r="O6" s="21">
        <v>1</v>
      </c>
      <c r="P6" s="20">
        <f>(P$2)*10000</f>
        <v>10000</v>
      </c>
      <c r="Q6" s="21">
        <v>1</v>
      </c>
      <c r="R6" s="20">
        <f>(R$2)*20000</f>
        <v>20000</v>
      </c>
      <c r="S6" s="21">
        <v>1</v>
      </c>
      <c r="T6" s="48">
        <v>30000</v>
      </c>
      <c r="U6" s="49">
        <v>1</v>
      </c>
      <c r="V6" s="48">
        <v>50000</v>
      </c>
      <c r="W6" s="49">
        <v>1</v>
      </c>
      <c r="X6" s="17"/>
      <c r="Y6" s="17"/>
      <c r="Z6" s="17"/>
      <c r="AA6" s="17"/>
      <c r="AB6" s="17"/>
    </row>
    <row r="7" spans="1:28">
      <c r="A7" s="17"/>
      <c r="B7" s="22">
        <f>($B$2)*9.1</f>
        <v>9.1</v>
      </c>
      <c r="C7" s="23">
        <v>5</v>
      </c>
      <c r="D7" s="22">
        <f>(D$2)*45.5</f>
        <v>45.5</v>
      </c>
      <c r="E7" s="23">
        <v>5</v>
      </c>
      <c r="F7" s="22">
        <f>(F$2)*227.5</f>
        <v>227.5</v>
      </c>
      <c r="G7" s="23">
        <v>5</v>
      </c>
      <c r="H7" s="22">
        <f>(H$2)*773.5</f>
        <v>773.5</v>
      </c>
      <c r="I7" s="23">
        <v>5</v>
      </c>
      <c r="J7" s="22">
        <f>(J$2)*1092</f>
        <v>1092</v>
      </c>
      <c r="K7" s="23">
        <v>5</v>
      </c>
      <c r="L7" s="22">
        <f>(L$2)*1820</f>
        <v>1820</v>
      </c>
      <c r="M7" s="23">
        <v>5</v>
      </c>
      <c r="N7" s="22">
        <f>(N$2)*4550</f>
        <v>4550</v>
      </c>
      <c r="O7" s="23">
        <v>5</v>
      </c>
      <c r="P7" s="22">
        <f>(P$2)*9100</f>
        <v>9100</v>
      </c>
      <c r="Q7" s="23">
        <v>5</v>
      </c>
      <c r="R7" s="22">
        <f>(R$2)*18200</f>
        <v>18200</v>
      </c>
      <c r="S7" s="23">
        <v>5</v>
      </c>
      <c r="T7" s="50"/>
      <c r="U7" s="85"/>
      <c r="V7" s="50"/>
      <c r="W7" s="85"/>
      <c r="X7" s="17"/>
      <c r="Y7" s="17"/>
      <c r="Z7" s="17"/>
      <c r="AA7" s="17"/>
      <c r="AB7" s="17"/>
    </row>
    <row r="8" spans="1:28">
      <c r="A8" s="17"/>
      <c r="B8" s="22">
        <f>($B$2)*8.3</f>
        <v>8.3000000000000007</v>
      </c>
      <c r="C8" s="23">
        <v>10</v>
      </c>
      <c r="D8" s="22">
        <f>(D$2)*41.5</f>
        <v>41.5</v>
      </c>
      <c r="E8" s="23">
        <v>10</v>
      </c>
      <c r="F8" s="22">
        <f>(F$2)*207.5</f>
        <v>207.5</v>
      </c>
      <c r="G8" s="23">
        <v>10</v>
      </c>
      <c r="H8" s="22">
        <f>(H$2)*705.5</f>
        <v>705.5</v>
      </c>
      <c r="I8" s="23">
        <v>10</v>
      </c>
      <c r="J8" s="22">
        <f>(J$2)*996</f>
        <v>996</v>
      </c>
      <c r="K8" s="23">
        <v>10</v>
      </c>
      <c r="L8" s="22">
        <f>(L$2)*1660</f>
        <v>1660</v>
      </c>
      <c r="M8" s="23">
        <v>10</v>
      </c>
      <c r="N8" s="22">
        <f>(N$2)*4150</f>
        <v>4150</v>
      </c>
      <c r="O8" s="23">
        <v>10</v>
      </c>
      <c r="P8" s="22">
        <f>(P$2)*8300</f>
        <v>8300</v>
      </c>
      <c r="Q8" s="23">
        <v>10</v>
      </c>
      <c r="R8" s="22">
        <f>(R$2)*16600</f>
        <v>16600</v>
      </c>
      <c r="S8" s="23">
        <v>10</v>
      </c>
      <c r="T8" s="50"/>
      <c r="U8" s="85"/>
      <c r="V8" s="50"/>
      <c r="W8" s="85"/>
      <c r="X8" s="17"/>
      <c r="Y8" s="17"/>
      <c r="Z8" s="17"/>
      <c r="AA8" s="17"/>
      <c r="AB8" s="17"/>
    </row>
    <row r="9" spans="1:28">
      <c r="A9" s="17"/>
      <c r="B9" s="22">
        <f>($B$2)*7.7</f>
        <v>7.7</v>
      </c>
      <c r="C9" s="23">
        <v>15</v>
      </c>
      <c r="D9" s="22">
        <f>(D$2)*38.5</f>
        <v>38.5</v>
      </c>
      <c r="E9" s="23">
        <v>15</v>
      </c>
      <c r="F9" s="22">
        <f>(F$2)*192.5</f>
        <v>192.5</v>
      </c>
      <c r="G9" s="23">
        <v>15</v>
      </c>
      <c r="H9" s="22">
        <f>(H$2)*654.5</f>
        <v>654.5</v>
      </c>
      <c r="I9" s="23">
        <v>15</v>
      </c>
      <c r="J9" s="22">
        <f>(J$2)*924</f>
        <v>924</v>
      </c>
      <c r="K9" s="23">
        <v>15</v>
      </c>
      <c r="L9" s="22">
        <f>(L$2)*1540</f>
        <v>1540</v>
      </c>
      <c r="M9" s="23">
        <v>15</v>
      </c>
      <c r="N9" s="22">
        <f>(N$2)*3850</f>
        <v>3850</v>
      </c>
      <c r="O9" s="23">
        <v>15</v>
      </c>
      <c r="P9" s="22">
        <f>(P$2)*7700</f>
        <v>7700</v>
      </c>
      <c r="Q9" s="23">
        <v>15</v>
      </c>
      <c r="R9" s="22">
        <f>(R$2)*15400</f>
        <v>15400</v>
      </c>
      <c r="S9" s="23">
        <v>15</v>
      </c>
      <c r="T9" s="50"/>
      <c r="U9" s="85"/>
      <c r="V9" s="50"/>
      <c r="W9" s="85"/>
      <c r="X9" s="17"/>
      <c r="Y9" s="17"/>
      <c r="Z9" s="17"/>
      <c r="AA9" s="17"/>
      <c r="AB9" s="17"/>
    </row>
    <row r="10" spans="1:28">
      <c r="A10" s="17"/>
      <c r="B10" s="22">
        <f>($B$2)*7.2</f>
        <v>7.2</v>
      </c>
      <c r="C10" s="23">
        <v>20</v>
      </c>
      <c r="D10" s="22">
        <f>(D$2)*36</f>
        <v>36</v>
      </c>
      <c r="E10" s="23">
        <v>20</v>
      </c>
      <c r="F10" s="22">
        <f>(F$2)*180</f>
        <v>180</v>
      </c>
      <c r="G10" s="23">
        <v>20</v>
      </c>
      <c r="H10" s="22">
        <f>(H$2)*612</f>
        <v>612</v>
      </c>
      <c r="I10" s="23">
        <v>20</v>
      </c>
      <c r="J10" s="22">
        <f>(J$2)*864</f>
        <v>864</v>
      </c>
      <c r="K10" s="23">
        <v>20</v>
      </c>
      <c r="L10" s="22">
        <f>(L$2)*1440</f>
        <v>1440</v>
      </c>
      <c r="M10" s="23">
        <v>20</v>
      </c>
      <c r="N10" s="22">
        <f>(N$2)*3600</f>
        <v>3600</v>
      </c>
      <c r="O10" s="23">
        <v>20</v>
      </c>
      <c r="P10" s="22">
        <f>(P$2)*7200</f>
        <v>7200</v>
      </c>
      <c r="Q10" s="23">
        <v>20</v>
      </c>
      <c r="R10" s="22">
        <f>(R$2)*14400</f>
        <v>14400</v>
      </c>
      <c r="S10" s="23">
        <v>20</v>
      </c>
      <c r="T10" s="50"/>
      <c r="U10" s="85"/>
      <c r="V10" s="50"/>
      <c r="W10" s="85"/>
      <c r="X10" s="17"/>
      <c r="Y10" s="17"/>
      <c r="Z10" s="17"/>
      <c r="AA10" s="17"/>
      <c r="AB10" s="17"/>
    </row>
    <row r="11" spans="1:28">
      <c r="A11" s="17"/>
      <c r="B11" s="22">
        <f>($B$2)*6.8</f>
        <v>6.8</v>
      </c>
      <c r="C11" s="23">
        <v>25</v>
      </c>
      <c r="D11" s="22">
        <f>(D$2)*34</f>
        <v>34</v>
      </c>
      <c r="E11" s="23">
        <v>25</v>
      </c>
      <c r="F11" s="22">
        <f>(F$2)*170</f>
        <v>170</v>
      </c>
      <c r="G11" s="23">
        <v>25</v>
      </c>
      <c r="H11" s="22">
        <f>(H$2)*578</f>
        <v>578</v>
      </c>
      <c r="I11" s="23">
        <v>25</v>
      </c>
      <c r="J11" s="22">
        <f>(J$2)*816</f>
        <v>816</v>
      </c>
      <c r="K11" s="23">
        <v>25</v>
      </c>
      <c r="L11" s="22">
        <f>(L$2)*1360</f>
        <v>1360</v>
      </c>
      <c r="M11" s="23">
        <v>25</v>
      </c>
      <c r="N11" s="22">
        <f>(N$2)*3400</f>
        <v>3400</v>
      </c>
      <c r="O11" s="23">
        <v>25</v>
      </c>
      <c r="P11" s="22">
        <f>(P$2)*6800</f>
        <v>6800</v>
      </c>
      <c r="Q11" s="23">
        <v>25</v>
      </c>
      <c r="R11" s="22">
        <f>(R$2)*13600</f>
        <v>13600</v>
      </c>
      <c r="S11" s="23">
        <v>25</v>
      </c>
      <c r="T11" s="50"/>
      <c r="U11" s="85"/>
      <c r="V11" s="50"/>
      <c r="W11" s="85"/>
      <c r="X11" s="17"/>
      <c r="Y11" s="17"/>
      <c r="Z11" s="17"/>
      <c r="AA11" s="17"/>
      <c r="AB11" s="17"/>
    </row>
    <row r="12" spans="1:28">
      <c r="A12" s="17"/>
      <c r="B12" s="22">
        <f>($B$2)*6.55</f>
        <v>6.55</v>
      </c>
      <c r="C12" s="23">
        <v>30</v>
      </c>
      <c r="D12" s="22">
        <f>(D$2)*32.75</f>
        <v>32.75</v>
      </c>
      <c r="E12" s="23">
        <v>30</v>
      </c>
      <c r="F12" s="22">
        <f>(F$2)*163.75</f>
        <v>163.75</v>
      </c>
      <c r="G12" s="23">
        <v>30</v>
      </c>
      <c r="H12" s="22">
        <f>(H$2)*556.75</f>
        <v>556.75</v>
      </c>
      <c r="I12" s="23">
        <v>30</v>
      </c>
      <c r="J12" s="22">
        <f>(J$2)*786</f>
        <v>786</v>
      </c>
      <c r="K12" s="23">
        <v>30</v>
      </c>
      <c r="L12" s="22">
        <f>(L$2)*1310</f>
        <v>1310</v>
      </c>
      <c r="M12" s="23">
        <v>30</v>
      </c>
      <c r="N12" s="22">
        <f>(N$2)*3275</f>
        <v>3275</v>
      </c>
      <c r="O12" s="23">
        <v>30</v>
      </c>
      <c r="P12" s="22">
        <f>(P$2)*6550</f>
        <v>6550</v>
      </c>
      <c r="Q12" s="23">
        <v>30</v>
      </c>
      <c r="R12" s="22">
        <f>(R$2)*13100</f>
        <v>13100</v>
      </c>
      <c r="S12" s="23">
        <v>30</v>
      </c>
      <c r="T12" s="50"/>
      <c r="U12" s="85"/>
      <c r="V12" s="50"/>
      <c r="W12" s="85"/>
      <c r="X12" s="17"/>
      <c r="Y12" s="17"/>
      <c r="Z12" s="17"/>
      <c r="AA12" s="17"/>
      <c r="AB12" s="17"/>
    </row>
    <row r="13" spans="1:28">
      <c r="A13" s="17"/>
      <c r="B13" s="22">
        <f>($B$2)*6.3</f>
        <v>6.3</v>
      </c>
      <c r="C13" s="23">
        <v>35</v>
      </c>
      <c r="D13" s="22">
        <f>(D$2)*31.5</f>
        <v>31.5</v>
      </c>
      <c r="E13" s="23">
        <v>35</v>
      </c>
      <c r="F13" s="22">
        <f>(F$2)*157.5</f>
        <v>157.5</v>
      </c>
      <c r="G13" s="23">
        <v>35</v>
      </c>
      <c r="H13" s="22">
        <f>(H$2)*535.5</f>
        <v>535.5</v>
      </c>
      <c r="I13" s="23">
        <v>35</v>
      </c>
      <c r="J13" s="22">
        <f>(J$2)*756</f>
        <v>756</v>
      </c>
      <c r="K13" s="23">
        <v>35</v>
      </c>
      <c r="L13" s="22">
        <f>(L$2)*1260</f>
        <v>1260</v>
      </c>
      <c r="M13" s="23">
        <v>35</v>
      </c>
      <c r="N13" s="22">
        <f>(N$2)*3150</f>
        <v>3150</v>
      </c>
      <c r="O13" s="23">
        <v>35</v>
      </c>
      <c r="P13" s="22">
        <f>(P$2)*6300</f>
        <v>6300</v>
      </c>
      <c r="Q13" s="23">
        <v>35</v>
      </c>
      <c r="R13" s="22">
        <f>(R$2)*12600</f>
        <v>12600</v>
      </c>
      <c r="S13" s="23">
        <v>35</v>
      </c>
      <c r="T13" s="50"/>
      <c r="U13" s="85"/>
      <c r="V13" s="50"/>
      <c r="W13" s="85"/>
      <c r="X13" s="17"/>
      <c r="Y13" s="17"/>
      <c r="Z13" s="17"/>
      <c r="AA13" s="17"/>
      <c r="AB13" s="17"/>
    </row>
    <row r="14" spans="1:28">
      <c r="A14" s="17"/>
      <c r="B14" s="22">
        <f>($B$2)*6.15</f>
        <v>6.15</v>
      </c>
      <c r="C14" s="23">
        <v>40</v>
      </c>
      <c r="D14" s="22">
        <f>(D$2)*30.75</f>
        <v>30.75</v>
      </c>
      <c r="E14" s="23">
        <v>40</v>
      </c>
      <c r="F14" s="22">
        <f>(F$2)*153.75</f>
        <v>153.75</v>
      </c>
      <c r="G14" s="23">
        <v>40</v>
      </c>
      <c r="H14" s="22">
        <f>(H$2)*522.75</f>
        <v>522.75</v>
      </c>
      <c r="I14" s="23">
        <v>40</v>
      </c>
      <c r="J14" s="22">
        <f>(J$2)*738</f>
        <v>738</v>
      </c>
      <c r="K14" s="23">
        <v>40</v>
      </c>
      <c r="L14" s="22">
        <f>(L$2)*1230</f>
        <v>1230</v>
      </c>
      <c r="M14" s="23">
        <v>40</v>
      </c>
      <c r="N14" s="22">
        <f>(N$2)*3075</f>
        <v>3075</v>
      </c>
      <c r="O14" s="23">
        <v>40</v>
      </c>
      <c r="P14" s="22">
        <f>(P$2)*6150</f>
        <v>6150</v>
      </c>
      <c r="Q14" s="23">
        <v>40</v>
      </c>
      <c r="R14" s="22">
        <f>(R$2)*12300</f>
        <v>12300</v>
      </c>
      <c r="S14" s="23">
        <v>40</v>
      </c>
      <c r="T14" s="50"/>
      <c r="U14" s="85"/>
      <c r="V14" s="50"/>
      <c r="W14" s="85"/>
      <c r="X14" s="17"/>
      <c r="Y14" s="17"/>
      <c r="Z14" s="17"/>
      <c r="AA14" s="17"/>
      <c r="AB14" s="17"/>
    </row>
    <row r="15" spans="1:28">
      <c r="A15" s="17"/>
      <c r="B15" s="22">
        <f>($B$2)*6</f>
        <v>6</v>
      </c>
      <c r="C15" s="23">
        <v>45</v>
      </c>
      <c r="D15" s="22">
        <f>(D$2)*30</f>
        <v>30</v>
      </c>
      <c r="E15" s="23">
        <v>45</v>
      </c>
      <c r="F15" s="22">
        <f>(F$2)*150</f>
        <v>150</v>
      </c>
      <c r="G15" s="23">
        <v>45</v>
      </c>
      <c r="H15" s="22">
        <f>(H$2)*510</f>
        <v>510</v>
      </c>
      <c r="I15" s="23">
        <v>45</v>
      </c>
      <c r="J15" s="22">
        <f>(J$2)*720</f>
        <v>720</v>
      </c>
      <c r="K15" s="23">
        <v>45</v>
      </c>
      <c r="L15" s="22">
        <f>(L$2)*1200</f>
        <v>1200</v>
      </c>
      <c r="M15" s="23">
        <v>45</v>
      </c>
      <c r="N15" s="22">
        <f>(N$2)*3000</f>
        <v>3000</v>
      </c>
      <c r="O15" s="23">
        <v>45</v>
      </c>
      <c r="P15" s="22">
        <f>(P$2)*6000</f>
        <v>6000</v>
      </c>
      <c r="Q15" s="23">
        <v>45</v>
      </c>
      <c r="R15" s="22">
        <f>(R$2)*12000</f>
        <v>12000</v>
      </c>
      <c r="S15" s="23">
        <v>45</v>
      </c>
      <c r="T15" s="50"/>
      <c r="U15" s="85"/>
      <c r="V15" s="50"/>
      <c r="W15" s="85"/>
      <c r="X15" s="17"/>
      <c r="Y15" s="17"/>
      <c r="Z15" s="17"/>
      <c r="AA15" s="17"/>
      <c r="AB15" s="17"/>
    </row>
    <row r="16" spans="1:28">
      <c r="A16" s="17"/>
      <c r="B16" s="22">
        <f>($B$2)*5.86</f>
        <v>5.86</v>
      </c>
      <c r="C16" s="23">
        <v>50</v>
      </c>
      <c r="D16" s="22">
        <f>(D$2)*29.3</f>
        <v>29.3</v>
      </c>
      <c r="E16" s="23">
        <v>50</v>
      </c>
      <c r="F16" s="22">
        <f>(F$2)*146.5</f>
        <v>146.5</v>
      </c>
      <c r="G16" s="23">
        <v>50</v>
      </c>
      <c r="H16" s="22">
        <f>(H$2)*498.1</f>
        <v>498.1</v>
      </c>
      <c r="I16" s="23">
        <v>50</v>
      </c>
      <c r="J16" s="22">
        <f>(J$2)*703.2</f>
        <v>703.2</v>
      </c>
      <c r="K16" s="23">
        <v>50</v>
      </c>
      <c r="L16" s="22">
        <f>(L$2)*1172</f>
        <v>1172</v>
      </c>
      <c r="M16" s="23">
        <v>50</v>
      </c>
      <c r="N16" s="22">
        <f>(N$2)*2930</f>
        <v>2930</v>
      </c>
      <c r="O16" s="23">
        <v>50</v>
      </c>
      <c r="P16" s="22">
        <f>(P$2)*5860</f>
        <v>5860</v>
      </c>
      <c r="Q16" s="23">
        <v>50</v>
      </c>
      <c r="R16" s="22">
        <f>(R$2)*11720</f>
        <v>11720</v>
      </c>
      <c r="S16" s="23">
        <v>50</v>
      </c>
      <c r="T16" s="50"/>
      <c r="U16" s="85"/>
      <c r="V16" s="50"/>
      <c r="W16" s="85"/>
      <c r="X16" s="17"/>
      <c r="Y16" s="17"/>
      <c r="Z16" s="17"/>
      <c r="AA16" s="17"/>
      <c r="AB16" s="17"/>
    </row>
    <row r="17" spans="1:28">
      <c r="A17" s="17"/>
      <c r="B17" s="22">
        <f>($B$2)*5.7</f>
        <v>5.7</v>
      </c>
      <c r="C17" s="23">
        <v>55</v>
      </c>
      <c r="D17" s="22">
        <f>(D$2)*28.5</f>
        <v>28.5</v>
      </c>
      <c r="E17" s="23">
        <v>55</v>
      </c>
      <c r="F17" s="22">
        <f>(F$2)*142.5</f>
        <v>142.5</v>
      </c>
      <c r="G17" s="23">
        <v>55</v>
      </c>
      <c r="H17" s="22">
        <f>(H$2)*484.5</f>
        <v>484.5</v>
      </c>
      <c r="I17" s="23">
        <v>55</v>
      </c>
      <c r="J17" s="22">
        <f>(J$2)*684</f>
        <v>684</v>
      </c>
      <c r="K17" s="23">
        <v>55</v>
      </c>
      <c r="L17" s="22">
        <f>(L$2)*1140</f>
        <v>1140</v>
      </c>
      <c r="M17" s="23">
        <v>55</v>
      </c>
      <c r="N17" s="22">
        <f>(N$2)*2850</f>
        <v>2850</v>
      </c>
      <c r="O17" s="23">
        <v>55</v>
      </c>
      <c r="P17" s="22">
        <f>(P$2)*5700</f>
        <v>5700</v>
      </c>
      <c r="Q17" s="23">
        <v>55</v>
      </c>
      <c r="R17" s="22">
        <f>(R$2)*11400</f>
        <v>11400</v>
      </c>
      <c r="S17" s="23">
        <v>55</v>
      </c>
      <c r="T17" s="50"/>
      <c r="U17" s="85"/>
      <c r="V17" s="50"/>
      <c r="W17" s="85"/>
      <c r="X17" s="17"/>
      <c r="Y17" s="17"/>
      <c r="Z17" s="17"/>
      <c r="AA17" s="17"/>
      <c r="AB17" s="17"/>
    </row>
    <row r="18" spans="1:28">
      <c r="A18" s="17"/>
      <c r="B18" s="22">
        <f>($B$2)*5.6</f>
        <v>5.6</v>
      </c>
      <c r="C18" s="23">
        <v>60</v>
      </c>
      <c r="D18" s="22">
        <f>(D$2)*28</f>
        <v>28</v>
      </c>
      <c r="E18" s="23">
        <v>60</v>
      </c>
      <c r="F18" s="22">
        <f>(F$2)*140</f>
        <v>140</v>
      </c>
      <c r="G18" s="23">
        <v>60</v>
      </c>
      <c r="H18" s="22">
        <f>(H$2)*476</f>
        <v>476</v>
      </c>
      <c r="I18" s="23">
        <v>60</v>
      </c>
      <c r="J18" s="22">
        <f>(J$2)*672</f>
        <v>672</v>
      </c>
      <c r="K18" s="23">
        <v>60</v>
      </c>
      <c r="L18" s="22">
        <f>(L$2)*1120</f>
        <v>1120</v>
      </c>
      <c r="M18" s="23">
        <v>60</v>
      </c>
      <c r="N18" s="22">
        <f>(N$2)*2800</f>
        <v>2800</v>
      </c>
      <c r="O18" s="23">
        <v>60</v>
      </c>
      <c r="P18" s="22">
        <f>(P$2)*5600</f>
        <v>5600</v>
      </c>
      <c r="Q18" s="23">
        <v>60</v>
      </c>
      <c r="R18" s="22">
        <f>(R$2)*11200</f>
        <v>11200</v>
      </c>
      <c r="S18" s="23">
        <v>60</v>
      </c>
      <c r="T18" s="50"/>
      <c r="U18" s="85"/>
      <c r="V18" s="50"/>
      <c r="W18" s="85"/>
      <c r="X18" s="17"/>
      <c r="Y18" s="17"/>
      <c r="Z18" s="17"/>
      <c r="AA18" s="17"/>
      <c r="AB18" s="17"/>
    </row>
    <row r="19" spans="1:28">
      <c r="A19" s="17"/>
      <c r="B19" s="22">
        <f>($B$2)*5.5</f>
        <v>5.5</v>
      </c>
      <c r="C19" s="23">
        <v>65</v>
      </c>
      <c r="D19" s="22">
        <f>(D$2)*27.5</f>
        <v>27.5</v>
      </c>
      <c r="E19" s="23">
        <v>65</v>
      </c>
      <c r="F19" s="22">
        <f>(F$2)*137.5</f>
        <v>137.5</v>
      </c>
      <c r="G19" s="23">
        <v>65</v>
      </c>
      <c r="H19" s="22">
        <f>(H$2)*467.5</f>
        <v>467.5</v>
      </c>
      <c r="I19" s="23">
        <v>65</v>
      </c>
      <c r="J19" s="22">
        <f>(J$2)*660</f>
        <v>660</v>
      </c>
      <c r="K19" s="23">
        <v>65</v>
      </c>
      <c r="L19" s="22">
        <f>(L$2)*1100</f>
        <v>1100</v>
      </c>
      <c r="M19" s="23">
        <v>65</v>
      </c>
      <c r="N19" s="22">
        <f>(N$2)*2750</f>
        <v>2750</v>
      </c>
      <c r="O19" s="23">
        <v>65</v>
      </c>
      <c r="P19" s="22">
        <f>(P$2)*5500</f>
        <v>5500</v>
      </c>
      <c r="Q19" s="23">
        <v>65</v>
      </c>
      <c r="R19" s="22">
        <f>(R$2)*11000</f>
        <v>11000</v>
      </c>
      <c r="S19" s="23">
        <v>65</v>
      </c>
      <c r="T19" s="50"/>
      <c r="U19" s="85"/>
      <c r="V19" s="50"/>
      <c r="W19" s="85"/>
      <c r="X19" s="17"/>
      <c r="Y19" s="17"/>
      <c r="Z19" s="17"/>
      <c r="AA19" s="17"/>
      <c r="AB19" s="17"/>
    </row>
    <row r="20" spans="1:28">
      <c r="A20" s="17"/>
      <c r="B20" s="22">
        <f>($B$2)*5.4</f>
        <v>5.4</v>
      </c>
      <c r="C20" s="23">
        <v>70</v>
      </c>
      <c r="D20" s="22">
        <f>(D$2)*27</f>
        <v>27</v>
      </c>
      <c r="E20" s="23">
        <v>70</v>
      </c>
      <c r="F20" s="22">
        <f>(F$2)*135</f>
        <v>135</v>
      </c>
      <c r="G20" s="23">
        <v>70</v>
      </c>
      <c r="H20" s="22">
        <f>(H$2)*459</f>
        <v>459</v>
      </c>
      <c r="I20" s="23">
        <v>70</v>
      </c>
      <c r="J20" s="22">
        <f>(J$2)*648</f>
        <v>648</v>
      </c>
      <c r="K20" s="23">
        <v>70</v>
      </c>
      <c r="L20" s="22">
        <f>(L$2)*1080</f>
        <v>1080</v>
      </c>
      <c r="M20" s="23">
        <v>70</v>
      </c>
      <c r="N20" s="22">
        <f>(N$2)*2700</f>
        <v>2700</v>
      </c>
      <c r="O20" s="23">
        <v>70</v>
      </c>
      <c r="P20" s="22">
        <f>(P$2)*5400</f>
        <v>5400</v>
      </c>
      <c r="Q20" s="23">
        <v>70</v>
      </c>
      <c r="R20" s="22">
        <f>(R$2)*10800</f>
        <v>10800</v>
      </c>
      <c r="S20" s="23">
        <v>70</v>
      </c>
      <c r="T20" s="50"/>
      <c r="U20" s="85"/>
      <c r="V20" s="50"/>
      <c r="W20" s="85"/>
      <c r="X20" s="17"/>
      <c r="Y20" s="17"/>
      <c r="Z20" s="17"/>
      <c r="AA20" s="17"/>
      <c r="AB20" s="17"/>
    </row>
    <row r="21" spans="1:28">
      <c r="A21" s="17"/>
      <c r="B21" s="22">
        <f>($B$2)*5.3</f>
        <v>5.3</v>
      </c>
      <c r="C21" s="23">
        <v>75</v>
      </c>
      <c r="D21" s="22">
        <f>(D$2)*26.5</f>
        <v>26.5</v>
      </c>
      <c r="E21" s="23">
        <v>75</v>
      </c>
      <c r="F21" s="22">
        <f>(F$2)*132.5</f>
        <v>132.5</v>
      </c>
      <c r="G21" s="23">
        <v>75</v>
      </c>
      <c r="H21" s="22">
        <f>(H$2)*450.5</f>
        <v>450.5</v>
      </c>
      <c r="I21" s="23">
        <v>75</v>
      </c>
      <c r="J21" s="22">
        <f>(J$2)*636</f>
        <v>636</v>
      </c>
      <c r="K21" s="23">
        <v>75</v>
      </c>
      <c r="L21" s="22">
        <f>(L$2)*1060</f>
        <v>1060</v>
      </c>
      <c r="M21" s="23">
        <v>75</v>
      </c>
      <c r="N21" s="22">
        <f>(N$2)*2650</f>
        <v>2650</v>
      </c>
      <c r="O21" s="23">
        <v>75</v>
      </c>
      <c r="P21" s="22">
        <f>(P$2)*5300</f>
        <v>5300</v>
      </c>
      <c r="Q21" s="23">
        <v>75</v>
      </c>
      <c r="R21" s="22">
        <f>(R$2)*10600</f>
        <v>10600</v>
      </c>
      <c r="S21" s="23">
        <v>75</v>
      </c>
      <c r="T21" s="50"/>
      <c r="U21" s="85"/>
      <c r="V21" s="50"/>
      <c r="W21" s="85"/>
      <c r="X21" s="17"/>
      <c r="Y21" s="17"/>
      <c r="Z21" s="17"/>
      <c r="AA21" s="17"/>
      <c r="AB21" s="17"/>
    </row>
    <row r="22" spans="1:28">
      <c r="A22" s="17"/>
      <c r="B22" s="22">
        <f>($B$2)*5.2</f>
        <v>5.2</v>
      </c>
      <c r="C22" s="23">
        <v>80</v>
      </c>
      <c r="D22" s="22">
        <f>(D$2)*26</f>
        <v>26</v>
      </c>
      <c r="E22" s="23">
        <v>80</v>
      </c>
      <c r="F22" s="22">
        <f>(F$2)*130</f>
        <v>130</v>
      </c>
      <c r="G22" s="23">
        <v>80</v>
      </c>
      <c r="H22" s="22">
        <f>(H$2)*442</f>
        <v>442</v>
      </c>
      <c r="I22" s="23">
        <v>80</v>
      </c>
      <c r="J22" s="22">
        <f>(J$2)*624</f>
        <v>624</v>
      </c>
      <c r="K22" s="23">
        <v>80</v>
      </c>
      <c r="L22" s="22">
        <f>(L$2)*1040</f>
        <v>1040</v>
      </c>
      <c r="M22" s="23">
        <v>80</v>
      </c>
      <c r="N22" s="22">
        <f>(N$2)*2600</f>
        <v>2600</v>
      </c>
      <c r="O22" s="23">
        <v>80</v>
      </c>
      <c r="P22" s="22">
        <f>(P$2)*5200</f>
        <v>5200</v>
      </c>
      <c r="Q22" s="23">
        <v>80</v>
      </c>
      <c r="R22" s="22">
        <f>(R$2)*10400</f>
        <v>10400</v>
      </c>
      <c r="S22" s="23">
        <v>80</v>
      </c>
      <c r="T22" s="50"/>
      <c r="U22" s="85"/>
      <c r="V22" s="50"/>
      <c r="W22" s="85"/>
      <c r="X22" s="17"/>
      <c r="Y22" s="17"/>
      <c r="Z22" s="17"/>
      <c r="AA22" s="17"/>
      <c r="AB22" s="17"/>
    </row>
    <row r="23" spans="1:28">
      <c r="A23" s="17"/>
      <c r="B23" s="22">
        <f>($B$2)*5.1</f>
        <v>5.0999999999999996</v>
      </c>
      <c r="C23" s="23">
        <v>85</v>
      </c>
      <c r="D23" s="22">
        <f>(D$2)*25.5</f>
        <v>25.5</v>
      </c>
      <c r="E23" s="23">
        <v>85</v>
      </c>
      <c r="F23" s="22">
        <f>(F$2)*127.5</f>
        <v>127.5</v>
      </c>
      <c r="G23" s="23">
        <v>85</v>
      </c>
      <c r="H23" s="22">
        <f>(H$2)*433.5</f>
        <v>433.5</v>
      </c>
      <c r="I23" s="23">
        <v>85</v>
      </c>
      <c r="J23" s="22">
        <f>(J$2)*612</f>
        <v>612</v>
      </c>
      <c r="K23" s="23">
        <v>85</v>
      </c>
      <c r="L23" s="22">
        <f>(L$2)*1020</f>
        <v>1020</v>
      </c>
      <c r="M23" s="23">
        <v>85</v>
      </c>
      <c r="N23" s="22">
        <f>(N$2)*2550</f>
        <v>2550</v>
      </c>
      <c r="O23" s="23">
        <v>85</v>
      </c>
      <c r="P23" s="22">
        <f>(P$2)*5100</f>
        <v>5100</v>
      </c>
      <c r="Q23" s="23">
        <v>85</v>
      </c>
      <c r="R23" s="22">
        <f>(R$2)*10200</f>
        <v>10200</v>
      </c>
      <c r="S23" s="23">
        <v>85</v>
      </c>
      <c r="T23" s="50"/>
      <c r="U23" s="85"/>
      <c r="V23" s="50"/>
      <c r="W23" s="85"/>
      <c r="X23" s="17"/>
      <c r="Y23" s="17"/>
      <c r="Z23" s="17"/>
      <c r="AA23" s="17"/>
      <c r="AB23" s="17"/>
    </row>
    <row r="24" spans="1:28">
      <c r="A24" s="17"/>
      <c r="B24" s="22">
        <f>($B$2)*5</f>
        <v>5</v>
      </c>
      <c r="C24" s="23">
        <v>90</v>
      </c>
      <c r="D24" s="22">
        <f>(D$2)*25</f>
        <v>25</v>
      </c>
      <c r="E24" s="23">
        <v>90</v>
      </c>
      <c r="F24" s="22">
        <f>(F$2)*125</f>
        <v>125</v>
      </c>
      <c r="G24" s="23">
        <v>90</v>
      </c>
      <c r="H24" s="22">
        <f>(H$2)*425</f>
        <v>425</v>
      </c>
      <c r="I24" s="23">
        <v>90</v>
      </c>
      <c r="J24" s="22">
        <f>(J$2)*600</f>
        <v>600</v>
      </c>
      <c r="K24" s="23">
        <v>90</v>
      </c>
      <c r="L24" s="22">
        <f>(L$2)*1000</f>
        <v>1000</v>
      </c>
      <c r="M24" s="23">
        <v>90</v>
      </c>
      <c r="N24" s="22">
        <f>(N$2)*2500</f>
        <v>2500</v>
      </c>
      <c r="O24" s="23">
        <v>90</v>
      </c>
      <c r="P24" s="22">
        <f>(P$2)*5000</f>
        <v>5000</v>
      </c>
      <c r="Q24" s="23">
        <v>90</v>
      </c>
      <c r="R24" s="22">
        <f>(R$2)*10000</f>
        <v>10000</v>
      </c>
      <c r="S24" s="23">
        <v>90</v>
      </c>
      <c r="T24" s="50"/>
      <c r="U24" s="85"/>
      <c r="V24" s="50"/>
      <c r="W24" s="85"/>
      <c r="X24" s="17"/>
      <c r="Y24" s="17"/>
      <c r="Z24" s="17"/>
      <c r="AA24" s="17"/>
      <c r="AB24" s="17"/>
    </row>
    <row r="25" spans="1:28">
      <c r="A25" s="17"/>
      <c r="B25" s="22">
        <f>($B$2)*4.9</f>
        <v>4.9000000000000004</v>
      </c>
      <c r="C25" s="23">
        <v>95</v>
      </c>
      <c r="D25" s="22">
        <f>(D$2)*24.5</f>
        <v>24.5</v>
      </c>
      <c r="E25" s="23">
        <v>95</v>
      </c>
      <c r="F25" s="22">
        <f>(F$2)*122.5</f>
        <v>122.5</v>
      </c>
      <c r="G25" s="23">
        <v>95</v>
      </c>
      <c r="H25" s="22">
        <f>(H$2)*416.5</f>
        <v>416.5</v>
      </c>
      <c r="I25" s="23">
        <v>95</v>
      </c>
      <c r="J25" s="22">
        <f>(J$2)*588</f>
        <v>588</v>
      </c>
      <c r="K25" s="23">
        <v>95</v>
      </c>
      <c r="L25" s="22">
        <f>(L$2)*980</f>
        <v>980</v>
      </c>
      <c r="M25" s="23">
        <v>95</v>
      </c>
      <c r="N25" s="22">
        <f>(N$2)*2450</f>
        <v>2450</v>
      </c>
      <c r="O25" s="23">
        <v>95</v>
      </c>
      <c r="P25" s="22">
        <f>(P$2)*4900</f>
        <v>4900</v>
      </c>
      <c r="Q25" s="23">
        <v>95</v>
      </c>
      <c r="R25" s="22">
        <f>(R$2)*9800</f>
        <v>9800</v>
      </c>
      <c r="S25" s="23">
        <v>95</v>
      </c>
      <c r="T25" s="50"/>
      <c r="U25" s="85"/>
      <c r="V25" s="50"/>
      <c r="W25" s="85"/>
      <c r="X25" s="17"/>
      <c r="Y25" s="17"/>
      <c r="Z25" s="17"/>
      <c r="AA25" s="17"/>
      <c r="AB25" s="17"/>
    </row>
    <row r="26" spans="1:28">
      <c r="A26" s="17"/>
      <c r="B26" s="22">
        <f>($B$2)*4.85</f>
        <v>4.8499999999999996</v>
      </c>
      <c r="C26" s="23">
        <v>100</v>
      </c>
      <c r="D26" s="22">
        <f>(D$2)*24.25</f>
        <v>24.25</v>
      </c>
      <c r="E26" s="23">
        <v>100</v>
      </c>
      <c r="F26" s="22">
        <f>(F$2)*121.25</f>
        <v>121.25</v>
      </c>
      <c r="G26" s="23">
        <v>100</v>
      </c>
      <c r="H26" s="22">
        <f>(H$2)*412.25</f>
        <v>412.25</v>
      </c>
      <c r="I26" s="23">
        <v>100</v>
      </c>
      <c r="J26" s="22">
        <f>(J$2)*582</f>
        <v>582</v>
      </c>
      <c r="K26" s="23">
        <v>100</v>
      </c>
      <c r="L26" s="22">
        <f>(L$2)*970</f>
        <v>970</v>
      </c>
      <c r="M26" s="23">
        <v>100</v>
      </c>
      <c r="N26" s="22">
        <f>(N$2)*2425</f>
        <v>2425</v>
      </c>
      <c r="O26" s="23">
        <v>100</v>
      </c>
      <c r="P26" s="22">
        <f>(P$2)*4850</f>
        <v>4850</v>
      </c>
      <c r="Q26" s="23">
        <v>100</v>
      </c>
      <c r="R26" s="22">
        <f>(R$2)*9700</f>
        <v>9700</v>
      </c>
      <c r="S26" s="23">
        <v>100</v>
      </c>
      <c r="T26" s="50"/>
      <c r="U26" s="85"/>
      <c r="V26" s="50"/>
      <c r="W26" s="85"/>
      <c r="X26" s="17"/>
      <c r="Y26" s="17"/>
      <c r="Z26" s="17"/>
      <c r="AA26" s="17"/>
      <c r="AB26" s="17"/>
    </row>
    <row r="27" spans="1:28">
      <c r="A27" s="17"/>
      <c r="B27" s="22">
        <f>($B$2)*4.3</f>
        <v>4.3</v>
      </c>
      <c r="C27" s="23">
        <v>150</v>
      </c>
      <c r="D27" s="22">
        <f>(D$2)*21.5</f>
        <v>21.5</v>
      </c>
      <c r="E27" s="23">
        <v>150</v>
      </c>
      <c r="F27" s="22">
        <f>(F$2)*107.5</f>
        <v>107.5</v>
      </c>
      <c r="G27" s="23">
        <v>150</v>
      </c>
      <c r="H27" s="22">
        <f>(H$2)*365.5</f>
        <v>365.5</v>
      </c>
      <c r="I27" s="23">
        <v>150</v>
      </c>
      <c r="J27" s="22">
        <f>(J$2)*516</f>
        <v>516</v>
      </c>
      <c r="K27" s="23">
        <v>150</v>
      </c>
      <c r="L27" s="22">
        <f>(L$2)*860</f>
        <v>860</v>
      </c>
      <c r="M27" s="23">
        <v>150</v>
      </c>
      <c r="N27" s="22">
        <f>(N$2)*2150</f>
        <v>2150</v>
      </c>
      <c r="O27" s="23">
        <v>150</v>
      </c>
      <c r="P27" s="22">
        <f>(P$2)*4300</f>
        <v>4300</v>
      </c>
      <c r="Q27" s="23">
        <v>150</v>
      </c>
      <c r="R27" s="22">
        <f>(R$2)*8600</f>
        <v>8600</v>
      </c>
      <c r="S27" s="23">
        <v>150</v>
      </c>
      <c r="T27" s="50"/>
      <c r="U27" s="85"/>
      <c r="V27" s="50"/>
      <c r="W27" s="85"/>
      <c r="X27" s="17"/>
      <c r="Y27" s="17"/>
      <c r="Z27" s="17"/>
      <c r="AA27" s="17"/>
      <c r="AB27" s="17"/>
    </row>
    <row r="28" spans="1:28">
      <c r="A28" s="17"/>
      <c r="B28" s="22">
        <f>($B$2)*3.9</f>
        <v>3.9</v>
      </c>
      <c r="C28" s="23">
        <v>200</v>
      </c>
      <c r="D28" s="22">
        <f>(D$2)*19.5</f>
        <v>19.5</v>
      </c>
      <c r="E28" s="23">
        <v>200</v>
      </c>
      <c r="F28" s="22">
        <f>(F$2)*97.5</f>
        <v>97.5</v>
      </c>
      <c r="G28" s="23">
        <v>200</v>
      </c>
      <c r="H28" s="22">
        <f>(H$2)*331.5</f>
        <v>331.5</v>
      </c>
      <c r="I28" s="23">
        <v>200</v>
      </c>
      <c r="J28" s="22">
        <f>(J$2)*468</f>
        <v>468</v>
      </c>
      <c r="K28" s="23">
        <v>200</v>
      </c>
      <c r="L28" s="22">
        <f>(L$2)*780</f>
        <v>780</v>
      </c>
      <c r="M28" s="23">
        <v>200</v>
      </c>
      <c r="N28" s="22">
        <f>(N$2)*1950</f>
        <v>1950</v>
      </c>
      <c r="O28" s="23">
        <v>200</v>
      </c>
      <c r="P28" s="22">
        <f>(P$2)*3900</f>
        <v>3900</v>
      </c>
      <c r="Q28" s="23">
        <v>200</v>
      </c>
      <c r="R28" s="22">
        <f>(R$2)*7800</f>
        <v>7800</v>
      </c>
      <c r="S28" s="23">
        <v>200</v>
      </c>
      <c r="T28" s="50"/>
      <c r="U28" s="85"/>
      <c r="V28" s="50"/>
      <c r="W28" s="85"/>
      <c r="X28" s="17"/>
      <c r="Y28" s="17"/>
      <c r="Z28" s="17"/>
      <c r="AA28" s="17"/>
      <c r="AB28" s="17"/>
    </row>
    <row r="29" spans="1:28">
      <c r="A29" s="17"/>
      <c r="B29" s="22">
        <f>($B$2)*3.55</f>
        <v>3.55</v>
      </c>
      <c r="C29" s="23">
        <v>250</v>
      </c>
      <c r="D29" s="22">
        <f>(D$2)*17.75</f>
        <v>17.75</v>
      </c>
      <c r="E29" s="23">
        <v>250</v>
      </c>
      <c r="F29" s="22">
        <f>(F$2)*88.75</f>
        <v>88.75</v>
      </c>
      <c r="G29" s="23">
        <v>250</v>
      </c>
      <c r="H29" s="22">
        <f>(H$2)*301.75</f>
        <v>301.75</v>
      </c>
      <c r="I29" s="23">
        <v>250</v>
      </c>
      <c r="J29" s="22">
        <f>(J$2)*426</f>
        <v>426</v>
      </c>
      <c r="K29" s="23">
        <v>250</v>
      </c>
      <c r="L29" s="22">
        <f>(L$2)*710</f>
        <v>710</v>
      </c>
      <c r="M29" s="23">
        <v>250</v>
      </c>
      <c r="N29" s="22">
        <f>(N$2)*1775</f>
        <v>1775</v>
      </c>
      <c r="O29" s="23">
        <v>250</v>
      </c>
      <c r="P29" s="22">
        <f>(P$2)*3550</f>
        <v>3550</v>
      </c>
      <c r="Q29" s="23">
        <v>250</v>
      </c>
      <c r="R29" s="22">
        <f>(R$2)*7100</f>
        <v>7100</v>
      </c>
      <c r="S29" s="23">
        <v>250</v>
      </c>
      <c r="T29" s="50"/>
      <c r="U29" s="85"/>
      <c r="V29" s="50"/>
      <c r="W29" s="85"/>
      <c r="X29" s="17"/>
      <c r="Y29" s="17"/>
      <c r="Z29" s="17"/>
      <c r="AA29" s="17"/>
      <c r="AB29" s="17"/>
    </row>
    <row r="30" spans="1:28">
      <c r="A30" s="17"/>
      <c r="B30" s="22">
        <f>($B$2)*3.2</f>
        <v>3.2</v>
      </c>
      <c r="C30" s="23">
        <v>300</v>
      </c>
      <c r="D30" s="22">
        <f>(D$2)*16</f>
        <v>16</v>
      </c>
      <c r="E30" s="23">
        <v>300</v>
      </c>
      <c r="F30" s="22">
        <f>(F$2)*80</f>
        <v>80</v>
      </c>
      <c r="G30" s="23">
        <v>300</v>
      </c>
      <c r="H30" s="22">
        <f>(H$2)*272</f>
        <v>272</v>
      </c>
      <c r="I30" s="23">
        <v>300</v>
      </c>
      <c r="J30" s="22">
        <f>(J$2)*384</f>
        <v>384</v>
      </c>
      <c r="K30" s="23">
        <v>300</v>
      </c>
      <c r="L30" s="22">
        <f>(L$2)*640</f>
        <v>640</v>
      </c>
      <c r="M30" s="23">
        <v>300</v>
      </c>
      <c r="N30" s="22">
        <f>(N$2)*1600</f>
        <v>1600</v>
      </c>
      <c r="O30" s="23">
        <v>300</v>
      </c>
      <c r="P30" s="22">
        <f>(P$2)*3200</f>
        <v>3200</v>
      </c>
      <c r="Q30" s="23">
        <v>300</v>
      </c>
      <c r="R30" s="22">
        <f>(R$2)*6400</f>
        <v>6400</v>
      </c>
      <c r="S30" s="23">
        <v>300</v>
      </c>
      <c r="T30" s="50"/>
      <c r="U30" s="85"/>
      <c r="V30" s="50"/>
      <c r="W30" s="85"/>
      <c r="X30" s="17"/>
      <c r="Y30" s="17"/>
      <c r="Z30" s="17"/>
      <c r="AA30" s="17"/>
      <c r="AB30" s="17"/>
    </row>
    <row r="31" spans="1:28">
      <c r="A31" s="17"/>
      <c r="B31" s="22">
        <f>($B$2)*2.9</f>
        <v>2.9</v>
      </c>
      <c r="C31" s="23">
        <v>350</v>
      </c>
      <c r="D31" s="22">
        <f>(D$2)*14.5</f>
        <v>14.5</v>
      </c>
      <c r="E31" s="23">
        <v>350</v>
      </c>
      <c r="F31" s="22">
        <f>(F$2)*72.5</f>
        <v>72.5</v>
      </c>
      <c r="G31" s="23">
        <v>350</v>
      </c>
      <c r="H31" s="22">
        <f>(H$2)*246.5</f>
        <v>246.5</v>
      </c>
      <c r="I31" s="23">
        <v>350</v>
      </c>
      <c r="J31" s="22">
        <f>(J$2)*348</f>
        <v>348</v>
      </c>
      <c r="K31" s="23">
        <v>350</v>
      </c>
      <c r="L31" s="22">
        <f>(L$2)*580</f>
        <v>580</v>
      </c>
      <c r="M31" s="23">
        <v>350</v>
      </c>
      <c r="N31" s="22">
        <f>(N$2)*1450</f>
        <v>1450</v>
      </c>
      <c r="O31" s="23">
        <v>350</v>
      </c>
      <c r="P31" s="22">
        <f>(P$2)*2900</f>
        <v>2900</v>
      </c>
      <c r="Q31" s="23">
        <v>350</v>
      </c>
      <c r="R31" s="22">
        <f>(R$2)*5800</f>
        <v>5800</v>
      </c>
      <c r="S31" s="23">
        <v>350</v>
      </c>
      <c r="T31" s="50"/>
      <c r="U31" s="85"/>
      <c r="V31" s="50"/>
      <c r="W31" s="85"/>
      <c r="X31" s="17"/>
      <c r="Y31" s="17"/>
      <c r="Z31" s="17"/>
      <c r="AA31" s="17"/>
      <c r="AB31" s="17"/>
    </row>
    <row r="32" spans="1:28">
      <c r="A32" s="17"/>
      <c r="B32" s="22">
        <f>($B$2)*2.6</f>
        <v>2.6</v>
      </c>
      <c r="C32" s="23">
        <v>400</v>
      </c>
      <c r="D32" s="22">
        <f>(D$2)*13</f>
        <v>13</v>
      </c>
      <c r="E32" s="23">
        <v>400</v>
      </c>
      <c r="F32" s="22">
        <f>(F$2)*65</f>
        <v>65</v>
      </c>
      <c r="G32" s="23">
        <v>400</v>
      </c>
      <c r="H32" s="22">
        <f>(H$2)*221</f>
        <v>221</v>
      </c>
      <c r="I32" s="23">
        <v>400</v>
      </c>
      <c r="J32" s="22">
        <f>(J$2)*312</f>
        <v>312</v>
      </c>
      <c r="K32" s="23">
        <v>400</v>
      </c>
      <c r="L32" s="22">
        <f>(L$2)*520</f>
        <v>520</v>
      </c>
      <c r="M32" s="23">
        <v>400</v>
      </c>
      <c r="N32" s="22">
        <f>(N$2)*1300</f>
        <v>1300</v>
      </c>
      <c r="O32" s="23">
        <v>400</v>
      </c>
      <c r="P32" s="22">
        <f>(P$2)*2600</f>
        <v>2600</v>
      </c>
      <c r="Q32" s="23">
        <v>400</v>
      </c>
      <c r="R32" s="22">
        <f>(R$2)*5200</f>
        <v>5200</v>
      </c>
      <c r="S32" s="23">
        <v>400</v>
      </c>
      <c r="T32" s="50"/>
      <c r="U32" s="85"/>
      <c r="V32" s="50"/>
      <c r="W32" s="85"/>
      <c r="X32" s="17"/>
      <c r="Y32" s="17"/>
      <c r="Z32" s="17"/>
      <c r="AA32" s="17"/>
      <c r="AB32" s="17"/>
    </row>
    <row r="33" spans="1:31">
      <c r="A33" s="17"/>
      <c r="B33" s="22">
        <f>($B$2)*2.35</f>
        <v>2.35</v>
      </c>
      <c r="C33" s="23">
        <v>450</v>
      </c>
      <c r="D33" s="22">
        <f>(D$2)*11.75</f>
        <v>11.75</v>
      </c>
      <c r="E33" s="23">
        <v>450</v>
      </c>
      <c r="F33" s="22">
        <f>(F$2)*58.75</f>
        <v>58.75</v>
      </c>
      <c r="G33" s="23">
        <v>450</v>
      </c>
      <c r="H33" s="22">
        <f>(H$2)*199.75</f>
        <v>199.75</v>
      </c>
      <c r="I33" s="23">
        <v>450</v>
      </c>
      <c r="J33" s="22">
        <f>(J$2)*282</f>
        <v>282</v>
      </c>
      <c r="K33" s="23">
        <v>450</v>
      </c>
      <c r="L33" s="22">
        <f>(L$2)*470</f>
        <v>470</v>
      </c>
      <c r="M33" s="23">
        <v>450</v>
      </c>
      <c r="N33" s="22">
        <f>(N$2)*1175</f>
        <v>1175</v>
      </c>
      <c r="O33" s="23">
        <v>450</v>
      </c>
      <c r="P33" s="22">
        <f>(P$2)*2350</f>
        <v>2350</v>
      </c>
      <c r="Q33" s="23">
        <v>450</v>
      </c>
      <c r="R33" s="22">
        <f>(R$2)*4700</f>
        <v>4700</v>
      </c>
      <c r="S33" s="23">
        <v>450</v>
      </c>
      <c r="T33" s="50"/>
      <c r="U33" s="85"/>
      <c r="V33" s="50"/>
      <c r="W33" s="85"/>
      <c r="X33" s="17"/>
      <c r="Y33" s="17"/>
      <c r="Z33" s="17"/>
      <c r="AA33" s="17"/>
      <c r="AB33" s="17"/>
    </row>
    <row r="34" spans="1:31">
      <c r="A34" s="17"/>
      <c r="B34" s="22">
        <f>($B$2)*2.1</f>
        <v>2.1</v>
      </c>
      <c r="C34" s="23">
        <v>500</v>
      </c>
      <c r="D34" s="22">
        <f>(D$2)*10.5</f>
        <v>10.5</v>
      </c>
      <c r="E34" s="23">
        <v>500</v>
      </c>
      <c r="F34" s="22">
        <f>(F$2)*52.5</f>
        <v>52.5</v>
      </c>
      <c r="G34" s="23">
        <v>500</v>
      </c>
      <c r="H34" s="22">
        <f>(H$2)*178.5</f>
        <v>178.5</v>
      </c>
      <c r="I34" s="23">
        <v>500</v>
      </c>
      <c r="J34" s="22">
        <f>(J$2)*252</f>
        <v>252</v>
      </c>
      <c r="K34" s="23">
        <v>500</v>
      </c>
      <c r="L34" s="22">
        <f>(L$2)*420</f>
        <v>420</v>
      </c>
      <c r="M34" s="23">
        <v>500</v>
      </c>
      <c r="N34" s="22">
        <f>(N$2)*1050</f>
        <v>1050</v>
      </c>
      <c r="O34" s="23">
        <v>500</v>
      </c>
      <c r="P34" s="22">
        <f>(P$2)*2100</f>
        <v>2100</v>
      </c>
      <c r="Q34" s="23">
        <v>500</v>
      </c>
      <c r="R34" s="22">
        <f>(R$2)*4200</f>
        <v>4200</v>
      </c>
      <c r="S34" s="23">
        <v>500</v>
      </c>
      <c r="T34" s="50"/>
      <c r="U34" s="85"/>
      <c r="V34" s="50"/>
      <c r="W34" s="85"/>
      <c r="X34" s="17"/>
      <c r="Y34" s="17"/>
      <c r="Z34" s="17"/>
      <c r="AA34" s="17"/>
      <c r="AB34" s="17"/>
    </row>
    <row r="35" spans="1:31">
      <c r="A35" s="17"/>
      <c r="B35" s="22">
        <f>($B$2)*1.9</f>
        <v>1.9</v>
      </c>
      <c r="C35" s="23">
        <v>550</v>
      </c>
      <c r="D35" s="22">
        <f>(D$2)*9.5</f>
        <v>9.5</v>
      </c>
      <c r="E35" s="23">
        <v>550</v>
      </c>
      <c r="F35" s="22">
        <f>(F$2)*47.5</f>
        <v>47.5</v>
      </c>
      <c r="G35" s="23">
        <v>550</v>
      </c>
      <c r="H35" s="22">
        <f>(H$2)*161.5</f>
        <v>161.5</v>
      </c>
      <c r="I35" s="23">
        <v>550</v>
      </c>
      <c r="J35" s="22">
        <f>(J$2)*228</f>
        <v>228</v>
      </c>
      <c r="K35" s="23">
        <v>550</v>
      </c>
      <c r="L35" s="22">
        <f>(L$2)*380</f>
        <v>380</v>
      </c>
      <c r="M35" s="23">
        <v>550</v>
      </c>
      <c r="N35" s="22">
        <f>(N$2)*950</f>
        <v>950</v>
      </c>
      <c r="O35" s="23">
        <v>550</v>
      </c>
      <c r="P35" s="22">
        <f>(P$2)*1900</f>
        <v>1900</v>
      </c>
      <c r="Q35" s="23">
        <v>550</v>
      </c>
      <c r="R35" s="22">
        <f>(R$2)*3800</f>
        <v>3800</v>
      </c>
      <c r="S35" s="23">
        <v>550</v>
      </c>
      <c r="T35" s="50"/>
      <c r="U35" s="85"/>
      <c r="V35" s="50"/>
      <c r="W35" s="85"/>
      <c r="X35" s="17"/>
      <c r="Y35" s="17"/>
      <c r="Z35" s="17"/>
      <c r="AA35" s="17"/>
      <c r="AB35" s="17"/>
    </row>
    <row r="36" spans="1:31">
      <c r="A36" s="17"/>
      <c r="B36" s="22">
        <f>($B$2)*1.7</f>
        <v>1.7</v>
      </c>
      <c r="C36" s="23">
        <v>600</v>
      </c>
      <c r="D36" s="22">
        <f>(D$2)*8.5</f>
        <v>8.5</v>
      </c>
      <c r="E36" s="23">
        <v>600</v>
      </c>
      <c r="F36" s="22">
        <f>(F$2)*42.5</f>
        <v>42.5</v>
      </c>
      <c r="G36" s="23">
        <v>600</v>
      </c>
      <c r="H36" s="22">
        <f>(H$2)*144.5</f>
        <v>144.5</v>
      </c>
      <c r="I36" s="23">
        <v>600</v>
      </c>
      <c r="J36" s="22">
        <f>(J$2)*204</f>
        <v>204</v>
      </c>
      <c r="K36" s="23">
        <v>600</v>
      </c>
      <c r="L36" s="22">
        <f>(L$2)*340</f>
        <v>340</v>
      </c>
      <c r="M36" s="23">
        <v>600</v>
      </c>
      <c r="N36" s="22">
        <f>(N$2)*850</f>
        <v>850</v>
      </c>
      <c r="O36" s="23">
        <v>600</v>
      </c>
      <c r="P36" s="22">
        <f>(P$2)*1700</f>
        <v>1700</v>
      </c>
      <c r="Q36" s="23">
        <v>600</v>
      </c>
      <c r="R36" s="22">
        <f>(R$2)*3400</f>
        <v>3400</v>
      </c>
      <c r="S36" s="23">
        <v>600</v>
      </c>
      <c r="T36" s="50"/>
      <c r="U36" s="85"/>
      <c r="V36" s="50"/>
      <c r="W36" s="85"/>
      <c r="X36" s="17"/>
      <c r="Y36" s="17"/>
      <c r="Z36" s="17"/>
      <c r="AA36" s="17"/>
      <c r="AB36" s="17"/>
    </row>
    <row r="37" spans="1:31">
      <c r="A37" s="17"/>
      <c r="B37" s="22">
        <f>($B$2)*1.5</f>
        <v>1.5</v>
      </c>
      <c r="C37" s="23">
        <v>650</v>
      </c>
      <c r="D37" s="22">
        <f>(D$2)*7.5</f>
        <v>7.5</v>
      </c>
      <c r="E37" s="23">
        <v>650</v>
      </c>
      <c r="F37" s="22">
        <f>(F$2)*37.5</f>
        <v>37.5</v>
      </c>
      <c r="G37" s="23">
        <v>650</v>
      </c>
      <c r="H37" s="22">
        <f>(H$2)*127.5</f>
        <v>127.5</v>
      </c>
      <c r="I37" s="23">
        <v>650</v>
      </c>
      <c r="J37" s="22">
        <f>(J$2)*180</f>
        <v>180</v>
      </c>
      <c r="K37" s="23">
        <v>650</v>
      </c>
      <c r="L37" s="22">
        <f>(L$2)*300</f>
        <v>300</v>
      </c>
      <c r="M37" s="23">
        <v>650</v>
      </c>
      <c r="N37" s="22">
        <f>(N$2)*750</f>
        <v>750</v>
      </c>
      <c r="O37" s="23">
        <v>650</v>
      </c>
      <c r="P37" s="22">
        <f>(P$2)*1500</f>
        <v>1500</v>
      </c>
      <c r="Q37" s="23">
        <v>650</v>
      </c>
      <c r="R37" s="22">
        <f>(R$2)*3000</f>
        <v>3000</v>
      </c>
      <c r="S37" s="23">
        <v>650</v>
      </c>
      <c r="T37" s="50"/>
      <c r="U37" s="85"/>
      <c r="V37" s="50"/>
      <c r="W37" s="85"/>
      <c r="X37" s="17"/>
      <c r="Y37" s="17"/>
      <c r="Z37" s="17"/>
      <c r="AA37" s="17"/>
      <c r="AB37" s="17"/>
    </row>
    <row r="38" spans="1:31">
      <c r="A38" s="17"/>
      <c r="B38" s="22">
        <f>($B$2)*1.32</f>
        <v>1.32</v>
      </c>
      <c r="C38" s="23">
        <v>700</v>
      </c>
      <c r="D38" s="22">
        <f>(D$2)*6.6</f>
        <v>6.6</v>
      </c>
      <c r="E38" s="23">
        <v>700</v>
      </c>
      <c r="F38" s="22">
        <f>(F$2)*33</f>
        <v>33</v>
      </c>
      <c r="G38" s="23">
        <v>700</v>
      </c>
      <c r="H38" s="22">
        <f>(H$2)*112.2</f>
        <v>112.2</v>
      </c>
      <c r="I38" s="23">
        <v>700</v>
      </c>
      <c r="J38" s="22">
        <f>(J$2)*158.4</f>
        <v>158.4</v>
      </c>
      <c r="K38" s="23">
        <v>700</v>
      </c>
      <c r="L38" s="22">
        <f>(L$2)*264</f>
        <v>264</v>
      </c>
      <c r="M38" s="23">
        <v>700</v>
      </c>
      <c r="N38" s="22">
        <f>(N$2)*660</f>
        <v>660</v>
      </c>
      <c r="O38" s="23">
        <v>700</v>
      </c>
      <c r="P38" s="22">
        <f>(P$2)*1320</f>
        <v>1320</v>
      </c>
      <c r="Q38" s="23">
        <v>700</v>
      </c>
      <c r="R38" s="22">
        <f>(R$2)*2640</f>
        <v>2640</v>
      </c>
      <c r="S38" s="23">
        <v>700</v>
      </c>
      <c r="T38" s="50"/>
      <c r="U38" s="85"/>
      <c r="V38" s="50"/>
      <c r="W38" s="85"/>
      <c r="X38" s="17"/>
      <c r="Y38" s="17"/>
      <c r="Z38" s="17"/>
      <c r="AA38" s="17"/>
      <c r="AB38" s="17"/>
    </row>
    <row r="39" spans="1:31">
      <c r="A39" s="17"/>
      <c r="B39" s="22">
        <f>($B$2)*1.15</f>
        <v>1.1499999999999999</v>
      </c>
      <c r="C39" s="23">
        <v>750</v>
      </c>
      <c r="D39" s="22">
        <f>(D$2)*5.75</f>
        <v>5.75</v>
      </c>
      <c r="E39" s="23">
        <v>750</v>
      </c>
      <c r="F39" s="22">
        <f>(F$2)*28.75</f>
        <v>28.75</v>
      </c>
      <c r="G39" s="23">
        <v>750</v>
      </c>
      <c r="H39" s="22">
        <f>(H$2)*97.75</f>
        <v>97.75</v>
      </c>
      <c r="I39" s="23">
        <v>750</v>
      </c>
      <c r="J39" s="22">
        <f>(J$2)*138</f>
        <v>138</v>
      </c>
      <c r="K39" s="23">
        <v>750</v>
      </c>
      <c r="L39" s="22">
        <f>(L$2)*230</f>
        <v>230</v>
      </c>
      <c r="M39" s="23">
        <v>750</v>
      </c>
      <c r="N39" s="22">
        <f>(N$2)*575</f>
        <v>575</v>
      </c>
      <c r="O39" s="23">
        <v>750</v>
      </c>
      <c r="P39" s="22">
        <f>(P$2)*1150</f>
        <v>1150</v>
      </c>
      <c r="Q39" s="23">
        <v>750</v>
      </c>
      <c r="R39" s="22">
        <f>(R$2)*2300</f>
        <v>2300</v>
      </c>
      <c r="S39" s="23">
        <v>750</v>
      </c>
      <c r="T39" s="50"/>
      <c r="U39" s="85"/>
      <c r="V39" s="50"/>
      <c r="W39" s="85"/>
      <c r="X39" s="17"/>
      <c r="Y39" s="17"/>
      <c r="Z39" s="17"/>
      <c r="AA39" s="17"/>
      <c r="AB39" s="17"/>
    </row>
    <row r="40" spans="1:31" ht="15.75" thickBot="1">
      <c r="A40" s="17"/>
      <c r="B40" s="24">
        <f>($B$2)*1</f>
        <v>1</v>
      </c>
      <c r="C40" s="25">
        <v>800</v>
      </c>
      <c r="D40" s="24">
        <f>(D$2)*5</f>
        <v>5</v>
      </c>
      <c r="E40" s="25">
        <v>800</v>
      </c>
      <c r="F40" s="24">
        <f>(F$2)*25</f>
        <v>25</v>
      </c>
      <c r="G40" s="25">
        <v>800</v>
      </c>
      <c r="H40" s="24">
        <f>(H$2)*85</f>
        <v>85</v>
      </c>
      <c r="I40" s="25">
        <v>800</v>
      </c>
      <c r="J40" s="24">
        <f>(J$2)*120</f>
        <v>120</v>
      </c>
      <c r="K40" s="25">
        <v>800</v>
      </c>
      <c r="L40" s="24">
        <f>(L$2)*200</f>
        <v>200</v>
      </c>
      <c r="M40" s="25">
        <v>800</v>
      </c>
      <c r="N40" s="24">
        <f>(N$2)*500</f>
        <v>500</v>
      </c>
      <c r="O40" s="25">
        <v>800</v>
      </c>
      <c r="P40" s="24">
        <f>(P$2)*1000</f>
        <v>1000</v>
      </c>
      <c r="Q40" s="25">
        <v>800</v>
      </c>
      <c r="R40" s="24">
        <f>(R$2)*2000</f>
        <v>2000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10</v>
      </c>
      <c r="C41" s="46"/>
      <c r="D41" s="45" cm="1">
        <f t="array" ref="D41">IF(VLOOKUP(Input!$D$15,E$6:E$40,1,TRUE)=Input!$D$15,INDEX(D$6:D$40,MATCH(VLOOKUP(Input!$D$15,E$6:E$40,1,TRUE),E$6:E$40)),INDEX(D$6:D$40,MATCH(VLOOKUP(Input!$D$15,E$6:E$40,1,TRUE),E$6:E$40)+1))</f>
        <v>50</v>
      </c>
      <c r="E41" s="46"/>
      <c r="F41" s="45" cm="1">
        <f t="array" ref="F41">IF(VLOOKUP(Input!$D$15,G$6:G$40,1,TRUE)=Input!$D$15,INDEX(F$6:F$40,MATCH(VLOOKUP(Input!$D$15,G$6:G$40,1,TRUE),G$6:G$40)),INDEX(F$6:F$40,MATCH(VLOOKUP(Input!$D$15,G$6:G$40,1,TRUE),G$6:G$40)+1))</f>
        <v>250</v>
      </c>
      <c r="G41" s="46"/>
      <c r="H41" s="45" cm="1">
        <f t="array" ref="H41">IF(VLOOKUP(Input!$D$15,I$6:I$40,1,TRUE)=Input!$D$15,INDEX(H$6:H$40,MATCH(VLOOKUP(Input!$D$15,I$6:I$40,1,TRUE),I$6:I$40)),INDEX(H$6:H$40,MATCH(VLOOKUP(Input!$D$15,I$6:I$40,1,TRUE),I$6:I$40)+1))</f>
        <v>850</v>
      </c>
      <c r="I41" s="46"/>
      <c r="J41" s="45" cm="1">
        <f t="array" ref="J41">IF(VLOOKUP(Input!$D$15,K$6:K$40,1,TRUE)=Input!$D$15,INDEX(J$6:J$40,MATCH(VLOOKUP(Input!$D$15,K$6:K$40,1,TRUE),K$6:K$40)),INDEX(J$6:J$40,MATCH(VLOOKUP(Input!$D$15,K$6:K$40,1,TRUE),K$6:K$40)+1))</f>
        <v>1200</v>
      </c>
      <c r="K41" s="46"/>
      <c r="L41" s="45" cm="1">
        <f t="array" ref="L41">IF(VLOOKUP(Input!$D$15,M$6:M$40,1,TRUE)=Input!$D$15,INDEX(L$6:L$40,MATCH(VLOOKUP(Input!$D$15,M$6:M$40,1,TRUE),M$6:M$40)),INDEX(L$6:L$40,MATCH(VLOOKUP(Input!$D$15,M$6:M$40,1,TRUE),M$6:M$40)+1))</f>
        <v>2000</v>
      </c>
      <c r="M41" s="46"/>
      <c r="N41" s="45" cm="1">
        <f t="array" ref="N41">IF(VLOOKUP(Input!$D$15,O$6:O$40,1,TRUE)=Input!$D$15,INDEX(N$6:N$40,MATCH(VLOOKUP(Input!$D$15,O$6:O$40,1,TRUE),O$6:O$40)),INDEX(N$6:N$40,MATCH(VLOOKUP(Input!$D$15,O$6:O$40,1,TRUE),O$6:O$40)+1))</f>
        <v>5000</v>
      </c>
      <c r="O41" s="46"/>
      <c r="P41" s="45" cm="1">
        <f t="array" ref="P41">IF(VLOOKUP(Input!$D$15,Q$6:Q$40,1,TRUE)=Input!$D$15,INDEX(P$6:P$40,MATCH(VLOOKUP(Input!$D$15,Q$6:Q$40,1,TRUE),Q$6:Q$40)),INDEX(P$6:P$40,MATCH(VLOOKUP(Input!$D$15,Q$6:Q$40,1,TRUE),Q$6:Q$40)+1))</f>
        <v>10000</v>
      </c>
      <c r="Q41" s="46"/>
      <c r="R41" s="45" cm="1">
        <f t="array" ref="R41">IF(VLOOKUP(Input!$D$15,S$6:S$40,1,TRUE)=Input!$D$15,INDEX(R$6:R$40,MATCH(VLOOKUP(Input!$D$15,S$6:S$40,1,TRUE),S$6:S$40)),INDEX(R$6:R$40,MATCH(VLOOKUP(Input!$D$15,S$6:S$40,1,TRUE),S$6:S$40)+1))</f>
        <v>20000</v>
      </c>
      <c r="S41" s="17"/>
      <c r="T41" s="45" cm="1">
        <f t="array" ref="T41">IF(VLOOKUP(Input!$D$15,U$6:U$40,1,TRUE)=Input!$D$15,INDEX(T$6:T$40,MATCH(VLOOKUP(Input!$D$15,U$6:U$40,1,TRUE),U$6:U$40)),INDEX(T$6:T$40,MATCH(VLOOKUP(Input!$D$15,U$6:U$40,1,TRUE),U$6:U$40)+1))</f>
        <v>30000</v>
      </c>
      <c r="U41" s="17"/>
      <c r="V41" s="45" cm="1">
        <f t="array" ref="V41">IF(VLOOKUP(Input!$D$15,W$6:W$40,1,TRUE)=Input!$D$15,INDEX(V$6:V$40,MATCH(VLOOKUP(Input!$D$15,W$6:W$40,1,TRUE),W$6:W$40)),INDEX(V$6:V$40,MATCH(VLOOKUP(Input!$D$15,W$6:W$40,1,TRUE),W$6:W$40)+1))</f>
        <v>50000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R$41&lt;Input!D12,"N/A",IF(Input!D12&lt;=ZG!$B$41,ZG!$B$5,IF(Input!D12&lt;=ZG!$D$41,ZG!$D$5,IF(Input!D12&lt;=ZG!$F$41,ZG!$F$5,IF(Input!D12&lt;=ZG!$H$41,ZG!$H$5,IF(Input!D12&lt;=ZG!$J$41,ZG!$J$5,IF(Input!D12&lt;=ZG!$L$41,ZG!$L$5,IF(Input!D12&lt;=ZG!$N$41,$N$5,IF(Input!D12&lt;=ZG!$P$41,ZG!$P$5,IF(Input!D12&lt;=ZG!$R$41,ZG!$R$5,))))))))))</f>
        <v>ZG7</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ZG7</v>
      </c>
      <c r="F44" s="47" t="str">
        <f>IF(Input!D12&lt;=ZG!$B$41,ZG!$B$5,IF(Input!D12&lt;=ZG!$D$41,ZG!$D$5,IF(Input!D12&lt;=ZG!$F$41,ZG!$F$5,IF(Input!D12&lt;=ZG!$H$41,ZG!$H$5,IF(Input!D12&lt;=ZG!$J$41,ZG!$J$5,IF(Input!D12&lt;=ZG!$L$41,ZG!$L$5,IF(Input!D12&lt;=ZG!$N$41,$N$5,IF(Input!D12&lt;=ZG!$P$41,ZG!$P$5,IF(Input!D12&lt;=ZG!$R$41,ZG!$R$5,)))))))))</f>
        <v>ZG7</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284"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284"/>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490</v>
      </c>
      <c r="Y49" s="227" t="s">
        <v>240</v>
      </c>
      <c r="Z49" s="229">
        <f>$X$49</f>
        <v>490</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284"/>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0.31628036890273814</v>
      </c>
      <c r="Y50" s="17" t="s">
        <v>9</v>
      </c>
      <c r="Z50" s="230">
        <f>IF($X$50="N/A",
           "N/A",
             $X$50/0.264172)</f>
        <v>1.1972516727841638</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284"/>
      <c r="W51" s="132" t="s">
        <v>10</v>
      </c>
      <c r="X51" s="247">
        <f>IF($B$45=0,
IF($X$49=$B$44,"N/A",3.14*VLOOKUP($B$44,$B$48:$N$69,3,FALSE)/1000*$X$49/60),
3.14*VLOOKUP($B$45,$B$48:$N$69,3,FALSE)/1000*$X$49/60)</f>
        <v>4.5388699999999993</v>
      </c>
      <c r="Y51" s="228" t="s">
        <v>11</v>
      </c>
      <c r="Z51" s="231">
        <f>IF($X$51="N/A",
           "N/A",
            $X$51*196.85)</f>
        <v>893.47655949999978</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284"/>
      <c r="W52" s="190" t="s">
        <v>386</v>
      </c>
      <c r="X52" s="242">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2.1666666666666665</v>
      </c>
      <c r="Y52" s="17" t="s">
        <v>266</v>
      </c>
      <c r="Z52" s="243">
        <f>$X$52</f>
        <v>2.1666666666666665</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284"/>
      <c r="W53" s="190" t="s">
        <v>387</v>
      </c>
      <c r="X53" s="242">
        <f>IF(OR($X$60=0,$X$60="N/A"),
         "N/A",
          (IF(AND(OR((ROUND(MOD($X$63,1)*60,-1))=60,(ROUND(MOD($X$63,1)*60,-1))=0),ROUND($X$63,0)&gt;=1),
                                            ROUND($X$63,0),
                                            IF(AND(ROUND($X$63,1)&lt;1,(ROUND(MOD($X$63,1)*60,-1))&lt;&gt;0),
                                            ROUND(MOD($X$63,1)*60,-1)/60,
                                            (($X$63-MOD($X$63,1))+ROUND(MOD($X$63,1)*60,-1)/60)))))</f>
        <v>3.6666666666666665</v>
      </c>
      <c r="Y53" s="17" t="s">
        <v>266</v>
      </c>
      <c r="Z53" s="243">
        <f>$X$53</f>
        <v>3.6666666666666665</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2min 10s - 3min 40s</v>
      </c>
      <c r="Y54" s="59"/>
      <c r="Z54" s="244" t="str">
        <f>X54</f>
        <v>2min 10s - 3min 40s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284" t="s">
        <v>247</v>
      </c>
      <c r="W55" s="131" t="s">
        <v>250</v>
      </c>
      <c r="X55" s="184">
        <f>IF(Input!$E$27=0,$X$49,Input!$E$27)</f>
        <v>490</v>
      </c>
      <c r="Y55" s="85" t="s">
        <v>240</v>
      </c>
      <c r="Z55" s="185">
        <f>$X$55</f>
        <v>490</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284"/>
      <c r="W56" s="132" t="s">
        <v>8</v>
      </c>
      <c r="X56" s="178">
        <f>IF($B$45=0,
IF($B$44=$X$49,"N/A",(VLOOKUP($B$44,ZG!$B$48:$N$69,4,FALSE)*Input!$D$14*($X$55/60)^3*(((VLOOKUP($B$44,ZG!$B$48:$N$69,3,FALSE))/1000)^5)/Input!$D$12)),
(VLOOKUP($B$45,ZG!$B$48:$N$69,4,FALSE)*Input!$D$14*($X$55/60)^3*(((VLOOKUP($B$45,ZG!$B$48:$N$69,3,FALSE))/1000)^5)/Input!$D$12))</f>
        <v>0.31628036890273814</v>
      </c>
      <c r="Y56" s="85" t="s">
        <v>9</v>
      </c>
      <c r="Z56" s="181">
        <f>IF($X$56="N/A",
           "N/A",
            $X$56/0.264172)</f>
        <v>1.1972516727841638</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284"/>
      <c r="W57" s="132" t="s">
        <v>251</v>
      </c>
      <c r="X57" s="179">
        <f>IF($B$45=0,
IF($X$49=$B$44,"N/A",3.14*VLOOKUP($B$44,$B$48:$N$69,3,FALSE)/1000*$X$55/60),
3.14*VLOOKUP($B$45,$B$48:$N$69,3,FALSE)/1000*$X$55/60)</f>
        <v>4.5388699999999993</v>
      </c>
      <c r="Y57" s="136" t="s">
        <v>11</v>
      </c>
      <c r="Z57" s="182">
        <f>IF($X$57="N/A",
           "N/A",
            $X$57*196.85)</f>
        <v>893.47655949999978</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284"/>
      <c r="W58" s="153" t="s">
        <v>256</v>
      </c>
      <c r="X58" s="180" t="str">
        <f>IF(OR($X$60=0,$X$60="N/A"),
         "N/A",
           IF(Input!$D$12/$X$61*5&lt;0.5,
                    0.5,
                    CONCATENATE(MROUND(Input!$D$12/$X$61*3,0.5)," - ",MROUND(Input!$D$12/$X$61*5,0.5))))</f>
        <v>2 - 3,5</v>
      </c>
      <c r="Y58" s="137" t="s">
        <v>266</v>
      </c>
      <c r="Z58" s="183" t="str">
        <f>$X$58</f>
        <v>2 - 3,5</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58"/>
      <c r="T59" s="52"/>
      <c r="U59" s="17"/>
      <c r="V59" s="17"/>
      <c r="W59" s="156" t="s">
        <v>226</v>
      </c>
      <c r="X59" s="241">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41">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2717.16417</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41">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2717.16417</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41">
        <f>IF(OR($X$60=0,AND($B$45=0,$B$44="N/A")),
          "N/A",
           IF(Input!$D$24="Metric",Input!$D$12,Input!$F$12/0.264172)/$X$60*3)</f>
        <v>2.2081845720790585</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41">
        <f>IF(OR($X$60=0,AND($B$45=0,$B$44="N/A")),
          "N/A",
            IF(Input!$D$24="Metric",Input!$D$12,Input!$F$12/0.264172)/$X$60*5)</f>
        <v>3.6803076201317642</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20000</v>
      </c>
      <c r="H64" s="37">
        <f t="shared" si="2"/>
        <v>2390.4856186622883</v>
      </c>
      <c r="I64" s="41">
        <v>100</v>
      </c>
      <c r="J64" s="42">
        <f t="shared" si="0"/>
        <v>93.170396622882407</v>
      </c>
      <c r="K64" s="102">
        <f t="shared" si="1"/>
        <v>0.11952428093311442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20000</v>
      </c>
      <c r="H65" s="143">
        <f>$E65*$F65*($C65/60)^3*($D65/1000)^5</f>
        <v>2390.4856186622883</v>
      </c>
      <c r="I65" s="144">
        <v>100</v>
      </c>
      <c r="J65" s="147">
        <f>9549*H65/C65/1000</f>
        <v>93.170396622882407</v>
      </c>
      <c r="K65" s="143">
        <f>H65/G65</f>
        <v>0.11952428093311442</v>
      </c>
      <c r="L65" s="145">
        <f t="shared" si="3"/>
        <v>4.4875833333333333</v>
      </c>
      <c r="M65" s="146">
        <v>229.5</v>
      </c>
      <c r="N65" s="141">
        <v>1.1499999999999999</v>
      </c>
      <c r="O65" s="141">
        <v>40</v>
      </c>
      <c r="P65" s="17"/>
      <c r="Q65" s="17"/>
      <c r="R65" s="17"/>
      <c r="S65" s="17"/>
      <c r="T65" s="17"/>
      <c r="U65" s="17"/>
      <c r="V65" s="17"/>
      <c r="W65" s="85"/>
      <c r="X65" s="285" t="s">
        <v>245</v>
      </c>
      <c r="Y65" s="286"/>
      <c r="Z65" s="17"/>
      <c r="AA65" s="17"/>
      <c r="AB65" s="17"/>
    </row>
    <row r="66" spans="1:28" ht="30.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1cP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0.73606152402635283</v>
      </c>
      <c r="Y68" s="177">
        <f>IF(OR($X$61=0,$X$61="N/A"),
         "N/A",
           Input!$D$12/$X$61*$W68)</f>
        <v>0.73606152402635283</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1.4721230480527057</v>
      </c>
      <c r="Y69" s="177">
        <f>IF(OR($X$61=0,$X$61="N/A"),
         "N/A",
           Input!$D$12/$X$61*$W69)</f>
        <v>1.4721230480527057</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2.2081845720790585</v>
      </c>
      <c r="Y70" s="177">
        <f>IF(OR($X$61=0,$X$61="N/A"),
         "N/A",
           Input!$D$12/$X$61*$W70)</f>
        <v>2.2081845720790585</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2.9442460961054113</v>
      </c>
      <c r="Y71" s="177">
        <f>IF(OR($X$61=0,$X$61="N/A"),
         "N/A",
           Input!$D$12/$X$61*$W71)</f>
        <v>2.9442460961054113</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3.6803076201317642</v>
      </c>
      <c r="Y72" s="177">
        <f>IF(OR($X$61=0,$X$61="N/A"),
         "N/A",
           Input!$D$12/$X$61*$W72)</f>
        <v>3.6803076201317642</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4.416369144158117</v>
      </c>
      <c r="Y73" s="177">
        <f>IF(OR($X$61=0,$X$61="N/A"),
         "N/A",
           Input!$D$12/$X$61*$W73)</f>
        <v>4.416369144158117</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5.1524306681844703</v>
      </c>
      <c r="Y74" s="177">
        <f>IF(OR($X$61=0,$X$61="N/A"),
         "N/A",
           Input!$D$12/$X$61*$W74)</f>
        <v>5.1524306681844703</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5.8884921922108227</v>
      </c>
      <c r="Y75" s="177">
        <f>IF(OR($X$61=0,$X$61="N/A"),
         "N/A",
           Input!$D$12/$X$61*$W75)</f>
        <v>5.8884921922108227</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6.624553716237175</v>
      </c>
      <c r="Y76" s="177">
        <f>IF(OR($X$61=0,$X$61="N/A"),
         "N/A",
           Input!$D$12/$X$61*$W76)</f>
        <v>6.624553716237175</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7.3606152402635283</v>
      </c>
      <c r="Y77" s="177">
        <f>IF(OR($X$61=0,$X$61="N/A"),
         "N/A",
           Input!$D$12/$X$61*$W77)</f>
        <v>7.3606152402635283</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disablePrompts="1"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E30" zoomScale="85" zoomScaleNormal="85" workbookViewId="0">
      <selection activeCell="X49" sqref="X49:X50"/>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287"/>
      <c r="C1" s="288"/>
      <c r="D1" s="287"/>
      <c r="E1" s="288"/>
      <c r="F1" s="17"/>
      <c r="G1" s="17"/>
      <c r="H1" s="287"/>
      <c r="I1" s="288"/>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50</v>
      </c>
      <c r="C6" s="21">
        <v>1</v>
      </c>
      <c r="D6" s="20">
        <f>($D$2)*850</f>
        <v>850</v>
      </c>
      <c r="E6" s="21">
        <v>1</v>
      </c>
      <c r="F6" s="48">
        <f>($F$2)*2000</f>
        <v>2000</v>
      </c>
      <c r="G6" s="49">
        <v>1</v>
      </c>
      <c r="H6" s="48">
        <f>($H$2)*5000</f>
        <v>5000</v>
      </c>
      <c r="I6" s="21">
        <v>1</v>
      </c>
      <c r="J6" s="17"/>
      <c r="K6" s="46"/>
      <c r="L6" s="17"/>
      <c r="M6" s="17"/>
      <c r="N6" s="17"/>
      <c r="O6" s="17"/>
      <c r="P6" s="17"/>
      <c r="Q6" s="17"/>
      <c r="R6" s="17"/>
      <c r="S6" s="17"/>
      <c r="T6" s="17"/>
      <c r="U6" s="17"/>
      <c r="V6" s="17"/>
      <c r="W6" s="17"/>
      <c r="X6" s="17"/>
      <c r="Y6" s="17"/>
      <c r="Z6" s="17"/>
      <c r="AA6" s="17"/>
      <c r="AB6" s="17"/>
    </row>
    <row r="7" spans="1:28">
      <c r="A7" s="17"/>
      <c r="B7" s="22">
        <f>($B$2)*45.5</f>
        <v>45.5</v>
      </c>
      <c r="C7" s="23">
        <v>5</v>
      </c>
      <c r="D7" s="22">
        <f>($D$2)*773.5</f>
        <v>773.5</v>
      </c>
      <c r="E7" s="23">
        <v>5</v>
      </c>
      <c r="F7" s="50">
        <f>($F$2)*1820</f>
        <v>1820</v>
      </c>
      <c r="G7" s="85">
        <v>5</v>
      </c>
      <c r="H7" s="50">
        <f>($H$2)*4550</f>
        <v>4550</v>
      </c>
      <c r="I7" s="23">
        <v>5</v>
      </c>
      <c r="J7" s="17"/>
      <c r="K7" s="46"/>
      <c r="L7" s="17"/>
      <c r="M7" s="17"/>
      <c r="N7" s="17"/>
      <c r="O7" s="17"/>
      <c r="P7" s="17"/>
      <c r="Q7" s="17"/>
      <c r="R7" s="17"/>
      <c r="S7" s="17"/>
      <c r="T7" s="17"/>
      <c r="U7" s="17"/>
      <c r="V7" s="17"/>
      <c r="W7" s="17"/>
      <c r="X7" s="17"/>
      <c r="Y7" s="17"/>
      <c r="Z7" s="17"/>
      <c r="AA7" s="17"/>
      <c r="AB7" s="17"/>
    </row>
    <row r="8" spans="1:28">
      <c r="A8" s="17"/>
      <c r="B8" s="22">
        <f>($B$2)*41.5</f>
        <v>41.5</v>
      </c>
      <c r="C8" s="23">
        <v>10</v>
      </c>
      <c r="D8" s="22">
        <f>($D$2)*705.5</f>
        <v>705.5</v>
      </c>
      <c r="E8" s="23">
        <v>10</v>
      </c>
      <c r="F8" s="50">
        <f>($F$2)*1660</f>
        <v>1660</v>
      </c>
      <c r="G8" s="85">
        <v>10</v>
      </c>
      <c r="H8" s="50">
        <f>($H$2)*4150</f>
        <v>4150</v>
      </c>
      <c r="I8" s="23">
        <v>10</v>
      </c>
      <c r="J8" s="17"/>
      <c r="K8" s="46"/>
      <c r="L8" s="17"/>
      <c r="M8" s="17"/>
      <c r="N8" s="17"/>
      <c r="O8" s="17"/>
      <c r="P8" s="17"/>
      <c r="Q8" s="17"/>
      <c r="R8" s="17"/>
      <c r="S8" s="17"/>
      <c r="T8" s="17"/>
      <c r="U8" s="17"/>
      <c r="V8" s="17"/>
      <c r="W8" s="17"/>
      <c r="X8" s="17"/>
      <c r="Y8" s="17"/>
      <c r="Z8" s="17"/>
      <c r="AA8" s="17"/>
      <c r="AB8" s="17"/>
    </row>
    <row r="9" spans="1:28">
      <c r="A9" s="17"/>
      <c r="B9" s="22">
        <f>($B$2)*38.5</f>
        <v>38.5</v>
      </c>
      <c r="C9" s="23">
        <v>15</v>
      </c>
      <c r="D9" s="22">
        <f>($D$2)*654.5</f>
        <v>654.5</v>
      </c>
      <c r="E9" s="23">
        <v>15</v>
      </c>
      <c r="F9" s="50">
        <f>($F$2)*1540</f>
        <v>1540</v>
      </c>
      <c r="G9" s="85">
        <v>15</v>
      </c>
      <c r="H9" s="50">
        <f>($H$2)*3850</f>
        <v>3850</v>
      </c>
      <c r="I9" s="23">
        <v>15</v>
      </c>
      <c r="J9" s="17"/>
      <c r="K9" s="46"/>
      <c r="L9" s="17"/>
      <c r="M9" s="17"/>
      <c r="N9" s="17"/>
      <c r="O9" s="17"/>
      <c r="P9" s="17"/>
      <c r="Q9" s="17"/>
      <c r="R9" s="17"/>
      <c r="S9" s="17"/>
      <c r="T9" s="17"/>
      <c r="U9" s="17"/>
      <c r="V9" s="17"/>
      <c r="W9" s="17"/>
      <c r="X9" s="17"/>
      <c r="Y9" s="17"/>
      <c r="Z9" s="17"/>
      <c r="AA9" s="17"/>
      <c r="AB9" s="17"/>
    </row>
    <row r="10" spans="1:28">
      <c r="A10" s="17"/>
      <c r="B10" s="22">
        <f>($B$2)*36</f>
        <v>36</v>
      </c>
      <c r="C10" s="23">
        <v>20</v>
      </c>
      <c r="D10" s="22">
        <f>($D$2)*612</f>
        <v>612</v>
      </c>
      <c r="E10" s="23">
        <v>20</v>
      </c>
      <c r="F10" s="50">
        <f>($F$2)*1440</f>
        <v>1440</v>
      </c>
      <c r="G10" s="85">
        <v>20</v>
      </c>
      <c r="H10" s="50">
        <f>($H$2)*3600</f>
        <v>3600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34</v>
      </c>
      <c r="C11" s="23">
        <v>25</v>
      </c>
      <c r="D11" s="22">
        <f>($D$2)*578</f>
        <v>578</v>
      </c>
      <c r="E11" s="23">
        <v>25</v>
      </c>
      <c r="F11" s="50">
        <f>($F$2)*1360</f>
        <v>1360</v>
      </c>
      <c r="G11" s="85">
        <v>25</v>
      </c>
      <c r="H11" s="50">
        <f>($H$2)*3400</f>
        <v>3400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32.75</v>
      </c>
      <c r="C12" s="23">
        <v>30</v>
      </c>
      <c r="D12" s="22">
        <f>($D$2)*556.75</f>
        <v>556.75</v>
      </c>
      <c r="E12" s="23">
        <v>30</v>
      </c>
      <c r="F12" s="50">
        <f>($F$2)*1310</f>
        <v>1310</v>
      </c>
      <c r="G12" s="85">
        <v>30</v>
      </c>
      <c r="H12" s="50">
        <f>($H$2)*3275</f>
        <v>3275</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31.5</v>
      </c>
      <c r="C13" s="23">
        <v>35</v>
      </c>
      <c r="D13" s="22">
        <f>($D$2)*535.5</f>
        <v>535.5</v>
      </c>
      <c r="E13" s="23">
        <v>35</v>
      </c>
      <c r="F13" s="50">
        <f>($F$2)*1260</f>
        <v>1260</v>
      </c>
      <c r="G13" s="85">
        <v>35</v>
      </c>
      <c r="H13" s="50">
        <f>($H$2)*3150</f>
        <v>3150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30.75</v>
      </c>
      <c r="C14" s="23">
        <v>40</v>
      </c>
      <c r="D14" s="22">
        <f>($D$2)*522.75</f>
        <v>522.75</v>
      </c>
      <c r="E14" s="23">
        <v>40</v>
      </c>
      <c r="F14" s="50">
        <f>($F$2)*1230</f>
        <v>1230</v>
      </c>
      <c r="G14" s="85">
        <v>40</v>
      </c>
      <c r="H14" s="50">
        <f>($H$2)*3075</f>
        <v>3075</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30</v>
      </c>
      <c r="C15" s="23">
        <v>45</v>
      </c>
      <c r="D15" s="22">
        <f>($D$2)*510</f>
        <v>510</v>
      </c>
      <c r="E15" s="23">
        <v>45</v>
      </c>
      <c r="F15" s="50">
        <f>($F$2)*1200</f>
        <v>1200</v>
      </c>
      <c r="G15" s="85">
        <v>45</v>
      </c>
      <c r="H15" s="50">
        <f>($H$2)*3000</f>
        <v>3000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29.3</v>
      </c>
      <c r="C16" s="23">
        <v>50</v>
      </c>
      <c r="D16" s="22">
        <f>($D$2)*498.1</f>
        <v>498.1</v>
      </c>
      <c r="E16" s="23">
        <v>50</v>
      </c>
      <c r="F16" s="50">
        <f>($F$2)*1172</f>
        <v>1172</v>
      </c>
      <c r="G16" s="85">
        <v>50</v>
      </c>
      <c r="H16" s="50">
        <f>($H$2)*2930</f>
        <v>2930</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28.5</v>
      </c>
      <c r="C17" s="23">
        <v>55</v>
      </c>
      <c r="D17" s="22">
        <f>($D$2)*484.5</f>
        <v>484.5</v>
      </c>
      <c r="E17" s="23">
        <v>55</v>
      </c>
      <c r="F17" s="50">
        <f>($F$2)*1140</f>
        <v>1140</v>
      </c>
      <c r="G17" s="85">
        <v>55</v>
      </c>
      <c r="H17" s="50">
        <f>($H$2)*2850</f>
        <v>2850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28</v>
      </c>
      <c r="C18" s="23">
        <v>60</v>
      </c>
      <c r="D18" s="22">
        <f>($D$2)*476</f>
        <v>476</v>
      </c>
      <c r="E18" s="23">
        <v>60</v>
      </c>
      <c r="F18" s="50">
        <f>($F$2)*1120</f>
        <v>1120</v>
      </c>
      <c r="G18" s="85">
        <v>60</v>
      </c>
      <c r="H18" s="50">
        <f>($H$2)*2800</f>
        <v>2800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27.5</v>
      </c>
      <c r="C19" s="23">
        <v>65</v>
      </c>
      <c r="D19" s="22">
        <f>($D$2)*467.5</f>
        <v>467.5</v>
      </c>
      <c r="E19" s="23">
        <v>65</v>
      </c>
      <c r="F19" s="50">
        <f>($F$2)*1100</f>
        <v>1100</v>
      </c>
      <c r="G19" s="85">
        <v>65</v>
      </c>
      <c r="H19" s="50">
        <f>($H$2)*2750</f>
        <v>2750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27</v>
      </c>
      <c r="C20" s="23">
        <v>70</v>
      </c>
      <c r="D20" s="22">
        <f>($D$2)*459</f>
        <v>459</v>
      </c>
      <c r="E20" s="23">
        <v>70</v>
      </c>
      <c r="F20" s="50">
        <f>($F$2)*1080</f>
        <v>1080</v>
      </c>
      <c r="G20" s="85">
        <v>70</v>
      </c>
      <c r="H20" s="50">
        <f>($H$2)*2700</f>
        <v>2700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26.5</v>
      </c>
      <c r="C21" s="23">
        <v>75</v>
      </c>
      <c r="D21" s="22">
        <f>($D$2)*450.5</f>
        <v>450.5</v>
      </c>
      <c r="E21" s="23">
        <v>75</v>
      </c>
      <c r="F21" s="50">
        <f>($F$2)*1060</f>
        <v>1060</v>
      </c>
      <c r="G21" s="85">
        <v>75</v>
      </c>
      <c r="H21" s="50">
        <f>($H$2)*2650</f>
        <v>2650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26</v>
      </c>
      <c r="C22" s="23">
        <v>80</v>
      </c>
      <c r="D22" s="22">
        <f>($D$2)*442</f>
        <v>442</v>
      </c>
      <c r="E22" s="23">
        <v>80</v>
      </c>
      <c r="F22" s="50">
        <f>($F$2)*1040</f>
        <v>1040</v>
      </c>
      <c r="G22" s="85">
        <v>80</v>
      </c>
      <c r="H22" s="50">
        <f>($H$2)*2600</f>
        <v>2600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25.5</v>
      </c>
      <c r="C23" s="23">
        <v>85</v>
      </c>
      <c r="D23" s="22">
        <f>($D$2)*433.5</f>
        <v>433.5</v>
      </c>
      <c r="E23" s="23">
        <v>85</v>
      </c>
      <c r="F23" s="50">
        <f>($F$2)*1020</f>
        <v>1020</v>
      </c>
      <c r="G23" s="85">
        <v>85</v>
      </c>
      <c r="H23" s="50">
        <f>($H$2)*2550</f>
        <v>2550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25</v>
      </c>
      <c r="C24" s="23">
        <v>90</v>
      </c>
      <c r="D24" s="22">
        <f>($D$2)*425</f>
        <v>425</v>
      </c>
      <c r="E24" s="23">
        <v>90</v>
      </c>
      <c r="F24" s="50">
        <f>($F$2)*1000</f>
        <v>1000</v>
      </c>
      <c r="G24" s="85">
        <v>90</v>
      </c>
      <c r="H24" s="50">
        <f>($H$2)*2500</f>
        <v>2500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24.5</v>
      </c>
      <c r="C25" s="23">
        <v>95</v>
      </c>
      <c r="D25" s="22">
        <f>($D$2)*416.5</f>
        <v>416.5</v>
      </c>
      <c r="E25" s="23">
        <v>95</v>
      </c>
      <c r="F25" s="50">
        <f>($F$2)*980</f>
        <v>980</v>
      </c>
      <c r="G25" s="85">
        <v>95</v>
      </c>
      <c r="H25" s="50">
        <f>($H$2)*2450</f>
        <v>2450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24.25</v>
      </c>
      <c r="C26" s="23">
        <v>100</v>
      </c>
      <c r="D26" s="22">
        <f>($D$2)*412.25</f>
        <v>412.25</v>
      </c>
      <c r="E26" s="23">
        <v>100</v>
      </c>
      <c r="F26" s="50">
        <f>($F$2)*970</f>
        <v>970</v>
      </c>
      <c r="G26" s="85">
        <v>100</v>
      </c>
      <c r="H26" s="50">
        <f>($H$2)*2425</f>
        <v>2425</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21.5</v>
      </c>
      <c r="C27" s="23">
        <v>150</v>
      </c>
      <c r="D27" s="22">
        <f>($D$2)*365.5</f>
        <v>365.5</v>
      </c>
      <c r="E27" s="23">
        <v>150</v>
      </c>
      <c r="F27" s="50">
        <f>($F$2)*860</f>
        <v>860</v>
      </c>
      <c r="G27" s="85">
        <v>150</v>
      </c>
      <c r="H27" s="50">
        <f>($H$2)*2150</f>
        <v>2150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19.5</v>
      </c>
      <c r="C28" s="23">
        <v>200</v>
      </c>
      <c r="D28" s="22">
        <f>($D$2)*331.5</f>
        <v>331.5</v>
      </c>
      <c r="E28" s="23">
        <v>200</v>
      </c>
      <c r="F28" s="50">
        <f>($F$2)*780</f>
        <v>780</v>
      </c>
      <c r="G28" s="85">
        <v>200</v>
      </c>
      <c r="H28" s="50">
        <f>($H$2)*1950</f>
        <v>1950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17.75</v>
      </c>
      <c r="C29" s="23">
        <v>250</v>
      </c>
      <c r="D29" s="22">
        <f>($D$2)*301.75</f>
        <v>301.75</v>
      </c>
      <c r="E29" s="23">
        <v>250</v>
      </c>
      <c r="F29" s="50">
        <f>($F$2)*710</f>
        <v>710</v>
      </c>
      <c r="G29" s="85">
        <v>250</v>
      </c>
      <c r="H29" s="50">
        <f>($H$2)*1775</f>
        <v>1775</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16</v>
      </c>
      <c r="C30" s="23">
        <v>300</v>
      </c>
      <c r="D30" s="22">
        <f>($D$2)*272</f>
        <v>272</v>
      </c>
      <c r="E30" s="23">
        <v>300</v>
      </c>
      <c r="F30" s="50">
        <f>($F$2)*640</f>
        <v>640</v>
      </c>
      <c r="G30" s="85">
        <v>300</v>
      </c>
      <c r="H30" s="50">
        <f>($H$2)*1600</f>
        <v>1600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14.5</v>
      </c>
      <c r="C31" s="23">
        <v>350</v>
      </c>
      <c r="D31" s="22">
        <f>($D$2)*246.5</f>
        <v>246.5</v>
      </c>
      <c r="E31" s="23">
        <v>350</v>
      </c>
      <c r="F31" s="50">
        <f>($F$2)*580</f>
        <v>580</v>
      </c>
      <c r="G31" s="85">
        <v>350</v>
      </c>
      <c r="H31" s="50">
        <f>($H$2)*1450</f>
        <v>1450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13</v>
      </c>
      <c r="C32" s="23">
        <v>400</v>
      </c>
      <c r="D32" s="22">
        <f>($D$2)*221</f>
        <v>221</v>
      </c>
      <c r="E32" s="23">
        <v>400</v>
      </c>
      <c r="F32" s="50">
        <f>($F$2)*520</f>
        <v>520</v>
      </c>
      <c r="G32" s="85">
        <v>400</v>
      </c>
      <c r="H32" s="50">
        <f>($H$2)*1300</f>
        <v>1300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11.75</v>
      </c>
      <c r="C33" s="23">
        <v>450</v>
      </c>
      <c r="D33" s="22">
        <f>($D$2)*199.75</f>
        <v>199.75</v>
      </c>
      <c r="E33" s="23">
        <v>450</v>
      </c>
      <c r="F33" s="50">
        <f>($F$2)*470</f>
        <v>470</v>
      </c>
      <c r="G33" s="85">
        <v>450</v>
      </c>
      <c r="H33" s="50">
        <f>($H$2)*1175</f>
        <v>1175</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10.5</v>
      </c>
      <c r="C34" s="23">
        <v>500</v>
      </c>
      <c r="D34" s="22">
        <f>($D$2)*178.5</f>
        <v>178.5</v>
      </c>
      <c r="E34" s="23">
        <v>500</v>
      </c>
      <c r="F34" s="50">
        <f>($F$2)*420</f>
        <v>420</v>
      </c>
      <c r="G34" s="85">
        <v>500</v>
      </c>
      <c r="H34" s="50">
        <f>($H$2)*1050</f>
        <v>1050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9.5</v>
      </c>
      <c r="C35" s="23">
        <v>550</v>
      </c>
      <c r="D35" s="22">
        <f>($D$2)*161.5</f>
        <v>161.5</v>
      </c>
      <c r="E35" s="23">
        <v>550</v>
      </c>
      <c r="F35" s="50">
        <f>($F$2)*380</f>
        <v>380</v>
      </c>
      <c r="G35" s="85">
        <v>550</v>
      </c>
      <c r="H35" s="50">
        <f>($H$2)*950</f>
        <v>950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8.5</v>
      </c>
      <c r="C36" s="23">
        <v>600</v>
      </c>
      <c r="D36" s="22">
        <f>($D$2)*144.5</f>
        <v>144.5</v>
      </c>
      <c r="E36" s="23">
        <v>600</v>
      </c>
      <c r="F36" s="50">
        <f>($F$2)*340</f>
        <v>340</v>
      </c>
      <c r="G36" s="85">
        <v>600</v>
      </c>
      <c r="H36" s="50">
        <f>($H$2)*850</f>
        <v>850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7.5</v>
      </c>
      <c r="C37" s="23">
        <v>650</v>
      </c>
      <c r="D37" s="22">
        <f>($D$2)*127.5</f>
        <v>127.5</v>
      </c>
      <c r="E37" s="23">
        <v>650</v>
      </c>
      <c r="F37" s="50">
        <f>($F$2)*300</f>
        <v>300</v>
      </c>
      <c r="G37" s="85">
        <v>650</v>
      </c>
      <c r="H37" s="50">
        <f>($H$2)*750</f>
        <v>750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6.6</v>
      </c>
      <c r="C38" s="23">
        <v>700</v>
      </c>
      <c r="D38" s="22">
        <f>($D$2)*112.2</f>
        <v>112.2</v>
      </c>
      <c r="E38" s="23">
        <v>700</v>
      </c>
      <c r="F38" s="50">
        <f>($F$2)*264</f>
        <v>264</v>
      </c>
      <c r="G38" s="85">
        <v>700</v>
      </c>
      <c r="H38" s="50">
        <f>($H$2)*660</f>
        <v>660</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5.75</v>
      </c>
      <c r="C39" s="23">
        <v>750</v>
      </c>
      <c r="D39" s="22">
        <f>($D$2)*97.75</f>
        <v>97.75</v>
      </c>
      <c r="E39" s="23">
        <v>750</v>
      </c>
      <c r="F39" s="50">
        <f>($F$2)*230</f>
        <v>230</v>
      </c>
      <c r="G39" s="85">
        <v>750</v>
      </c>
      <c r="H39" s="50">
        <f>($H$2)*575</f>
        <v>575</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5</v>
      </c>
      <c r="C40" s="25">
        <v>800</v>
      </c>
      <c r="D40" s="24">
        <f>($D$2)*85</f>
        <v>85</v>
      </c>
      <c r="E40" s="25">
        <v>800</v>
      </c>
      <c r="F40" s="51">
        <f>($F$2)*(200)</f>
        <v>200</v>
      </c>
      <c r="G40" s="94">
        <v>800</v>
      </c>
      <c r="H40" s="51">
        <f>($H$2)*500</f>
        <v>500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50</v>
      </c>
      <c r="C41" s="46"/>
      <c r="D41" s="45" cm="1">
        <f t="array" ref="D41">IF(VLOOKUP(Input!$D$15,E$6:E$40,1,TRUE)=Input!$D$15,INDEX(D$6:D$40,MATCH(VLOOKUP(Input!$D$15,E$6:E$40,1,TRUE),E$6:E$40)),INDEX(D$6:D$40,MATCH(VLOOKUP(Input!$D$15,E$6:E$40,1,TRUE),E$6:E$40)+1))</f>
        <v>850</v>
      </c>
      <c r="E41" s="46"/>
      <c r="F41" s="45" cm="1">
        <f t="array" ref="F41">IF(VLOOKUP(Input!$D$15,G$6:G$40,1,TRUE)=Input!$D$15,INDEX(F$6:F$40,MATCH(VLOOKUP(Input!$D$15,G$6:G$40,1,TRUE),G$6:G$40)),INDEX(F$6:F$40,MATCH(VLOOKUP(Input!$D$15,G$6:G$40,1,TRUE),G$6:G$40)+1))</f>
        <v>2000</v>
      </c>
      <c r="G41" s="17"/>
      <c r="H41" s="45" cm="1">
        <f t="array" ref="H41">IF(VLOOKUP(Input!$D$15,I$6:I$40,1,TRUE)=Input!$D$15,INDEX(H$6:H$40,MATCH(VLOOKUP(Input!$D$15,I$6:I$40,1,TRUE),I$6:I$40)),INDEX(H$6:H$40,MATCH(VLOOKUP(Input!$D$15,I$6:I$40,1,TRUE),I$6:I$40)+1))</f>
        <v>5000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IF($H$41&lt;Input!D12,"N/A",IF(Input!D12&lt;=$B$41,$B$5,IF(Input!D12&lt;=$D$41,$D$5,IF(Input!D12&lt;=$F$41,$F$5,IF(Input!D12&lt;=$H$41,$H$5,)))))</f>
        <v>ZGP7</v>
      </c>
      <c r="C44" s="17">
        <f>Input!D12</f>
        <v>2000</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284"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490</v>
      </c>
      <c r="Y49" s="49" t="s">
        <v>240</v>
      </c>
      <c r="Z49" s="149">
        <f>$X$49</f>
        <v>490</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0.31628036890273814</v>
      </c>
      <c r="Y50" s="85" t="s">
        <v>9</v>
      </c>
      <c r="Z50" s="150">
        <f>IF($X$50="N/A",
           "N/A",
             $X$50/0.264172)</f>
        <v>1.1972516727841638</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284"/>
      <c r="W51" s="132" t="s">
        <v>10</v>
      </c>
      <c r="X51" s="154">
        <f>IF($B$45=0,
IF($X$49=$B$44,"N/A",3.14*VLOOKUP($B$44,$B$48:$N$55,3,FALSE)/1000*$X$49/60),
3.14*VLOOKUP($B$45,$B$48:$N$55,3,FALSE)/1000*$X$49/60)</f>
        <v>4.5388699999999993</v>
      </c>
      <c r="Y51" s="136" t="s">
        <v>11</v>
      </c>
      <c r="Z51" s="151">
        <f>IF($X$51="N/A",
           "N/A",
             $X$51*196.85)</f>
        <v>893.47655949999978</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2000</v>
      </c>
      <c r="H52" s="42">
        <f t="shared" si="2"/>
        <v>632.56073780547626</v>
      </c>
      <c r="I52" s="41">
        <v>13</v>
      </c>
      <c r="J52" s="42">
        <f t="shared" si="0"/>
        <v>12.327188745519372</v>
      </c>
      <c r="K52" s="102">
        <f t="shared" si="1"/>
        <v>0.31628036890273814</v>
      </c>
      <c r="L52" s="104">
        <f t="shared" si="3"/>
        <v>4.5388699999999993</v>
      </c>
      <c r="M52" s="35">
        <v>129.5</v>
      </c>
      <c r="N52" s="193"/>
      <c r="O52" s="17"/>
      <c r="P52" s="17"/>
      <c r="Q52" s="17"/>
      <c r="R52" s="17"/>
      <c r="S52" s="17"/>
      <c r="T52" s="17"/>
      <c r="U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2000</v>
      </c>
      <c r="H53" s="147">
        <f t="shared" si="2"/>
        <v>632.56073780547626</v>
      </c>
      <c r="I53" s="144">
        <v>13</v>
      </c>
      <c r="J53" s="147">
        <f t="shared" si="0"/>
        <v>12.327188745519372</v>
      </c>
      <c r="K53" s="143">
        <f t="shared" si="1"/>
        <v>0.31628036890273814</v>
      </c>
      <c r="L53" s="145">
        <f t="shared" si="3"/>
        <v>4.5388699999999993</v>
      </c>
      <c r="M53" s="141">
        <v>129.5</v>
      </c>
      <c r="N53" s="193"/>
      <c r="O53" s="17"/>
      <c r="P53" s="17"/>
      <c r="Q53" s="17"/>
      <c r="R53" s="17"/>
      <c r="S53" s="17"/>
      <c r="T53" s="17"/>
      <c r="U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284" t="s">
        <v>247</v>
      </c>
      <c r="W55" s="131" t="s">
        <v>250</v>
      </c>
      <c r="X55" s="184">
        <f>IF(Input!$E$28=0,$X$49,Input!$E$28)</f>
        <v>490</v>
      </c>
      <c r="Y55" s="85" t="s">
        <v>240</v>
      </c>
      <c r="Z55" s="185">
        <f>$X$55</f>
        <v>490</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284"/>
      <c r="W56" s="132" t="s">
        <v>8</v>
      </c>
      <c r="X56" s="178">
        <f>IF($B$45=0,
IF($B$44=$X$49,"N/A",(VLOOKUP($B$44,$B$48:$N$55,4,FALSE)*Input!$D$14*($X$55/60)^3*(((VLOOKUP($B$44,$B$48:$N$55,3,FALSE))/1000)^5)/Input!$D$12)),
(VLOOKUP($B$45,$B$48:$N$55,4,FALSE)*Input!$D$14*($X$55/60)^3*(((VLOOKUP($B$45,$B$48:$N$55,3,FALSE))/1000)^5)/Input!$D$12))</f>
        <v>0.31628036890273814</v>
      </c>
      <c r="Y56" s="85" t="s">
        <v>9</v>
      </c>
      <c r="Z56" s="181">
        <f>IF($X$56="N/A",
           "N/A",
             $X$56/0.264172)</f>
        <v>1.1972516727841638</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284"/>
      <c r="W57" s="132" t="s">
        <v>251</v>
      </c>
      <c r="X57" s="179">
        <f>IF($B$45=0,
IF($X$49=$B$44,"N/A",3.14*VLOOKUP($B$44,$B$48:$N$55,3,FALSE)/1000*$X$55/60),
3.14*VLOOKUP($B$45,$B$48:$N$55,3,FALSE)/1000*$X$55/60)</f>
        <v>4.5388699999999993</v>
      </c>
      <c r="Y57" s="136" t="s">
        <v>11</v>
      </c>
      <c r="Z57" s="182">
        <f>IF($X$57="N/A",
           "N/A",
              $X$57*196.85)</f>
        <v>893.47655949999978</v>
      </c>
      <c r="AA57" s="136" t="s">
        <v>242</v>
      </c>
      <c r="AB57" s="17"/>
    </row>
    <row r="58" spans="1:28" ht="45.75" thickBot="1">
      <c r="A58" s="17"/>
      <c r="B58" s="17"/>
      <c r="C58" s="17"/>
      <c r="D58" s="17"/>
      <c r="E58" s="261"/>
      <c r="F58" s="261"/>
      <c r="G58" s="17"/>
      <c r="H58" s="17"/>
      <c r="I58" s="17"/>
      <c r="J58" s="17"/>
      <c r="K58" s="17"/>
      <c r="L58" s="17"/>
      <c r="M58" s="17"/>
      <c r="N58" s="17"/>
      <c r="O58" s="86"/>
      <c r="P58" s="17"/>
      <c r="Q58" s="17"/>
      <c r="R58" s="17"/>
      <c r="S58" s="17"/>
      <c r="T58" s="17"/>
      <c r="U58" s="17"/>
      <c r="V58" s="284"/>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41"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285" t="s">
        <v>245</v>
      </c>
      <c r="Y65" s="286"/>
      <c r="Z65" s="17"/>
      <c r="AA65" s="17"/>
      <c r="AB65" s="17"/>
    </row>
    <row r="66" spans="1:28" ht="30.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1cP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E36" workbookViewId="0">
      <selection activeCell="X50" sqref="X49:X50"/>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300</v>
      </c>
      <c r="C6" s="21">
        <v>1</v>
      </c>
      <c r="D6" s="20">
        <f>(D$2)*3000</f>
        <v>3000</v>
      </c>
      <c r="E6" s="21">
        <v>1</v>
      </c>
      <c r="F6" s="20">
        <f>(F$2)*10000</f>
        <v>10000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273</v>
      </c>
      <c r="C7" s="23">
        <v>5</v>
      </c>
      <c r="D7" s="22">
        <f>(D$2)*2730</f>
        <v>2730</v>
      </c>
      <c r="E7" s="23">
        <v>5</v>
      </c>
      <c r="F7" s="22">
        <f>(F$2)*9100</f>
        <v>9100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249</v>
      </c>
      <c r="C8" s="23">
        <v>10</v>
      </c>
      <c r="D8" s="22">
        <f>(D$2)*2490</f>
        <v>2490</v>
      </c>
      <c r="E8" s="23">
        <v>10</v>
      </c>
      <c r="F8" s="22">
        <f>(F$2)*8300</f>
        <v>8300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231</v>
      </c>
      <c r="C9" s="23">
        <v>15</v>
      </c>
      <c r="D9" s="22">
        <f>(D$2)*2310</f>
        <v>2310</v>
      </c>
      <c r="E9" s="23">
        <v>15</v>
      </c>
      <c r="F9" s="22">
        <f>(F$2)*7700</f>
        <v>7700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216</v>
      </c>
      <c r="C10" s="23">
        <v>20</v>
      </c>
      <c r="D10" s="22">
        <f>(D$2)*2160</f>
        <v>2160</v>
      </c>
      <c r="E10" s="23">
        <v>20</v>
      </c>
      <c r="F10" s="22">
        <f>(F$2)*7200</f>
        <v>7200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204</v>
      </c>
      <c r="C11" s="23">
        <v>25</v>
      </c>
      <c r="D11" s="22">
        <f>(D$2)*2040</f>
        <v>2040</v>
      </c>
      <c r="E11" s="23">
        <v>25</v>
      </c>
      <c r="F11" s="22">
        <f>(F$2)*6800</f>
        <v>6800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196.5</v>
      </c>
      <c r="C12" s="23">
        <v>30</v>
      </c>
      <c r="D12" s="22">
        <f>(D$2)*1965</f>
        <v>1965</v>
      </c>
      <c r="E12" s="23">
        <v>30</v>
      </c>
      <c r="F12" s="22">
        <f>(F$2)*6550</f>
        <v>6550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189</v>
      </c>
      <c r="C13" s="23">
        <v>35</v>
      </c>
      <c r="D13" s="22">
        <f>(D$2)*1890</f>
        <v>1890</v>
      </c>
      <c r="E13" s="23">
        <v>35</v>
      </c>
      <c r="F13" s="22">
        <f>(F$2)*6300</f>
        <v>6300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184.5</v>
      </c>
      <c r="C14" s="23">
        <v>40</v>
      </c>
      <c r="D14" s="22">
        <f>(D$2)*1845</f>
        <v>1845</v>
      </c>
      <c r="E14" s="23">
        <v>40</v>
      </c>
      <c r="F14" s="22">
        <f>(F$2)*6150</f>
        <v>6150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180</v>
      </c>
      <c r="C15" s="23">
        <v>45</v>
      </c>
      <c r="D15" s="22">
        <f>(D$2)*1800</f>
        <v>1800</v>
      </c>
      <c r="E15" s="23">
        <v>45</v>
      </c>
      <c r="F15" s="22">
        <f>(F$2)*6000</f>
        <v>6000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175.8</v>
      </c>
      <c r="C16" s="23">
        <v>50</v>
      </c>
      <c r="D16" s="22">
        <f>(D$2)*1758</f>
        <v>1758</v>
      </c>
      <c r="E16" s="23">
        <v>50</v>
      </c>
      <c r="F16" s="22">
        <f>(F$2)*5860</f>
        <v>5860</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171</v>
      </c>
      <c r="C17" s="23">
        <v>55</v>
      </c>
      <c r="D17" s="22">
        <f>(D$2)*1710</f>
        <v>1710</v>
      </c>
      <c r="E17" s="23">
        <v>55</v>
      </c>
      <c r="F17" s="22">
        <f>(F$2)*5700</f>
        <v>5700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168</v>
      </c>
      <c r="C18" s="23">
        <v>60</v>
      </c>
      <c r="D18" s="22">
        <f>(D$2)*1680</f>
        <v>1680</v>
      </c>
      <c r="E18" s="23">
        <v>60</v>
      </c>
      <c r="F18" s="22">
        <f>(F$2)*5600</f>
        <v>5600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165</v>
      </c>
      <c r="C19" s="23">
        <v>65</v>
      </c>
      <c r="D19" s="22">
        <f>(D$2)*1650</f>
        <v>1650</v>
      </c>
      <c r="E19" s="23">
        <v>65</v>
      </c>
      <c r="F19" s="22">
        <f>(F$2)*5500</f>
        <v>5500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162</v>
      </c>
      <c r="C20" s="23">
        <v>70</v>
      </c>
      <c r="D20" s="22">
        <f>(D$2)*1620</f>
        <v>1620</v>
      </c>
      <c r="E20" s="23">
        <v>70</v>
      </c>
      <c r="F20" s="22">
        <f>(F$2)*5400</f>
        <v>5400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159</v>
      </c>
      <c r="C21" s="23">
        <v>75</v>
      </c>
      <c r="D21" s="22">
        <f>(D$2)*1590</f>
        <v>1590</v>
      </c>
      <c r="E21" s="23">
        <v>75</v>
      </c>
      <c r="F21" s="22">
        <f>(F$2)*5300</f>
        <v>5300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156</v>
      </c>
      <c r="C22" s="23">
        <v>80</v>
      </c>
      <c r="D22" s="22">
        <f>(D$2)*1560</f>
        <v>1560</v>
      </c>
      <c r="E22" s="23">
        <v>80</v>
      </c>
      <c r="F22" s="22">
        <f>(F$2)*5200</f>
        <v>5200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153</v>
      </c>
      <c r="C23" s="23">
        <v>85</v>
      </c>
      <c r="D23" s="22">
        <f>(D$2)*1530</f>
        <v>1530</v>
      </c>
      <c r="E23" s="23">
        <v>85</v>
      </c>
      <c r="F23" s="22">
        <f>(F$2)*5100</f>
        <v>5100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150</v>
      </c>
      <c r="C24" s="23">
        <v>90</v>
      </c>
      <c r="D24" s="22">
        <f>(D$2)*1500</f>
        <v>1500</v>
      </c>
      <c r="E24" s="23">
        <v>90</v>
      </c>
      <c r="F24" s="22">
        <f>(F$2)*5000</f>
        <v>5000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147</v>
      </c>
      <c r="C25" s="23">
        <v>95</v>
      </c>
      <c r="D25" s="22">
        <f>(D$2)*1470</f>
        <v>1470</v>
      </c>
      <c r="E25" s="23">
        <v>95</v>
      </c>
      <c r="F25" s="22">
        <f>(F$2)*4900</f>
        <v>4900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145.5</v>
      </c>
      <c r="C26" s="23">
        <v>100</v>
      </c>
      <c r="D26" s="22">
        <f>(D$2)*1455</f>
        <v>1455</v>
      </c>
      <c r="E26" s="23">
        <v>100</v>
      </c>
      <c r="F26" s="22">
        <f>(F$2)*4850</f>
        <v>4850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129</v>
      </c>
      <c r="C27" s="23">
        <v>150</v>
      </c>
      <c r="D27" s="22">
        <f>(D$2)*1290</f>
        <v>1290</v>
      </c>
      <c r="E27" s="23">
        <v>150</v>
      </c>
      <c r="F27" s="22">
        <f>(F$2)*4300</f>
        <v>4300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117</v>
      </c>
      <c r="C28" s="23">
        <v>200</v>
      </c>
      <c r="D28" s="22">
        <f>(D$2)*1170</f>
        <v>1170</v>
      </c>
      <c r="E28" s="23">
        <v>200</v>
      </c>
      <c r="F28" s="22">
        <f>(F$2)*3900</f>
        <v>3900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106.5</v>
      </c>
      <c r="C29" s="23">
        <v>250</v>
      </c>
      <c r="D29" s="22">
        <f>(D$2)*1065</f>
        <v>1065</v>
      </c>
      <c r="E29" s="23">
        <v>250</v>
      </c>
      <c r="F29" s="22">
        <f>(F$2)*3550</f>
        <v>3550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96</v>
      </c>
      <c r="C30" s="23">
        <v>300</v>
      </c>
      <c r="D30" s="22">
        <f>(D$2)*960</f>
        <v>960</v>
      </c>
      <c r="E30" s="23">
        <v>300</v>
      </c>
      <c r="F30" s="22">
        <f>(F$2)*3200</f>
        <v>3200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87</v>
      </c>
      <c r="C31" s="23">
        <v>350</v>
      </c>
      <c r="D31" s="22">
        <f>(D$2)*870</f>
        <v>870</v>
      </c>
      <c r="E31" s="23">
        <v>350</v>
      </c>
      <c r="F31" s="22">
        <f>(F$2)*2900</f>
        <v>2900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78</v>
      </c>
      <c r="C32" s="23">
        <v>400</v>
      </c>
      <c r="D32" s="22">
        <f>(D$2)*780</f>
        <v>780</v>
      </c>
      <c r="E32" s="23">
        <v>400</v>
      </c>
      <c r="F32" s="22">
        <f>(F$2)*2600</f>
        <v>2600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70.5</v>
      </c>
      <c r="C33" s="23">
        <v>450</v>
      </c>
      <c r="D33" s="22">
        <f>(D$2)*705</f>
        <v>705</v>
      </c>
      <c r="E33" s="23">
        <v>450</v>
      </c>
      <c r="F33" s="22">
        <f>(F$2)*2350</f>
        <v>2350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63</v>
      </c>
      <c r="C34" s="23">
        <v>500</v>
      </c>
      <c r="D34" s="22">
        <f>(D$2)*630</f>
        <v>630</v>
      </c>
      <c r="E34" s="23">
        <v>500</v>
      </c>
      <c r="F34" s="22">
        <f>(F$2)*2100</f>
        <v>2100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57</v>
      </c>
      <c r="C35" s="23">
        <v>550</v>
      </c>
      <c r="D35" s="22">
        <f>(D$2)*570</f>
        <v>570</v>
      </c>
      <c r="E35" s="23">
        <v>550</v>
      </c>
      <c r="F35" s="22">
        <f>(F$2)*1900</f>
        <v>1900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51</v>
      </c>
      <c r="C36" s="23">
        <v>600</v>
      </c>
      <c r="D36" s="22">
        <f>(D$2)*510</f>
        <v>510</v>
      </c>
      <c r="E36" s="23">
        <v>600</v>
      </c>
      <c r="F36" s="22">
        <f>(F$2)*1700</f>
        <v>1700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45</v>
      </c>
      <c r="C37" s="23">
        <v>650</v>
      </c>
      <c r="D37" s="22">
        <f>(D$2)*450</f>
        <v>450</v>
      </c>
      <c r="E37" s="23">
        <v>650</v>
      </c>
      <c r="F37" s="22">
        <f>(F$2)*1500</f>
        <v>1500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39.6</v>
      </c>
      <c r="C38" s="23">
        <v>700</v>
      </c>
      <c r="D38" s="22">
        <f>(D$2)*396</f>
        <v>396</v>
      </c>
      <c r="E38" s="23">
        <v>700</v>
      </c>
      <c r="F38" s="22">
        <f>(F$2)*1320</f>
        <v>1320</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34.5</v>
      </c>
      <c r="C39" s="23">
        <v>750</v>
      </c>
      <c r="D39" s="22">
        <f>(D$2)*345</f>
        <v>345</v>
      </c>
      <c r="E39" s="23">
        <v>750</v>
      </c>
      <c r="F39" s="22">
        <f>(F$2)*1150</f>
        <v>1150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30</v>
      </c>
      <c r="C40" s="25">
        <v>800</v>
      </c>
      <c r="D40" s="24">
        <f>(D$2)*300</f>
        <v>300</v>
      </c>
      <c r="E40" s="25">
        <v>800</v>
      </c>
      <c r="F40" s="24">
        <f>(F$2)*1000</f>
        <v>1000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300</v>
      </c>
      <c r="C41" s="46"/>
      <c r="D41" s="45" cm="1">
        <f t="array" ref="D41">IF(VLOOKUP(Input!$D$15,E$6:E$40,1,TRUE)=Input!$D$15,INDEX(D$6:D$40,MATCH(VLOOKUP(Input!$D$15,E$6:E$40,1,TRUE),E$6:E$40)),INDEX(D$6:D$40,MATCH(VLOOKUP(Input!$D$15,E$6:E$40,1,TRUE),E$6:E$40)+1))</f>
        <v>3000</v>
      </c>
      <c r="E41" s="46"/>
      <c r="F41" s="45" cm="1">
        <f t="array" ref="F41">IF(VLOOKUP(Input!$D$15,G$6:G$40,1,TRUE)=Input!$D$15,INDEX(F$6:F$40,MATCH(VLOOKUP(Input!$D$15,G$6:G$40,1,TRUE),G$6:G$40)),INDEX(F$6:F$40,MATCH(VLOOKUP(Input!$D$15,G$6:G$40,1,TRUE),G$6:G$40)+1))</f>
        <v>10000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290"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290"/>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2000</v>
      </c>
      <c r="H50" s="42">
        <f t="shared" si="2"/>
        <v>870.14789996381785</v>
      </c>
      <c r="I50" s="41">
        <v>7.8</v>
      </c>
      <c r="J50" s="42">
        <f t="shared" si="0"/>
        <v>4.8876719392673511</v>
      </c>
      <c r="K50" s="102">
        <f t="shared" si="1"/>
        <v>0.4350739499819089</v>
      </c>
      <c r="L50" s="104">
        <f t="shared" si="3"/>
        <v>9.163566666666668</v>
      </c>
      <c r="M50" s="17">
        <v>94</v>
      </c>
      <c r="N50" s="193"/>
      <c r="O50" s="17"/>
      <c r="P50" s="17"/>
      <c r="Q50" s="17"/>
      <c r="U50" s="17"/>
      <c r="V50" s="290"/>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0.4350739499819089</v>
      </c>
      <c r="Y50" s="85" t="s">
        <v>9</v>
      </c>
      <c r="Z50" s="150">
        <f>IF($X$50="N/A",
           "N/A",
             $X$50/0.264172)</f>
        <v>1.6469343835906487</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2000</v>
      </c>
      <c r="H51" s="147">
        <f t="shared" si="2"/>
        <v>870.14789996381785</v>
      </c>
      <c r="I51" s="144">
        <v>7.8</v>
      </c>
      <c r="J51" s="147">
        <f t="shared" si="0"/>
        <v>4.8876719392673511</v>
      </c>
      <c r="K51" s="143">
        <f t="shared" si="1"/>
        <v>0.4350739499819089</v>
      </c>
      <c r="L51" s="145">
        <f t="shared" si="3"/>
        <v>9.163566666666668</v>
      </c>
      <c r="M51" s="140">
        <v>94</v>
      </c>
      <c r="N51" s="193"/>
      <c r="O51" s="17"/>
      <c r="P51" s="17"/>
      <c r="Q51" s="17"/>
      <c r="U51" s="17"/>
      <c r="V51" s="290"/>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290"/>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290" t="s">
        <v>247</v>
      </c>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290"/>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261"/>
      <c r="G55" s="261"/>
      <c r="H55" s="90"/>
      <c r="I55" s="91"/>
      <c r="J55" s="88"/>
      <c r="K55" s="86"/>
      <c r="L55" s="17"/>
      <c r="M55" s="17"/>
      <c r="N55" s="17"/>
      <c r="O55" s="17"/>
      <c r="P55" s="17"/>
      <c r="Q55" s="17"/>
      <c r="R55" s="17"/>
      <c r="S55" s="17"/>
      <c r="T55" s="17"/>
      <c r="U55" s="17"/>
      <c r="V55" s="290"/>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290"/>
      <c r="W56" s="132" t="s">
        <v>8</v>
      </c>
      <c r="X56" s="178">
        <f>IF($B$45=0,
IF($B$44=$X$49,"N/A",(VLOOKUP($B$44,$B$48:$N$53,4,FALSE)*Input!$D$14*($X$55/60)^3*(((VLOOKUP($B$44,$B$48:$N$53,3,FALSE))/1000)^5)/Input!$D$12)),
(VLOOKUP($B$45,$B$48:$N$53,4,FALSE)*Input!$D$14*($X$55/60)^3*(((VLOOKUP($B$45,$B$48:$N$53,3,FALSE))/1000)^5)/Input!$D$12))</f>
        <v>0.4350739499819089</v>
      </c>
      <c r="Y56" s="85" t="s">
        <v>9</v>
      </c>
      <c r="Z56" s="181">
        <f>IF($X$56="N/A",
           "N/A",
              $X$56/0.264172)</f>
        <v>1.6469343835906487</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285" t="s">
        <v>245</v>
      </c>
      <c r="Y65" s="286"/>
      <c r="Z65" s="17"/>
      <c r="AA65" s="17"/>
      <c r="AB65" s="17"/>
    </row>
    <row r="66" spans="1:28" ht="30.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30" workbookViewId="0">
      <selection activeCell="B44" sqref="B44"/>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120</v>
      </c>
      <c r="C6" s="49">
        <v>1</v>
      </c>
      <c r="D6" s="20">
        <f>(D$2)*800</f>
        <v>800</v>
      </c>
      <c r="E6" s="49">
        <v>1</v>
      </c>
      <c r="F6" s="20">
        <f>(F$2)*1500</f>
        <v>1500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109.2</v>
      </c>
      <c r="C7" s="85">
        <v>5</v>
      </c>
      <c r="D7" s="22">
        <f>(D$2)*728</f>
        <v>728</v>
      </c>
      <c r="E7" s="85">
        <v>5</v>
      </c>
      <c r="F7" s="22">
        <f>(F$2)*1365</f>
        <v>1365</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99.6</v>
      </c>
      <c r="C8" s="85">
        <v>10</v>
      </c>
      <c r="D8" s="22">
        <f>(D$2)*664</f>
        <v>664</v>
      </c>
      <c r="E8" s="85">
        <v>10</v>
      </c>
      <c r="F8" s="22">
        <f>(F$2)*1245</f>
        <v>1245</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92.4</v>
      </c>
      <c r="C9" s="85">
        <v>15</v>
      </c>
      <c r="D9" s="22">
        <f>(D$2)*616</f>
        <v>616</v>
      </c>
      <c r="E9" s="85">
        <v>15</v>
      </c>
      <c r="F9" s="22">
        <f>(F$2)*1155</f>
        <v>1155</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86.4</v>
      </c>
      <c r="C10" s="85">
        <v>20</v>
      </c>
      <c r="D10" s="22">
        <f>(D$2)*576</f>
        <v>576</v>
      </c>
      <c r="E10" s="85">
        <v>20</v>
      </c>
      <c r="F10" s="22">
        <f>(F$2)*1080</f>
        <v>1080</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81.599999999999994</v>
      </c>
      <c r="C11" s="85">
        <v>25</v>
      </c>
      <c r="D11" s="22">
        <f>(D$2)*544</f>
        <v>544</v>
      </c>
      <c r="E11" s="85">
        <v>25</v>
      </c>
      <c r="F11" s="22">
        <f>(F$2)*1020</f>
        <v>1020</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78.599999999999994</v>
      </c>
      <c r="C12" s="85">
        <v>30</v>
      </c>
      <c r="D12" s="22">
        <f>(D$2)*524</f>
        <v>524</v>
      </c>
      <c r="E12" s="85">
        <v>30</v>
      </c>
      <c r="F12" s="22">
        <f>(F$2)*982.5</f>
        <v>982.5</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75.599999999999994</v>
      </c>
      <c r="C13" s="85">
        <v>35</v>
      </c>
      <c r="D13" s="22">
        <f>(D$2)*504</f>
        <v>504</v>
      </c>
      <c r="E13" s="85">
        <v>35</v>
      </c>
      <c r="F13" s="22">
        <f>(F$2)*945</f>
        <v>945</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73.8</v>
      </c>
      <c r="C14" s="85">
        <v>40</v>
      </c>
      <c r="D14" s="22">
        <f>(D$2)*492</f>
        <v>492</v>
      </c>
      <c r="E14" s="85">
        <v>40</v>
      </c>
      <c r="F14" s="22">
        <f>(F$2)*922.5</f>
        <v>922.5</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72</v>
      </c>
      <c r="C15" s="85">
        <v>45</v>
      </c>
      <c r="D15" s="22">
        <f>(D$2)*480</f>
        <v>480</v>
      </c>
      <c r="E15" s="85">
        <v>45</v>
      </c>
      <c r="F15" s="22">
        <f>(F$2)*900</f>
        <v>900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70.319999999999993</v>
      </c>
      <c r="C16" s="85">
        <v>50</v>
      </c>
      <c r="D16" s="22">
        <f>(D$2)*468.8</f>
        <v>468.8</v>
      </c>
      <c r="E16" s="85">
        <v>50</v>
      </c>
      <c r="F16" s="22">
        <f>(F$2)*879</f>
        <v>879</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68.400000000000006</v>
      </c>
      <c r="C17" s="85">
        <v>55</v>
      </c>
      <c r="D17" s="22">
        <f>(D$2)*456</f>
        <v>456</v>
      </c>
      <c r="E17" s="85">
        <v>55</v>
      </c>
      <c r="F17" s="22">
        <f>(F$2)*855</f>
        <v>855</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67.2</v>
      </c>
      <c r="C18" s="85">
        <v>60</v>
      </c>
      <c r="D18" s="22">
        <f>(D$2)*448</f>
        <v>448</v>
      </c>
      <c r="E18" s="85">
        <v>60</v>
      </c>
      <c r="F18" s="22">
        <f>(F$2)*840</f>
        <v>840</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66</v>
      </c>
      <c r="C19" s="85">
        <v>65</v>
      </c>
      <c r="D19" s="22">
        <f>(D$2)*440</f>
        <v>440</v>
      </c>
      <c r="E19" s="85">
        <v>65</v>
      </c>
      <c r="F19" s="22">
        <f>(F$2)*825</f>
        <v>825</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64.8</v>
      </c>
      <c r="C20" s="85">
        <v>70</v>
      </c>
      <c r="D20" s="22">
        <f>(D$2)*432</f>
        <v>432</v>
      </c>
      <c r="E20" s="85">
        <v>70</v>
      </c>
      <c r="F20" s="22">
        <f>(F$2)*810</f>
        <v>810</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63.6</v>
      </c>
      <c r="C21" s="85">
        <v>75</v>
      </c>
      <c r="D21" s="22">
        <f>(D$2)*424</f>
        <v>424</v>
      </c>
      <c r="E21" s="85">
        <v>75</v>
      </c>
      <c r="F21" s="22">
        <f>(F$2)*795</f>
        <v>795</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62.4</v>
      </c>
      <c r="C22" s="85">
        <v>80</v>
      </c>
      <c r="D22" s="22">
        <f>(D$2)*416</f>
        <v>416</v>
      </c>
      <c r="E22" s="85">
        <v>80</v>
      </c>
      <c r="F22" s="22">
        <f>(F$2)*780</f>
        <v>780</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61.2</v>
      </c>
      <c r="C23" s="85">
        <v>85</v>
      </c>
      <c r="D23" s="22">
        <f>(D$2)*408</f>
        <v>408</v>
      </c>
      <c r="E23" s="85">
        <v>85</v>
      </c>
      <c r="F23" s="22">
        <f>(F$2)*765</f>
        <v>765</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60</v>
      </c>
      <c r="C24" s="85">
        <v>90</v>
      </c>
      <c r="D24" s="22">
        <f>(D$2)*400</f>
        <v>400</v>
      </c>
      <c r="E24" s="85">
        <v>90</v>
      </c>
      <c r="F24" s="22">
        <f>(F$2)*750</f>
        <v>750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58.8</v>
      </c>
      <c r="C25" s="85">
        <v>95</v>
      </c>
      <c r="D25" s="22">
        <f>(D$2)*392</f>
        <v>392</v>
      </c>
      <c r="E25" s="85">
        <v>95</v>
      </c>
      <c r="F25" s="22">
        <f>(F$2)*735</f>
        <v>735</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58.2</v>
      </c>
      <c r="C26" s="85">
        <v>100</v>
      </c>
      <c r="D26" s="22">
        <f>(D$2)*388</f>
        <v>388</v>
      </c>
      <c r="E26" s="85">
        <v>100</v>
      </c>
      <c r="F26" s="22">
        <f>(F$2)*727.5</f>
        <v>727.5</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51.6</v>
      </c>
      <c r="C27" s="85">
        <v>150</v>
      </c>
      <c r="D27" s="22">
        <f>(D$2)*344</f>
        <v>344</v>
      </c>
      <c r="E27" s="85">
        <v>150</v>
      </c>
      <c r="F27" s="22">
        <f>(F$2)*645</f>
        <v>645</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46.8</v>
      </c>
      <c r="C28" s="85">
        <v>200</v>
      </c>
      <c r="D28" s="22">
        <f>(D$2)*312</f>
        <v>312</v>
      </c>
      <c r="E28" s="85">
        <v>200</v>
      </c>
      <c r="F28" s="22">
        <f>(F$2)*585</f>
        <v>585</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42.6</v>
      </c>
      <c r="C29" s="85">
        <v>250</v>
      </c>
      <c r="D29" s="22">
        <f>(D$2)*284</f>
        <v>284</v>
      </c>
      <c r="E29" s="85">
        <v>250</v>
      </c>
      <c r="F29" s="22">
        <f>(F$2)*532.5</f>
        <v>532.5</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38.4</v>
      </c>
      <c r="C30" s="85">
        <v>300</v>
      </c>
      <c r="D30" s="22">
        <f>(D$2)*256</f>
        <v>256</v>
      </c>
      <c r="E30" s="85">
        <v>300</v>
      </c>
      <c r="F30" s="22">
        <f>(F$2)*480</f>
        <v>480</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34.799999999999997</v>
      </c>
      <c r="C31" s="85">
        <v>350</v>
      </c>
      <c r="D31" s="22">
        <f>(D$2)*232</f>
        <v>232</v>
      </c>
      <c r="E31" s="85">
        <v>350</v>
      </c>
      <c r="F31" s="22">
        <f>(F$2)*435</f>
        <v>435</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31.2</v>
      </c>
      <c r="C32" s="85">
        <v>400</v>
      </c>
      <c r="D32" s="22">
        <f>(D$2)*208</f>
        <v>208</v>
      </c>
      <c r="E32" s="85">
        <v>400</v>
      </c>
      <c r="F32" s="22">
        <f>(F$2)*390</f>
        <v>390</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28.2</v>
      </c>
      <c r="C33" s="85">
        <v>450</v>
      </c>
      <c r="D33" s="22">
        <f>(D$2)*188</f>
        <v>188</v>
      </c>
      <c r="E33" s="85">
        <v>450</v>
      </c>
      <c r="F33" s="22">
        <f>(F$2)*352.5</f>
        <v>352.5</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25.2</v>
      </c>
      <c r="C34" s="85">
        <v>500</v>
      </c>
      <c r="D34" s="22">
        <f>(D$2)*168</f>
        <v>168</v>
      </c>
      <c r="E34" s="85">
        <v>500</v>
      </c>
      <c r="F34" s="22">
        <f>(F$2)*315</f>
        <v>315</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22.8</v>
      </c>
      <c r="C35" s="85">
        <v>550</v>
      </c>
      <c r="D35" s="22">
        <f>(D$2)*152</f>
        <v>152</v>
      </c>
      <c r="E35" s="85">
        <v>550</v>
      </c>
      <c r="F35" s="22">
        <f>(F$2)*285</f>
        <v>285</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20.399999999999999</v>
      </c>
      <c r="C36" s="85">
        <v>600</v>
      </c>
      <c r="D36" s="22">
        <f>(D$2)*136</f>
        <v>136</v>
      </c>
      <c r="E36" s="85">
        <v>600</v>
      </c>
      <c r="F36" s="22">
        <f>(F$2)*255</f>
        <v>255</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18</v>
      </c>
      <c r="C37" s="85">
        <v>650</v>
      </c>
      <c r="D37" s="22">
        <f>(D$2)*120</f>
        <v>120</v>
      </c>
      <c r="E37" s="85">
        <v>650</v>
      </c>
      <c r="F37" s="22">
        <f>(F$2)*225</f>
        <v>225</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15.84</v>
      </c>
      <c r="C38" s="85">
        <v>700</v>
      </c>
      <c r="D38" s="22">
        <f>(D$2)*105.6</f>
        <v>105.6</v>
      </c>
      <c r="E38" s="85">
        <v>700</v>
      </c>
      <c r="F38" s="22">
        <f>(F$2)*198</f>
        <v>198</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13.8</v>
      </c>
      <c r="C39" s="85">
        <v>750</v>
      </c>
      <c r="D39" s="22">
        <f>(D$2)*92</f>
        <v>92</v>
      </c>
      <c r="E39" s="85">
        <v>750</v>
      </c>
      <c r="F39" s="22">
        <f>(F$2)*172.5</f>
        <v>172.5</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12</v>
      </c>
      <c r="C40" s="94">
        <v>800</v>
      </c>
      <c r="D40" s="24">
        <f>(D$2)*80</f>
        <v>80</v>
      </c>
      <c r="E40" s="94">
        <v>800</v>
      </c>
      <c r="F40" s="24">
        <f>(F$2)*150</f>
        <v>150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120</v>
      </c>
      <c r="C41" s="46"/>
      <c r="D41" s="45" cm="1">
        <f t="array" ref="D41">IF(VLOOKUP(Input!$D$15,E$6:E$40,1,TRUE)=Input!$D$15,INDEX(D$6:D$40,MATCH(VLOOKUP(Input!$D$15,E$6:E$40,1,TRUE),E$6:E$40)),INDEX(D$6:D$40,MATCH(VLOOKUP(Input!$D$15,E$6:E$40,1,TRUE),E$6:E$40)+1))</f>
        <v>800</v>
      </c>
      <c r="E41" s="46"/>
      <c r="F41" s="45" cm="1">
        <f t="array" ref="F41">IF(VLOOKUP(Input!$D$15,G$6:G$40,1,TRUE)=Input!$D$15,INDEX(F$6:F$40,MATCH(VLOOKUP(Input!$D$15,G$6:G$40,1,TRUE),G$6:G$40)),INDEX(F$6:F$40,MATCH(VLOOKUP(Input!$D$15,G$6:G$40,1,TRUE),G$6:G$40)+1))</f>
        <v>1500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t="str">
        <f>Input!$D$30</f>
        <v>HS5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284"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3900</v>
      </c>
      <c r="Y49" s="49" t="s">
        <v>240</v>
      </c>
      <c r="Z49" s="149">
        <f>$X$49</f>
        <v>3900</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2000</v>
      </c>
      <c r="H50" s="42">
        <f t="shared" si="2"/>
        <v>1752.4941205078119</v>
      </c>
      <c r="I50" s="41">
        <v>7.8</v>
      </c>
      <c r="J50" s="42">
        <f t="shared" si="0"/>
        <v>4.2909144504433581</v>
      </c>
      <c r="K50" s="102">
        <f t="shared" si="1"/>
        <v>0.87624706025390597</v>
      </c>
      <c r="L50" s="104">
        <f t="shared" si="3"/>
        <v>21.430499999999999</v>
      </c>
      <c r="M50" s="17">
        <v>114</v>
      </c>
      <c r="N50" s="193"/>
      <c r="O50" s="17">
        <v>800</v>
      </c>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0.87624706025390597</v>
      </c>
      <c r="Y50" s="85" t="s">
        <v>9</v>
      </c>
      <c r="Z50" s="150">
        <f>IF($X$50="N/A",
           "N/A",
             $X$50/0.264172)</f>
        <v>3.3169566049918457</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2000</v>
      </c>
      <c r="H51" s="147">
        <f t="shared" si="2"/>
        <v>1752.4941205078119</v>
      </c>
      <c r="I51" s="144">
        <v>7.8</v>
      </c>
      <c r="J51" s="147">
        <f t="shared" si="0"/>
        <v>4.2909144504433581</v>
      </c>
      <c r="K51" s="143">
        <f t="shared" si="1"/>
        <v>0.87624706025390597</v>
      </c>
      <c r="L51" s="145">
        <f t="shared" si="3"/>
        <v>21.430499999999999</v>
      </c>
      <c r="M51" s="140">
        <v>114</v>
      </c>
      <c r="N51" s="193"/>
      <c r="O51" s="17"/>
      <c r="P51" s="17"/>
      <c r="V51" s="284"/>
      <c r="W51" s="132" t="s">
        <v>10</v>
      </c>
      <c r="X51" s="154">
        <f>IF($B$45=0,
IF($X$49=$B$44,"N/A",3.14*VLOOKUP($B$44,$B$48:$N$53,3,FALSE)/1000*$X$49/60),
3.14*VLOOKUP($B$45,$B$48:$N$53,3,FALSE)/1000*$X$49/60)</f>
        <v>21.430499999999999</v>
      </c>
      <c r="Y51" s="136" t="s">
        <v>11</v>
      </c>
      <c r="Z51" s="151">
        <f>IF($X$51="N/A",
           "N/A",
             $X$51*196.85)</f>
        <v>4218.5939249999992</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1500</v>
      </c>
      <c r="H52" s="42">
        <f t="shared" si="2"/>
        <v>7209.7868126330495</v>
      </c>
      <c r="I52" s="41">
        <v>26</v>
      </c>
      <c r="J52" s="42">
        <f t="shared" si="0"/>
        <v>19.670358363952285</v>
      </c>
      <c r="K52" s="102">
        <f t="shared" si="1"/>
        <v>4.8065245417553664</v>
      </c>
      <c r="L52" s="104">
        <f t="shared" si="3"/>
        <v>28.369899999999998</v>
      </c>
      <c r="M52" s="17">
        <v>160</v>
      </c>
      <c r="N52" s="193"/>
      <c r="O52" s="17">
        <v>1500</v>
      </c>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1500</v>
      </c>
      <c r="H53" s="167">
        <f t="shared" si="2"/>
        <v>7209.7868126330495</v>
      </c>
      <c r="I53" s="166">
        <v>26</v>
      </c>
      <c r="J53" s="167">
        <f t="shared" si="0"/>
        <v>19.670358363952285</v>
      </c>
      <c r="K53" s="168">
        <f t="shared" si="1"/>
        <v>4.8065245417553664</v>
      </c>
      <c r="L53" s="145">
        <f t="shared" si="3"/>
        <v>28.369899999999998</v>
      </c>
      <c r="M53" s="140">
        <v>160</v>
      </c>
      <c r="N53" s="193"/>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261"/>
      <c r="G54" s="261"/>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17"/>
      <c r="G55" s="17"/>
      <c r="H55" s="17"/>
      <c r="I55" s="17"/>
      <c r="J55" s="17"/>
      <c r="K55" s="17"/>
      <c r="L55" s="17"/>
      <c r="M55" s="17"/>
      <c r="N55" s="17"/>
      <c r="O55" s="17"/>
      <c r="P55" s="17"/>
      <c r="V55" s="284" t="s">
        <v>247</v>
      </c>
      <c r="W55" s="131" t="s">
        <v>250</v>
      </c>
      <c r="X55" s="184">
        <f>IF(Input!$E$30=0,$X$49,Input!$E$30)</f>
        <v>3900</v>
      </c>
      <c r="Y55" s="85" t="s">
        <v>240</v>
      </c>
      <c r="Z55" s="185">
        <f>$X$55</f>
        <v>3900</v>
      </c>
      <c r="AA55" s="136" t="s">
        <v>240</v>
      </c>
      <c r="AB55" s="17"/>
    </row>
    <row r="56" spans="1:28">
      <c r="A56" s="17"/>
      <c r="B56" s="17"/>
      <c r="C56" s="17"/>
      <c r="D56" s="17"/>
      <c r="E56" s="17"/>
      <c r="F56" s="17"/>
      <c r="G56" s="17"/>
      <c r="H56" s="17"/>
      <c r="I56" s="17"/>
      <c r="J56" s="17"/>
      <c r="K56" s="17"/>
      <c r="L56" s="17"/>
      <c r="M56" s="17"/>
      <c r="N56" s="17"/>
      <c r="O56" s="17"/>
      <c r="P56" s="17"/>
      <c r="V56" s="284"/>
      <c r="W56" s="132" t="s">
        <v>8</v>
      </c>
      <c r="X56" s="178">
        <f>IF($B$45=0,
IF($B$44=$X$49,"N/A",(VLOOKUP($B$44,$B$48:$N$53,4,FALSE)*Input!$D$14*($X$55/60)^3*(((VLOOKUP($B$44,$B$48:$N$53,3,FALSE))/1000)^5)/Input!$D$12)),
(VLOOKUP($B$45,$B$48:$N$53,4,FALSE)*Input!$D$14*($X$55/60)^3*(((VLOOKUP($B$45,$B$48:$N$53,3,FALSE))/1000)^5)/Input!$D$12))</f>
        <v>0.87624706025390597</v>
      </c>
      <c r="Y56" s="85" t="s">
        <v>9</v>
      </c>
      <c r="Z56" s="181">
        <f>IF($X$56="N/A",
           "N/A",
             $X$56/0.264172)</f>
        <v>3.3169566049918457</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179">
        <f>IF($B$45=0,
IF($X$49=$B$44,"N/A",3.14*VLOOKUP($B$44,$B$48:$N$53,3,FALSE)/1000*$X$55/60),
3.14*VLOOKUP($B$45,$B$48:$N$53,3,FALSE)/1000*$X$55/60)</f>
        <v>21.430499999999999</v>
      </c>
      <c r="Y57" s="136" t="s">
        <v>11</v>
      </c>
      <c r="Z57" s="182">
        <f>IF($X$57="N/A",
           "N/A",
            $X$57*196.85)</f>
        <v>4218.5939249999992</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46"/>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36" workbookViewId="0">
      <selection activeCell="B45" sqref="B45"/>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ZF100</v>
      </c>
      <c r="C5" s="85" t="str">
        <f>IF(Input!$D$8="YES","ZFM100","ZF100")</f>
        <v>ZF100</v>
      </c>
      <c r="D5" s="50" t="str">
        <f>IF(Input!$D$8="YES","ZFM160","ZF160")</f>
        <v>ZF160</v>
      </c>
      <c r="E5" s="85" t="str">
        <f>IF(Input!$D$8="YES","ZFM160","ZF160")</f>
        <v>ZF160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250</v>
      </c>
      <c r="C6" s="85">
        <v>1</v>
      </c>
      <c r="D6" s="50">
        <f>(D$2)*3000</f>
        <v>3000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227.5</v>
      </c>
      <c r="C7" s="85">
        <v>5</v>
      </c>
      <c r="D7" s="50">
        <f>(D$2)*2730</f>
        <v>2730</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207.5</v>
      </c>
      <c r="C8" s="85">
        <v>10</v>
      </c>
      <c r="D8" s="50">
        <f>(D$2)*2490</f>
        <v>2490</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192.5</v>
      </c>
      <c r="C9" s="85">
        <v>15</v>
      </c>
      <c r="D9" s="50">
        <f>(D$2)*2310</f>
        <v>2310</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180</v>
      </c>
      <c r="C10" s="85">
        <v>20</v>
      </c>
      <c r="D10" s="50">
        <f>(D$2)*2160</f>
        <v>2160</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170</v>
      </c>
      <c r="C11" s="85">
        <v>25</v>
      </c>
      <c r="D11" s="50">
        <f>(D$2)*2040</f>
        <v>2040</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163.75</v>
      </c>
      <c r="C12" s="85">
        <v>30</v>
      </c>
      <c r="D12" s="50">
        <f>(D$2)*1965</f>
        <v>1965</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157.5</v>
      </c>
      <c r="C13" s="85">
        <v>35</v>
      </c>
      <c r="D13" s="50">
        <f>(D$2)*1890</f>
        <v>1890</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153.75</v>
      </c>
      <c r="C14" s="85">
        <v>40</v>
      </c>
      <c r="D14" s="50">
        <f>(D$2)*1845</f>
        <v>1845</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150</v>
      </c>
      <c r="C15" s="85">
        <v>45</v>
      </c>
      <c r="D15" s="50">
        <f>(D$2)*1800</f>
        <v>1800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146.5</v>
      </c>
      <c r="C16" s="85">
        <v>50</v>
      </c>
      <c r="D16" s="50">
        <f>(D$2)*1758</f>
        <v>1758</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142.5</v>
      </c>
      <c r="C17" s="85">
        <v>55</v>
      </c>
      <c r="D17" s="50">
        <f>(D$2)*1710</f>
        <v>1710</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140</v>
      </c>
      <c r="C18" s="85">
        <v>60</v>
      </c>
      <c r="D18" s="50">
        <f>(D$2)*1680</f>
        <v>1680</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137.5</v>
      </c>
      <c r="C19" s="85">
        <v>65</v>
      </c>
      <c r="D19" s="50">
        <f>(D$2)*1650</f>
        <v>1650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135</v>
      </c>
      <c r="C20" s="85">
        <v>70</v>
      </c>
      <c r="D20" s="50">
        <f>(D$2)*1620</f>
        <v>1620</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132.5</v>
      </c>
      <c r="C21" s="85">
        <v>75</v>
      </c>
      <c r="D21" s="50">
        <f>(D$2)*1590</f>
        <v>1590</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130</v>
      </c>
      <c r="C22" s="85">
        <v>80</v>
      </c>
      <c r="D22" s="50">
        <f>(D$2)*1560</f>
        <v>1560</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127.5</v>
      </c>
      <c r="C23" s="85">
        <v>85</v>
      </c>
      <c r="D23" s="50">
        <f>(D$2)*1530</f>
        <v>1530</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125</v>
      </c>
      <c r="C24" s="85">
        <v>90</v>
      </c>
      <c r="D24" s="50">
        <f>(D$2)*1500</f>
        <v>1500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122.5</v>
      </c>
      <c r="C25" s="85">
        <v>95</v>
      </c>
      <c r="D25" s="50">
        <f>(D$2)*1470</f>
        <v>1470</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121.25</v>
      </c>
      <c r="C26" s="85">
        <v>100</v>
      </c>
      <c r="D26" s="50">
        <f>(D$2)*1455</f>
        <v>1455</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107.5</v>
      </c>
      <c r="C27" s="85">
        <v>150</v>
      </c>
      <c r="D27" s="50">
        <f>(D$2)*1290</f>
        <v>1290</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97.5</v>
      </c>
      <c r="C28" s="85">
        <v>200</v>
      </c>
      <c r="D28" s="50">
        <f>(D$2)*1170</f>
        <v>1170</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88.75</v>
      </c>
      <c r="C29" s="85">
        <v>250</v>
      </c>
      <c r="D29" s="50">
        <f>(D$2)*1065</f>
        <v>1065</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80</v>
      </c>
      <c r="C30" s="85">
        <v>300</v>
      </c>
      <c r="D30" s="50">
        <f>(D$2)*960</f>
        <v>960</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72.5</v>
      </c>
      <c r="C31" s="85">
        <v>350</v>
      </c>
      <c r="D31" s="50">
        <f>(D$2)*870</f>
        <v>870</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65</v>
      </c>
      <c r="C32" s="85">
        <v>400</v>
      </c>
      <c r="D32" s="50">
        <f>(D$2)*780</f>
        <v>780</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58.75</v>
      </c>
      <c r="C33" s="85">
        <v>450</v>
      </c>
      <c r="D33" s="50">
        <f>(D$2)*705</f>
        <v>705</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52.5</v>
      </c>
      <c r="C34" s="85">
        <v>500</v>
      </c>
      <c r="D34" s="50">
        <f>(D$2)*630</f>
        <v>630</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47.5</v>
      </c>
      <c r="C35" s="85">
        <v>550</v>
      </c>
      <c r="D35" s="50">
        <f>(D$2)*570</f>
        <v>570</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42.5</v>
      </c>
      <c r="C36" s="85">
        <v>600</v>
      </c>
      <c r="D36" s="50">
        <f>(D$2)*510</f>
        <v>510</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37.5</v>
      </c>
      <c r="C37" s="85">
        <v>650</v>
      </c>
      <c r="D37" s="50">
        <f>(D$2)*450</f>
        <v>450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33</v>
      </c>
      <c r="C38" s="85">
        <v>700</v>
      </c>
      <c r="D38" s="50">
        <f>(D$2)*396</f>
        <v>396</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28.75</v>
      </c>
      <c r="C39" s="85">
        <v>750</v>
      </c>
      <c r="D39" s="50">
        <f>(D$2)*345</f>
        <v>345</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25</v>
      </c>
      <c r="C40" s="94">
        <v>800</v>
      </c>
      <c r="D40" s="51">
        <f>(D$2)*300</f>
        <v>300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250</v>
      </c>
      <c r="C41" s="46"/>
      <c r="D41" s="45" cm="1">
        <f t="array" ref="D41">IF(VLOOKUP(Input!$D$15,E$6:E$40,1,TRUE)=Input!$D$15,INDEX(D$6:D$40,MATCH(VLOOKUP(Input!$D$15,E$6:E$40,1,TRUE),E$6:E$40)),INDEX(D$6:D$40,MATCH(VLOOKUP(Input!$D$15,E$6:E$40,1,TRUE),E$6:E$40)+1))</f>
        <v>3000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IF($D$41&lt;Input!D12,"N/A",IF(Input!D12&lt;=$B$41,$B$5,IF(Input!D12&lt;=$D$41,$D$5,)))</f>
        <v>ZF160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IF(Input!$D$31="ZF100",IF(Input!$D$8="YES","ZFM100","ZF100"),IF(Input!$D$31="ZF160",IF(Input!$D$8="YES","ZFM160","ZF160"),0))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IF(Input!$D$8="YES","ZFM100","ZF100")</f>
        <v>ZF100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284" t="s">
        <v>249</v>
      </c>
      <c r="W48" s="134"/>
      <c r="X48" s="130" t="s">
        <v>235</v>
      </c>
      <c r="Y48" s="138" t="s">
        <v>243</v>
      </c>
      <c r="Z48" s="130" t="s">
        <v>239</v>
      </c>
      <c r="AA48" s="138" t="s">
        <v>243</v>
      </c>
      <c r="AB48" s="17"/>
    </row>
    <row r="49" spans="1:28">
      <c r="A49" s="140" t="s">
        <v>46</v>
      </c>
      <c r="B49" s="141" t="str">
        <f>IF(Input!$D$8="YES","ZFM100","ZF100")</f>
        <v>ZF100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48">
        <f>$X$49</f>
        <v>350</v>
      </c>
      <c r="AA49" s="152" t="s">
        <v>240</v>
      </c>
      <c r="AB49" s="17"/>
    </row>
    <row r="50" spans="1:28">
      <c r="B50" s="3" t="str">
        <f>IF(Input!$D$8="YES","ZFM160","ZF160")</f>
        <v>ZF160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2000</v>
      </c>
      <c r="H50" s="42">
        <f t="shared" si="2"/>
        <v>225.0538603703703</v>
      </c>
      <c r="I50" s="41">
        <v>10</v>
      </c>
      <c r="J50" s="42">
        <f t="shared" si="0"/>
        <v>6.1401123219333309</v>
      </c>
      <c r="K50" s="102">
        <f t="shared" si="1"/>
        <v>0.11252693018518516</v>
      </c>
      <c r="L50" s="104">
        <f t="shared" si="3"/>
        <v>4.0296666666666674</v>
      </c>
      <c r="M50">
        <v>168</v>
      </c>
      <c r="N50" s="35"/>
      <c r="O50" s="17"/>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0.11252693018518516</v>
      </c>
      <c r="Y50" s="85" t="s">
        <v>9</v>
      </c>
      <c r="Z50" s="252">
        <f>IF($X$50="N/A",
           "N/A",
            $X$50/0.264172)</f>
        <v>0.4259608519645729</v>
      </c>
      <c r="AA50" s="136" t="s">
        <v>241</v>
      </c>
      <c r="AB50" s="17"/>
    </row>
    <row r="51" spans="1:28">
      <c r="A51" s="140" t="s">
        <v>46</v>
      </c>
      <c r="B51" s="173" t="str">
        <f>IF(Input!$D$8="YES","ZFM160","ZF160")</f>
        <v>ZF160</v>
      </c>
      <c r="C51" s="164">
        <v>350</v>
      </c>
      <c r="D51" s="174">
        <v>220</v>
      </c>
      <c r="E51" s="164">
        <v>2.2000000000000002</v>
      </c>
      <c r="F51" s="164">
        <f>1000</f>
        <v>1000</v>
      </c>
      <c r="G51" s="164">
        <f>IF($B$44=$B51,IF(Input!$D$24="Metric",Input!$D$12,Input!$F$12/0.264172),IF($B$45=$B51,IF(Input!$D$24="Metric",Input!$D$12,Input!$F$12/0.264172),3000))</f>
        <v>2000</v>
      </c>
      <c r="H51" s="147">
        <f t="shared" si="2"/>
        <v>225.0538603703703</v>
      </c>
      <c r="I51" s="166">
        <v>10</v>
      </c>
      <c r="J51" s="167">
        <f t="shared" si="0"/>
        <v>6.1401123219333309</v>
      </c>
      <c r="K51" s="168">
        <f t="shared" si="1"/>
        <v>0.11252693018518516</v>
      </c>
      <c r="L51" s="145">
        <f t="shared" si="3"/>
        <v>4.0296666666666674</v>
      </c>
      <c r="M51" s="140">
        <v>168</v>
      </c>
      <c r="N51" s="141"/>
      <c r="O51" s="17"/>
      <c r="P51" s="17"/>
      <c r="V51" s="284"/>
      <c r="W51" s="132" t="s">
        <v>10</v>
      </c>
      <c r="X51" s="247">
        <f>IF($B$45=0,
IF($X$49=$B$44,"N/A",3.14*VLOOKUP($B$44,$B$48:$N$51,3,FALSE)/1000*$X$49/60),
3.14*VLOOKUP($B$45,$B$48:$N$51,3,FALSE)/1000*$X$49/60)</f>
        <v>4.0296666666666674</v>
      </c>
      <c r="Y51" s="136" t="s">
        <v>11</v>
      </c>
      <c r="Z51" s="253">
        <f>IF($X$51="N/A",
           "N/A",
            $X$51*196.85)</f>
        <v>793.23988333333341</v>
      </c>
      <c r="AA51" s="136" t="s">
        <v>242</v>
      </c>
      <c r="AB51" s="17"/>
    </row>
    <row r="52" spans="1:28" ht="45">
      <c r="A52" s="17"/>
      <c r="B52" s="17"/>
      <c r="C52" s="17"/>
      <c r="D52" s="46"/>
      <c r="E52" s="17"/>
      <c r="F52" s="261"/>
      <c r="G52" s="261"/>
      <c r="H52" s="89"/>
      <c r="I52" s="90"/>
      <c r="J52" s="89"/>
      <c r="K52" s="88"/>
      <c r="L52" s="86"/>
      <c r="M52" s="17"/>
      <c r="N52" s="17"/>
      <c r="O52" s="17"/>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7"/>
      <c r="B53" s="17"/>
      <c r="C53" s="17"/>
      <c r="D53" s="100"/>
      <c r="E53" s="17"/>
      <c r="F53" s="17"/>
      <c r="G53" s="17"/>
      <c r="H53" s="89"/>
      <c r="I53" s="90"/>
      <c r="J53" s="89"/>
      <c r="K53" s="88"/>
      <c r="L53" s="86"/>
      <c r="M53" s="17"/>
      <c r="N53" s="17"/>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17"/>
      <c r="G54" s="17"/>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7"/>
      <c r="B55" s="17"/>
      <c r="C55" s="17"/>
      <c r="D55" s="17"/>
      <c r="E55" s="17"/>
      <c r="F55" s="17"/>
      <c r="G55" s="17"/>
      <c r="H55" s="17"/>
      <c r="I55" s="17"/>
      <c r="J55" s="17"/>
      <c r="K55" s="17"/>
      <c r="L55" s="17"/>
      <c r="M55" s="17"/>
      <c r="N55" s="17"/>
      <c r="O55" s="17"/>
      <c r="P55" s="17"/>
      <c r="V55" s="284" t="s">
        <v>247</v>
      </c>
      <c r="W55" s="131" t="s">
        <v>250</v>
      </c>
      <c r="X55" s="249">
        <f>IF(Input!$E$31=0,$X$49,Input!$E$31)</f>
        <v>350</v>
      </c>
      <c r="Y55" s="85" t="s">
        <v>240</v>
      </c>
      <c r="Z55" s="254">
        <f>$X$55</f>
        <v>350</v>
      </c>
      <c r="AA55" s="136" t="s">
        <v>240</v>
      </c>
      <c r="AB55" s="17"/>
    </row>
    <row r="56" spans="1:28">
      <c r="A56" s="17"/>
      <c r="B56" s="17"/>
      <c r="C56" s="17"/>
      <c r="D56" s="17"/>
      <c r="E56" s="17"/>
      <c r="F56" s="17"/>
      <c r="G56" s="17"/>
      <c r="H56" s="17"/>
      <c r="I56" s="17"/>
      <c r="J56" s="17"/>
      <c r="K56" s="17"/>
      <c r="L56" s="17"/>
      <c r="M56" s="17"/>
      <c r="N56" s="17"/>
      <c r="O56" s="17"/>
      <c r="P56" s="17"/>
      <c r="V56" s="284"/>
      <c r="W56" s="132" t="s">
        <v>8</v>
      </c>
      <c r="X56" s="250">
        <f>IF($B$45=0,
IF($B$44=$X$49,"N/A",(VLOOKUP($B$44,$B$48:$N$51,4,FALSE)*Input!$D$14*($X$55/60)^3*(((VLOOKUP($B$44,$B$48:$N$51,3,FALSE))/1000)^5)/Input!$D$12)),
(VLOOKUP($B$45,$B$48:$N$51,4,FALSE)*Input!$D$14*($X$55/60)^3*(((VLOOKUP($B$45,$B$48:$N$51,3,FALSE))/1000)^5)/Input!$D$12))</f>
        <v>0.11252693018518516</v>
      </c>
      <c r="Y56" s="85" t="s">
        <v>9</v>
      </c>
      <c r="Z56" s="255">
        <f>IF($X$56="N/A",
           "N/A",
             $X$56/0.264172)</f>
        <v>0.4259608519645729</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251">
        <f>IF($B$45=0,
IF($X$49=$B$44,"N/A",3.14*VLOOKUP($B$44,$B$48:$N$51,3,FALSE)/1000*$X$55/60),
3.14*VLOOKUP($B$45,$B$48:$N$51,3,FALSE)/1000*$X$55/60)</f>
        <v>4.0296666666666674</v>
      </c>
      <c r="Y57" s="136" t="s">
        <v>11</v>
      </c>
      <c r="Z57" s="256">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1520</v>
      </c>
      <c r="D2">
        <f>IF(Input!$D$24="Metric",Input!$D$9,Input!$F$9*25.4)</f>
        <v>1500</v>
      </c>
      <c r="E2">
        <f>$C$2</f>
        <v>1520</v>
      </c>
      <c r="F2">
        <f>0.1*$C$2</f>
        <v>152</v>
      </c>
      <c r="G2" s="82">
        <f>0.1935*$C$2-0.455*IF(Input!$D$24="Metric",Input!$D$10,Input!$F$10*25.4)</f>
        <v>289.57</v>
      </c>
      <c r="H2" s="82">
        <f>(0.098983*Tabell2[[#This Row],[Inner diameter]]^3)/1000000</f>
        <v>334.06762500000002</v>
      </c>
    </row>
    <row r="3" spans="1:8" ht="30">
      <c r="A3" t="s">
        <v>204</v>
      </c>
      <c r="B3" s="53" t="s">
        <v>275</v>
      </c>
      <c r="C3">
        <f>$D$2+2*(IF(Input!$D$24="Metric",Input!$D$10,Input!$F$10*25.4))</f>
        <v>1520</v>
      </c>
      <c r="D3">
        <f>IF(Input!$D$24="Metric",Input!$D$9,Input!$F$9*25.4)</f>
        <v>1500</v>
      </c>
      <c r="E3" s="82">
        <f>0.8*$C$3</f>
        <v>1216</v>
      </c>
      <c r="F3" s="82">
        <f>0.154*$C$3</f>
        <v>234.07999999999998</v>
      </c>
      <c r="G3" s="82">
        <f>0.255*$C$3-0.635*IF(Input!$D$24="Metric",Input!$D$10,Input!$F$10*25.4)</f>
        <v>381.25</v>
      </c>
      <c r="H3" s="82">
        <f>(0.1298*Tabell2[[#This Row],[Inner diameter]]^3)/1000000</f>
        <v>438.07499999999999</v>
      </c>
    </row>
    <row r="4" spans="1:8">
      <c r="A4" t="s">
        <v>205</v>
      </c>
      <c r="B4" t="s">
        <v>276</v>
      </c>
      <c r="C4">
        <f>$D$2+2*(IF(Input!$D$24="Metric",Input!$D$10,Input!$F$10*25.4))</f>
        <v>1520</v>
      </c>
      <c r="D4">
        <f>IF(Input!$D$24="Metric",Input!$D$9,Input!$F$9*25.4)</f>
        <v>1500</v>
      </c>
      <c r="E4" s="82">
        <f>$C$4</f>
        <v>1520</v>
      </c>
      <c r="F4" s="82">
        <f>0.05*$C$4</f>
        <v>76</v>
      </c>
      <c r="G4" s="82">
        <f>0.1675*$C$4-IF(Input!$D$24="Metric",Input!$D$10,Input!$F$10*25.4)</f>
        <v>244.60000000000002</v>
      </c>
      <c r="H4" s="82">
        <f>(0.076435*Tabell2[[#This Row],[Inner diameter]]^3)/1000000</f>
        <v>257.96812499999999</v>
      </c>
    </row>
    <row r="5" spans="1:8">
      <c r="A5" t="s">
        <v>206</v>
      </c>
      <c r="B5" t="s">
        <v>277</v>
      </c>
      <c r="C5">
        <f>$D$2+2*(IF(Input!$D$24="Metric",Input!$D$10,Input!$F$10*25.4))</f>
        <v>1520</v>
      </c>
      <c r="D5">
        <f>IF(Input!$D$24="Metric",Input!$D$9,Input!$F$9*25.4)</f>
        <v>1500</v>
      </c>
      <c r="E5" s="82">
        <f>0.875*$C$5</f>
        <v>1330</v>
      </c>
      <c r="F5" s="82">
        <f>0.08*$C$5</f>
        <v>121.60000000000001</v>
      </c>
      <c r="G5" s="82">
        <f>0.205*$C$5-IF(Input!$D$24="Metric",Input!$D$10,Input!$F$10*25.4)</f>
        <v>301.59999999999997</v>
      </c>
      <c r="H5" s="82">
        <f>(0.09653*Tabell2[[#This Row],[Inner diameter]]^3)/1000000</f>
        <v>325.78874999999999</v>
      </c>
    </row>
    <row r="6" spans="1:8">
      <c r="A6" t="s">
        <v>207</v>
      </c>
      <c r="B6" t="s">
        <v>278</v>
      </c>
      <c r="C6">
        <f>$D$2+2*(IF(Input!$D$24="Metric",Input!$D$10,Input!$F$10*25.4))</f>
        <v>1520</v>
      </c>
      <c r="D6">
        <f>IF(Input!$D$24="Metric",Input!$D$9,Input!$F$9*25.4)</f>
        <v>1500</v>
      </c>
      <c r="E6" s="82">
        <f>0.9*$D$6</f>
        <v>1350</v>
      </c>
      <c r="F6" s="82">
        <f>0.17*$D$6</f>
        <v>255.00000000000003</v>
      </c>
      <c r="G6" s="82">
        <f>0.25*$D$6</f>
        <v>375</v>
      </c>
      <c r="H6" s="82">
        <f>(0.132842*Tabell2[[#This Row],[Inner diameter]]^3)/1000000</f>
        <v>448.34174999999993</v>
      </c>
    </row>
    <row r="7" spans="1:8">
      <c r="A7" t="s">
        <v>208</v>
      </c>
      <c r="B7" t="s">
        <v>279</v>
      </c>
      <c r="C7">
        <f>$D$2+2*(IF(Input!$D$24="Metric",Input!$D$10,Input!$F$10*25.4))</f>
        <v>1520</v>
      </c>
      <c r="D7">
        <f>IF(Input!$D$24="Metric",Input!$D$9,Input!$F$9*25.4)</f>
        <v>1500</v>
      </c>
      <c r="E7" s="82">
        <f>$D$7/1.16</f>
        <v>1293.1034482758621</v>
      </c>
      <c r="F7" s="82">
        <f>$D$7/5.39</f>
        <v>278.29313543599261</v>
      </c>
      <c r="G7" s="82">
        <f>$D$7/3.8</f>
        <v>394.73684210526318</v>
      </c>
      <c r="H7" s="82">
        <f>(0.1405496*Tabell2[[#This Row],[Inner diameter]]^3)/1000000</f>
        <v>474.35489999999999</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291" t="s">
        <v>286</v>
      </c>
      <c r="B1" s="291"/>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334.06762500000002</v>
      </c>
      <c r="L2" s="194" t="s">
        <v>18</v>
      </c>
      <c r="M2">
        <v>35</v>
      </c>
      <c r="N2">
        <v>27.5</v>
      </c>
      <c r="O2">
        <v>9</v>
      </c>
      <c r="P2" s="195">
        <v>61.25</v>
      </c>
      <c r="Q2" s="196">
        <v>90</v>
      </c>
      <c r="R2" s="195">
        <v>16.39</v>
      </c>
      <c r="T2">
        <v>0.5</v>
      </c>
    </row>
    <row r="3" spans="1:20" ht="30">
      <c r="A3" s="191" t="s">
        <v>283</v>
      </c>
      <c r="B3" s="3">
        <f>'Vessel Dish Type List (IGNORE!)'!$D$2</f>
        <v>1500</v>
      </c>
      <c r="D3" s="3" t="s">
        <v>295</v>
      </c>
      <c r="E3" s="93">
        <f>$B$6-SQRT(($B$6)^2-($B$9)^2)</f>
        <v>152.91785899788988</v>
      </c>
      <c r="L3" s="194" t="s">
        <v>19</v>
      </c>
      <c r="M3">
        <v>48</v>
      </c>
      <c r="N3">
        <v>27.5</v>
      </c>
      <c r="O3">
        <v>9</v>
      </c>
      <c r="P3" s="195">
        <v>61.75</v>
      </c>
      <c r="Q3" s="196">
        <v>90.5</v>
      </c>
      <c r="R3" s="195">
        <v>18.88</v>
      </c>
    </row>
    <row r="4" spans="1:20">
      <c r="A4" s="191" t="s">
        <v>294</v>
      </c>
      <c r="B4" s="3">
        <f>$B$3/2</f>
        <v>750</v>
      </c>
      <c r="D4" s="3" t="s">
        <v>303</v>
      </c>
      <c r="E4" s="37">
        <f>ASIN(($B$9/2)/$B$6)*(180/PI())</f>
        <v>12.624894713073326</v>
      </c>
      <c r="L4" s="194"/>
      <c r="M4">
        <v>0</v>
      </c>
      <c r="N4">
        <v>0</v>
      </c>
      <c r="O4">
        <v>0</v>
      </c>
      <c r="P4" s="195"/>
      <c r="Q4" s="196"/>
      <c r="R4" s="195"/>
    </row>
    <row r="5" spans="1:20" ht="30">
      <c r="A5" s="191" t="s">
        <v>282</v>
      </c>
      <c r="B5" s="3">
        <f>'Vessel Dish Type List (IGNORE!)'!$C$2</f>
        <v>1520</v>
      </c>
      <c r="D5" s="3" t="s">
        <v>307</v>
      </c>
      <c r="E5" s="37">
        <f>ASIN($B$14/$B$6)*(180/PI())</f>
        <v>4.3295736262871767</v>
      </c>
      <c r="L5" s="194" t="s">
        <v>20</v>
      </c>
      <c r="M5">
        <v>58.5</v>
      </c>
      <c r="N5">
        <v>47</v>
      </c>
      <c r="O5">
        <v>16</v>
      </c>
      <c r="P5" s="196">
        <v>91</v>
      </c>
      <c r="Q5" s="196">
        <v>162.80000000000001</v>
      </c>
      <c r="R5" s="195">
        <v>19.37</v>
      </c>
    </row>
    <row r="6" spans="1:20" ht="30">
      <c r="A6" s="191" t="s">
        <v>270</v>
      </c>
      <c r="B6" s="3">
        <f>'Vessel Dish Type List (IGNORE!)'!$E$2</f>
        <v>1520</v>
      </c>
      <c r="D6" s="3" t="s">
        <v>304</v>
      </c>
      <c r="E6" s="37">
        <f>$B$6*(1-COS($E$5*PI()/180))</f>
        <v>4.3376241721905107</v>
      </c>
      <c r="L6" s="194" t="s">
        <v>21</v>
      </c>
      <c r="M6">
        <v>74</v>
      </c>
      <c r="N6">
        <v>47</v>
      </c>
      <c r="O6">
        <v>16</v>
      </c>
      <c r="P6" s="196">
        <v>101</v>
      </c>
      <c r="Q6" s="196">
        <v>172.8</v>
      </c>
      <c r="R6" s="195">
        <v>19.96</v>
      </c>
    </row>
    <row r="7" spans="1:20" ht="30">
      <c r="A7" s="191" t="s">
        <v>284</v>
      </c>
      <c r="B7" s="3">
        <f>'Vessel Dish Type List (IGNORE!)'!$F$2</f>
        <v>152</v>
      </c>
      <c r="D7" s="3" t="s">
        <v>296</v>
      </c>
      <c r="E7" s="3">
        <f>ATAN($B$15/($B$6-$E$6-$B$16))*(180/PI())</f>
        <v>0.82424654800501984</v>
      </c>
      <c r="F7" s="3">
        <f>ATAN($B$19/($B$6-$E$6-$B$18))*(180/PI())</f>
        <v>6.6674535761953653</v>
      </c>
      <c r="L7" s="194" t="s">
        <v>22</v>
      </c>
      <c r="M7">
        <v>80</v>
      </c>
      <c r="N7">
        <v>52</v>
      </c>
      <c r="O7">
        <v>16</v>
      </c>
      <c r="P7" s="196">
        <v>102.5</v>
      </c>
      <c r="Q7" s="196">
        <v>174.3</v>
      </c>
      <c r="R7" s="195">
        <v>19.59</v>
      </c>
    </row>
    <row r="8" spans="1:20">
      <c r="A8" s="191" t="s">
        <v>285</v>
      </c>
      <c r="B8" s="93">
        <f>'Vessel Dish Type List (IGNORE!)'!$G$2</f>
        <v>289.57</v>
      </c>
      <c r="D8" s="3" t="s">
        <v>297</v>
      </c>
      <c r="E8" s="3">
        <f>SQRT(($B$6-$E$6-$B$16)^2+($B$15)^2)</f>
        <v>1390.306236469944</v>
      </c>
      <c r="F8" s="3">
        <f>SQRT(($B$6-$E$6-$B$18)^2+($B$19)^2)</f>
        <v>1507.2361709513782</v>
      </c>
      <c r="L8" s="194" t="s">
        <v>23</v>
      </c>
      <c r="M8">
        <v>88.5</v>
      </c>
      <c r="N8">
        <v>64.75</v>
      </c>
      <c r="O8">
        <v>16</v>
      </c>
      <c r="P8" s="196">
        <v>106</v>
      </c>
      <c r="Q8" s="196">
        <v>177.8</v>
      </c>
      <c r="R8" s="195">
        <v>18.850000000000001</v>
      </c>
    </row>
    <row r="9" spans="1:20">
      <c r="A9" s="191" t="s">
        <v>293</v>
      </c>
      <c r="B9" s="93">
        <f>($B$4-$B$7)*$B$6/($B$6-$B$7)</f>
        <v>664.44444444444446</v>
      </c>
      <c r="D9" s="3" t="s">
        <v>298</v>
      </c>
      <c r="E9" s="3">
        <f>$E$8*SIN(($E$4+$E$7)*(PI()/180))</f>
        <v>323.36040732530984</v>
      </c>
      <c r="F9" s="3">
        <f>$F$8*SIN(($E$4+$F$7)*(PI()/180))</f>
        <v>497.97326776094116</v>
      </c>
      <c r="L9" s="194" t="s">
        <v>24</v>
      </c>
      <c r="M9">
        <v>118</v>
      </c>
      <c r="N9">
        <v>79.75</v>
      </c>
      <c r="O9">
        <v>20</v>
      </c>
      <c r="P9" s="196">
        <v>107.6</v>
      </c>
      <c r="Q9" s="195">
        <f>194.94+4.6</f>
        <v>199.54</v>
      </c>
      <c r="R9" s="195">
        <v>19.09</v>
      </c>
    </row>
    <row r="10" spans="1:20">
      <c r="D10" s="3" t="s">
        <v>299</v>
      </c>
      <c r="E10" s="3">
        <f>$B$6-SQRT($E$8^2-$E$9^2)</f>
        <v>167.82047118674745</v>
      </c>
      <c r="F10" s="3">
        <f>$B$6-SQRT($F$8^2-$F$9^2)</f>
        <v>97.402551801929349</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t="str">
        <f>Input!$C$33</f>
        <v>ZG10</v>
      </c>
      <c r="D13" t="s">
        <v>309</v>
      </c>
      <c r="E13">
        <f>1/3*PI()*$E$10^2*(3*$B$6-$E$10)/1000000</f>
        <v>129.53841345538942</v>
      </c>
      <c r="F13" t="s">
        <v>12</v>
      </c>
      <c r="G13" s="197" t="s">
        <v>309</v>
      </c>
      <c r="H13" s="197" t="s">
        <v>343</v>
      </c>
      <c r="L13" t="s">
        <v>135</v>
      </c>
      <c r="M13">
        <v>225</v>
      </c>
      <c r="N13">
        <v>124.75</v>
      </c>
      <c r="O13">
        <v>0</v>
      </c>
    </row>
    <row r="14" spans="1:20" ht="15.75" thickBot="1">
      <c r="A14" s="191" t="s">
        <v>301</v>
      </c>
      <c r="B14" s="3">
        <f>VLOOKUP($B$13,Tabell3[],3,FALSE)</f>
        <v>114.75</v>
      </c>
      <c r="G14" s="198">
        <f>IF($E$10&lt;$E$3,(1/3*PI()*$E$10^2*(3*$B$6-$E$10)/1000000),IF($E$10&lt;$B$8,(1/3*PI()*$E$3^2*(3*$B$6-$E$3)/1000000)+(((PI()*(SQRT($B$7^2-($E$10-$B$8)^2)+$B$4-$B$7)^2*($E$10-$E$3)-$B$9^2*PI()*($E$10-$E$3))/1.4+$B$9^2*PI()*($E$10-$E$3))/1000000),$E$2+(($E$10-$B$8)*PI()*$B$4^2/1000000)))</f>
        <v>129.69947664784735</v>
      </c>
      <c r="H14" s="198">
        <f>IF($F$10&lt;$E$3,(1/3*PI()*$F$10^2*(3*$B$6-$F$10)/1000000),IF($F$10&lt;$B$8,(1/3*PI()*$E$3^2*(3*$B$6-$E$3)/1000000)+(((PI()*(SQRT($B$7^2-($F$10-$B$8)^2)+$B$4-$B$7)^2*($F$10-$E$3)-$B$9^2*PI()*($F$10-$E$3))/1.4+$B$9^2*PI()*($F$10-$E$3))/1000000),$E$2+(($F$10-$B$8)*PI()*$B$4^2/1000000)))</f>
        <v>44.336050236466448</v>
      </c>
      <c r="L14" s="194" t="s">
        <v>30</v>
      </c>
      <c r="M14">
        <v>33</v>
      </c>
      <c r="N14">
        <v>40</v>
      </c>
      <c r="O14">
        <v>9</v>
      </c>
      <c r="P14" s="195">
        <v>89.75</v>
      </c>
      <c r="Q14" s="196">
        <f>2.27+135.93</f>
        <v>138.20000000000002</v>
      </c>
      <c r="R14" s="196">
        <v>42</v>
      </c>
    </row>
    <row r="15" spans="1:20" ht="30">
      <c r="A15" s="191" t="s">
        <v>305</v>
      </c>
      <c r="B15" s="3">
        <f>VLOOKUP($B$13,Tabell3[],4,FALSE)</f>
        <v>20</v>
      </c>
      <c r="D15" s="11" t="s">
        <v>310</v>
      </c>
      <c r="L15" s="194" t="s">
        <v>31</v>
      </c>
      <c r="M15">
        <v>52.5</v>
      </c>
      <c r="N15">
        <v>57</v>
      </c>
      <c r="O15">
        <v>16</v>
      </c>
      <c r="P15" s="196">
        <v>131.5</v>
      </c>
      <c r="Q15" s="196">
        <f>207.14+4.16</f>
        <v>211.29999999999998</v>
      </c>
      <c r="R15" s="196">
        <v>47</v>
      </c>
    </row>
    <row r="16" spans="1:20" ht="30">
      <c r="A16" s="191" t="s">
        <v>306</v>
      </c>
      <c r="B16" s="3">
        <f>VLOOKUP($B$13,Tabell3[],5,FALSE)</f>
        <v>125.5</v>
      </c>
      <c r="D16" t="s">
        <v>311</v>
      </c>
      <c r="E16">
        <f>1/3*PI()*$E$3^2*(3*$B$6-$E$3)/1000000</f>
        <v>107.91856970321494</v>
      </c>
      <c r="L16" s="194" t="s">
        <v>32</v>
      </c>
      <c r="M16">
        <v>69.5</v>
      </c>
      <c r="N16">
        <v>80</v>
      </c>
      <c r="O16">
        <v>20</v>
      </c>
      <c r="P16" s="196">
        <v>169</v>
      </c>
      <c r="Q16" s="196">
        <f>255.84+4.16</f>
        <v>260</v>
      </c>
      <c r="R16" s="196">
        <v>58</v>
      </c>
    </row>
    <row r="17" spans="1:18">
      <c r="A17" s="191" t="s">
        <v>289</v>
      </c>
      <c r="B17" s="3">
        <f>VLOOKUP($B$13,Tabell3[],6,FALSE)</f>
        <v>217</v>
      </c>
      <c r="D17" t="s">
        <v>312</v>
      </c>
      <c r="E17" s="44" t="s">
        <v>338</v>
      </c>
      <c r="L17" s="194" t="s">
        <v>27</v>
      </c>
      <c r="M17">
        <v>33</v>
      </c>
      <c r="N17">
        <v>27.5</v>
      </c>
      <c r="O17">
        <v>9</v>
      </c>
      <c r="P17" s="195">
        <f>3.5+58.13</f>
        <v>61.63</v>
      </c>
      <c r="Q17" s="195">
        <f>106.56+2.27</f>
        <v>108.83</v>
      </c>
      <c r="R17" s="195">
        <v>34.14</v>
      </c>
    </row>
    <row r="18" spans="1:18">
      <c r="A18" s="191" t="s">
        <v>292</v>
      </c>
      <c r="B18" s="3">
        <f>VLOOKUP($B$13,Tabell3[],7,FALSE)</f>
        <v>18.62</v>
      </c>
      <c r="D18" t="s">
        <v>336</v>
      </c>
      <c r="E18">
        <f>(($B$7^2*ASIN(($E$10-$B$8)/$B$7)/2-$B$7*$E$10+$B$4*$E$10+($E$10-$B$8)*SQRT($B$7^2-($E$10-$B$8)^2)/2)-($B$7^2*ASIN(($E$3-$B$8)/$B$7)/2-$B$7*$E$3+$B$4*$E$3+($E$3-$B$8)*SQRT($B$7^2-($E$3-$B$8)^2)/2))/1000000</f>
        <v>1.0098684152344446E-2</v>
      </c>
      <c r="L18" s="194" t="s">
        <v>28</v>
      </c>
      <c r="M18">
        <v>51.5</v>
      </c>
      <c r="N18">
        <v>47</v>
      </c>
      <c r="O18">
        <v>16</v>
      </c>
      <c r="P18" s="195">
        <v>100.37</v>
      </c>
      <c r="Q18" s="195">
        <f>176.01+4.16</f>
        <v>180.17</v>
      </c>
      <c r="R18" s="195">
        <v>47.4</v>
      </c>
    </row>
    <row r="19" spans="1:18">
      <c r="A19" s="53" t="s">
        <v>345</v>
      </c>
      <c r="B19" s="3">
        <f>VLOOKUP($B$13,Tabell3[],2,FALSE)</f>
        <v>175</v>
      </c>
      <c r="D19" t="s">
        <v>337</v>
      </c>
      <c r="E19">
        <f>(($B$7^2*ASIN(($E$10-$B$8)/$B$7)*(180/PI())/2-$B$7*$E$10+$B$4*$E$10+($E$10-$B$8)*SQRT($B$7^2-($E$10-$B$8)^2)/2)-($B$7^2*ASIN(($E$3-$B$8)/$B$7)*(180/PI())/2-$B$7*$E$3+$B$4*$E$3+($E$3-$B$8)*SQRT($B$7^2-($E$3-$B$8)^2)/2))/1000000</f>
        <v>0.13275485951061955</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f>((PI()*(SQRT($B$7^2-($E$10-$B$8)^2)+$B$4-$B$7)^2*($E$10-$E$3)-$B$9^2*PI()*($E$10-$E$3))/1.4+$B$9^2*PI()*($E$10-$E$3))/1000000</f>
        <v>21.780906944632413</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f>(PI()*($B$7^2*ASIN(($E$10-$B$8)/$B$7)/2-$B$7*$E$10+$B$4*$E$10+($E$10-$B$8)*SQRT($B$7^2-($E$10-$B$8)^2)/2)-PI()*($B$7^2*ASIN(($E$3-$B$8)/$B$7)/2-$B$7*$E$3+$B$4*$E$3+($E$3-$B$8)*SQRT($B$7^2-($E$3-$B$8)^2)/2))/1000000</f>
        <v>3.1725951943928958E-2</v>
      </c>
      <c r="G29">
        <f>(D37-I37)/1000000</f>
        <v>1546.743477655539</v>
      </c>
    </row>
    <row r="30" spans="1:18">
      <c r="D30" t="s">
        <v>337</v>
      </c>
      <c r="E30">
        <f>(($B$7^2*ASIN(($E$10-$B$8)/$B$7)*(180/PI())/2-$B$7*$E$10+$B$4*$E$10+($E$10-$B$8)*SQRT($B$7^2-($E$10-$B$8)^2)/2)-($B$7^2*ASIN(($E$3-$B$8)/$B$7)*(180/PI())/2-$B$7*$E$3+$B$4*$E$3+($E$3-$B$8)*SQRT($B$7^2-($E$3-$B$8)^2)/2))/1000000</f>
        <v>0.13275485951061955</v>
      </c>
    </row>
    <row r="33" spans="1:9">
      <c r="A33" s="53">
        <v>1</v>
      </c>
      <c r="B33">
        <f>-(($B$7^2*($E$10-$B$8)*SQRT((-($E$10-$B$8)^2)/($B$7^2)+1)/$B$7))</f>
        <v>23710.52858272805</v>
      </c>
      <c r="C33">
        <v>5</v>
      </c>
      <c r="D33">
        <f>($B$4*$B$7*($E$10-$B$8)*SQRT((-($E$10-$B$8)^2/($B$7)^2)+1)/$B$7)</f>
        <v>-116992.73971740811</v>
      </c>
      <c r="F33" s="53">
        <v>1</v>
      </c>
      <c r="G33">
        <f>-(($B$7^2*($E$3-$B$8)*SQRT((-($E$3-$B$8)^2)/($B$7^2)+1)/$B$7))</f>
        <v>27931.178699047512</v>
      </c>
      <c r="H33">
        <v>5</v>
      </c>
      <c r="I33">
        <f>($B$4*$B$7*($E$3-$B$8)*SQRT((-($E$3-$B$8)^2/($B$7)^2)+1)/$B$7)</f>
        <v>-137818.3159492476</v>
      </c>
    </row>
    <row r="34" spans="1:9">
      <c r="A34">
        <v>2</v>
      </c>
      <c r="B34">
        <f>7*$B$7*($E$10-$B$8)/(4*$B$7)</f>
        <v>-213.06167542319196</v>
      </c>
      <c r="C34">
        <v>6</v>
      </c>
      <c r="D34">
        <f>-(2*$B$4*$B$7*($E$10-$B$8)/$B$7)</f>
        <v>182624.2932198788</v>
      </c>
      <c r="F34">
        <v>2</v>
      </c>
      <c r="G34">
        <f>7*$B$7*($E$3-$B$8)/(4*$B$7)</f>
        <v>-239.14124675369271</v>
      </c>
      <c r="H34">
        <v>6</v>
      </c>
      <c r="I34">
        <f>-(2*$B$4*$B$7*($E$3-$B$8)/$B$7)</f>
        <v>204978.21150316516</v>
      </c>
    </row>
    <row r="35" spans="1:9">
      <c r="A35">
        <v>3</v>
      </c>
      <c r="B35">
        <f>($B$7^2*SIN(3*SIN(($E$10-$B$8)/$B$7))/12)</f>
        <v>-1606.9500557717502</v>
      </c>
      <c r="C35">
        <v>7</v>
      </c>
      <c r="D35">
        <f>$B$4*$B$7*ASIN(($E$10-$B$8)/$B$7)</f>
        <v>-105898.7707032576</v>
      </c>
      <c r="F35">
        <v>3</v>
      </c>
      <c r="G35">
        <f>($B$7^2*SIN(3*SIN(($E$3-$B$8)/$B$7))/12)</f>
        <v>-1372.3029310083984</v>
      </c>
      <c r="H35">
        <v>7</v>
      </c>
      <c r="I35">
        <f>$B$4*$B$7*ASIN(($E$3-$B$8)/$B$7)</f>
        <v>-127399.8990935233</v>
      </c>
    </row>
    <row r="36" spans="1:9">
      <c r="A36" s="53">
        <v>4</v>
      </c>
      <c r="B36">
        <f>-($B$7^2*ASIN(($E$10-$B$8)/$B$7))</f>
        <v>21462.150862526873</v>
      </c>
      <c r="C36">
        <v>8</v>
      </c>
      <c r="D36">
        <f>-($E$10-$B$8)/$B$7</f>
        <v>0.80098374219245094</v>
      </c>
      <c r="E36" s="82"/>
      <c r="F36" s="53">
        <v>4</v>
      </c>
      <c r="G36">
        <f>-($B$7^2*ASIN(($E$3-$B$8)/$B$7))</f>
        <v>25819.712882954056</v>
      </c>
      <c r="H36">
        <v>8</v>
      </c>
      <c r="I36">
        <f>-($E$3-$B$8)/$B$7</f>
        <v>0.89902724343493501</v>
      </c>
    </row>
    <row r="37" spans="1:9">
      <c r="D37">
        <f>(SUM(B33:B36,D33:D36))*PI()*$B$8*$B$7</f>
        <v>426754727.03400207</v>
      </c>
      <c r="F37" s="53"/>
      <c r="I37">
        <f>(SUM(G33:G36,I33:I36))*PI()*$B$8*$B$7</f>
        <v>-1119988750.621537</v>
      </c>
    </row>
    <row r="39" spans="1:9">
      <c r="E39">
        <f>(D37-I37)/1000000</f>
        <v>1546.743477655539</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ZG7</v>
      </c>
      <c r="M2" s="296" t="s">
        <v>82</v>
      </c>
      <c r="N2" s="297"/>
      <c r="O2" s="297"/>
      <c r="P2" s="297"/>
      <c r="Q2" s="297"/>
      <c r="R2" s="298"/>
    </row>
    <row r="3" spans="1:18" ht="30">
      <c r="A3" s="299" t="s">
        <v>54</v>
      </c>
      <c r="B3" s="300"/>
      <c r="C3" s="300"/>
      <c r="D3" s="300"/>
      <c r="E3" s="300"/>
      <c r="F3" s="301"/>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02" t="s">
        <v>55</v>
      </c>
      <c r="B7" s="263"/>
      <c r="C7" s="263"/>
      <c r="D7" s="263"/>
      <c r="E7" s="263"/>
      <c r="F7" s="303"/>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1500</v>
      </c>
      <c r="F9" s="27"/>
      <c r="M9" s="26" t="s">
        <v>23</v>
      </c>
      <c r="N9">
        <v>129.5</v>
      </c>
      <c r="O9" s="40">
        <v>8.33</v>
      </c>
      <c r="P9">
        <v>177</v>
      </c>
      <c r="Q9">
        <v>127</v>
      </c>
      <c r="R9" s="27">
        <v>32</v>
      </c>
    </row>
    <row r="10" spans="1:18">
      <c r="A10" s="26" t="s">
        <v>69</v>
      </c>
      <c r="B10" t="s">
        <v>50</v>
      </c>
      <c r="C10">
        <f>$C$9</f>
        <v>1500</v>
      </c>
      <c r="F10" s="27"/>
      <c r="M10" s="26" t="s">
        <v>24</v>
      </c>
      <c r="N10">
        <v>159.5</v>
      </c>
      <c r="O10" s="40">
        <v>25.01</v>
      </c>
      <c r="P10">
        <v>236</v>
      </c>
      <c r="Q10">
        <v>135</v>
      </c>
      <c r="R10" s="27">
        <v>40</v>
      </c>
    </row>
    <row r="11" spans="1:18">
      <c r="A11" s="26" t="s">
        <v>70</v>
      </c>
      <c r="B11" t="s">
        <v>51</v>
      </c>
      <c r="C11">
        <f>0.1*$C$10</f>
        <v>150</v>
      </c>
      <c r="F11" s="27"/>
      <c r="M11" s="26" t="s">
        <v>25</v>
      </c>
      <c r="N11">
        <v>199.5</v>
      </c>
      <c r="O11" s="40">
        <v>23.39</v>
      </c>
      <c r="P11">
        <v>300</v>
      </c>
      <c r="Q11">
        <v>147</v>
      </c>
      <c r="R11" s="27">
        <v>40</v>
      </c>
    </row>
    <row r="12" spans="1:18">
      <c r="A12" s="26"/>
      <c r="B12" t="s">
        <v>12</v>
      </c>
      <c r="C12" s="58">
        <f>($C$9/2-$C$11)*$C$10/($C$10-$C$11)</f>
        <v>666.66666666666663</v>
      </c>
      <c r="F12" s="27"/>
      <c r="M12" s="26" t="s">
        <v>26</v>
      </c>
      <c r="N12">
        <v>229.5</v>
      </c>
      <c r="O12" s="40">
        <v>25.44</v>
      </c>
      <c r="P12">
        <v>350</v>
      </c>
      <c r="Q12">
        <v>152</v>
      </c>
      <c r="R12" s="27">
        <v>40</v>
      </c>
    </row>
    <row r="13" spans="1:18" ht="30">
      <c r="A13" s="66" t="s">
        <v>93</v>
      </c>
      <c r="B13" t="s">
        <v>57</v>
      </c>
      <c r="C13" s="58">
        <f>$C$10-((($C$10-$C$11)^2)-(($C$9/2-$C$11)^2))^(0.5)</f>
        <v>290.66133775521757</v>
      </c>
      <c r="F13" s="27"/>
      <c r="M13" s="26" t="s">
        <v>27</v>
      </c>
      <c r="N13">
        <v>55</v>
      </c>
      <c r="O13" s="40">
        <v>4.82</v>
      </c>
      <c r="P13">
        <v>66</v>
      </c>
      <c r="Q13">
        <v>71.27</v>
      </c>
      <c r="R13" s="27">
        <v>18</v>
      </c>
    </row>
    <row r="14" spans="1:18" ht="30">
      <c r="A14" s="66" t="s">
        <v>94</v>
      </c>
      <c r="B14" t="s">
        <v>58</v>
      </c>
      <c r="C14" s="58">
        <f>$C$10*(1-(($C$10-$C$13)/($C$10-$C$11)))</f>
        <v>156.29037528357509</v>
      </c>
      <c r="F14" s="27"/>
      <c r="M14" s="26" t="s">
        <v>28</v>
      </c>
      <c r="N14">
        <v>94</v>
      </c>
      <c r="O14" s="40">
        <v>7</v>
      </c>
      <c r="P14">
        <v>103</v>
      </c>
      <c r="Q14">
        <v>122</v>
      </c>
      <c r="R14" s="27">
        <v>32</v>
      </c>
    </row>
    <row r="15" spans="1:18" ht="45">
      <c r="A15" s="66" t="s">
        <v>95</v>
      </c>
      <c r="B15" t="s">
        <v>59</v>
      </c>
      <c r="C15" s="58">
        <f>$C$13-$C$14</f>
        <v>134.37096247164249</v>
      </c>
      <c r="F15" s="27"/>
      <c r="M15" s="26" t="s">
        <v>29</v>
      </c>
      <c r="N15">
        <v>159.5</v>
      </c>
      <c r="O15" s="40"/>
      <c r="P15">
        <v>136</v>
      </c>
      <c r="Q15" s="40"/>
      <c r="R15" s="27">
        <v>40</v>
      </c>
    </row>
    <row r="16" spans="1:18" ht="15.75" thickBot="1">
      <c r="A16" s="78"/>
      <c r="B16" s="59" t="s">
        <v>115</v>
      </c>
      <c r="C16" s="60">
        <f>($C$9/2-$C$11)</f>
        <v>600</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296" t="s">
        <v>61</v>
      </c>
      <c r="B18" s="297"/>
      <c r="C18" s="297"/>
      <c r="D18" s="297"/>
      <c r="E18" s="297"/>
      <c r="F18" s="297"/>
      <c r="G18" s="30"/>
      <c r="M18" s="26" t="s">
        <v>32</v>
      </c>
      <c r="N18">
        <v>160</v>
      </c>
      <c r="O18" s="40"/>
      <c r="P18">
        <v>153.19999999999999</v>
      </c>
      <c r="Q18" s="40"/>
      <c r="R18" s="27">
        <v>40</v>
      </c>
    </row>
    <row r="19" spans="1:18">
      <c r="A19" s="26" t="s">
        <v>73</v>
      </c>
      <c r="B19" s="54" t="s">
        <v>72</v>
      </c>
      <c r="C19" s="62">
        <f>IF($C$9&lt;1000,$C$12/2,$C$12*0.4)</f>
        <v>266.66666666666669</v>
      </c>
      <c r="E19" s="54"/>
      <c r="F19" s="54"/>
      <c r="G19" s="27"/>
      <c r="M19" s="26" t="s">
        <v>79</v>
      </c>
      <c r="O19" s="40"/>
      <c r="Q19" s="40"/>
      <c r="R19" s="27">
        <v>18</v>
      </c>
    </row>
    <row r="20" spans="1:18">
      <c r="A20" s="66" t="s">
        <v>62</v>
      </c>
      <c r="B20" t="s">
        <v>65</v>
      </c>
      <c r="C20" s="63">
        <f>ASIN($C$19/$C$10)</f>
        <v>0.17872779475577344</v>
      </c>
      <c r="G20" s="27"/>
      <c r="M20" s="26" t="s">
        <v>80</v>
      </c>
      <c r="N20">
        <v>94</v>
      </c>
      <c r="O20" s="40"/>
      <c r="P20">
        <v>150</v>
      </c>
      <c r="Q20" s="40"/>
      <c r="R20" s="27">
        <v>32</v>
      </c>
    </row>
    <row r="21" spans="1:18" ht="30">
      <c r="A21" s="66" t="s">
        <v>63</v>
      </c>
      <c r="B21" t="s">
        <v>66</v>
      </c>
      <c r="C21" s="64">
        <f>$C$10-(($C$10^2)-(VLOOKUP($B$2,$M$4:$R$23,2,FALSE)/2)^2)^0.5</f>
        <v>1.3981724620778095</v>
      </c>
      <c r="G21" s="27"/>
      <c r="M21" s="26" t="s">
        <v>81</v>
      </c>
      <c r="O21" s="40"/>
      <c r="Q21" s="40"/>
      <c r="R21" s="27">
        <v>40</v>
      </c>
    </row>
    <row r="22" spans="1:18" ht="30.75" thickBot="1">
      <c r="A22" s="66" t="s">
        <v>64</v>
      </c>
      <c r="B22" t="s">
        <v>67</v>
      </c>
      <c r="C22" s="65">
        <f>$C$10-(($C$10^2-$C$19^2)^0.5)</f>
        <v>23.894011634364688</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04" t="s">
        <v>85</v>
      </c>
      <c r="B24" s="292"/>
      <c r="C24" s="292"/>
      <c r="E24" s="293" t="s">
        <v>86</v>
      </c>
      <c r="F24" s="293"/>
      <c r="G24" s="294"/>
      <c r="H24" s="61"/>
      <c r="I24" s="61"/>
      <c r="J24" s="61"/>
      <c r="K24" s="61"/>
    </row>
    <row r="25" spans="1:18" ht="30">
      <c r="A25" s="66" t="s">
        <v>84</v>
      </c>
      <c r="B25" t="s">
        <v>87</v>
      </c>
      <c r="C25" s="67">
        <f>VLOOKUP($B$2,$M$4:$R$23,3,FALSE)</f>
        <v>8.33</v>
      </c>
      <c r="E25" s="53" t="s">
        <v>96</v>
      </c>
      <c r="F25" t="s">
        <v>90</v>
      </c>
      <c r="G25" s="67">
        <f>VLOOKUP($B$2,$M$4:$R$23,5,FALSE)</f>
        <v>127</v>
      </c>
    </row>
    <row r="26" spans="1:18" ht="45">
      <c r="A26" s="26"/>
      <c r="B26" s="53" t="s">
        <v>88</v>
      </c>
      <c r="C26" s="68">
        <f>VLOOKUP($B$2,$M$4:$R$23,4,FALSE)*SIN($C$20)/2</f>
        <v>15.733333333333334</v>
      </c>
      <c r="F26" s="53" t="s">
        <v>91</v>
      </c>
      <c r="G26" s="68">
        <f>VLOOKUP($B$2,$M$4:$R$23,6,FALSE)*SIN($C$20)/2</f>
        <v>2.8444444444444446</v>
      </c>
    </row>
    <row r="27" spans="1:18" ht="15.75" thickBot="1">
      <c r="A27" s="26" t="s">
        <v>85</v>
      </c>
      <c r="B27" s="44" t="s">
        <v>89</v>
      </c>
      <c r="C27" s="65">
        <f>($C$22+$C$21)*COS($C$20)+$C$25+$C$26</f>
        <v>48.952629602403235</v>
      </c>
      <c r="E27" t="s">
        <v>86</v>
      </c>
      <c r="F27" t="s">
        <v>92</v>
      </c>
      <c r="G27" s="71">
        <f>($C$22+$C$21)*COS($C$20)+G25+G26</f>
        <v>154.73374071351435</v>
      </c>
    </row>
    <row r="28" spans="1:18">
      <c r="B28" s="44" t="s">
        <v>117</v>
      </c>
      <c r="C28" s="79">
        <f>$C$10-$C$27</f>
        <v>1451.0473703975968</v>
      </c>
      <c r="F28" t="s">
        <v>118</v>
      </c>
      <c r="G28" s="27">
        <f>$C$10-$G$27</f>
        <v>1345.2662592864856</v>
      </c>
    </row>
    <row r="29" spans="1:18" ht="27" customHeight="1" thickBot="1">
      <c r="B29" s="292" t="s">
        <v>107</v>
      </c>
      <c r="C29" s="292"/>
      <c r="F29" s="293" t="s">
        <v>86</v>
      </c>
      <c r="G29" s="294"/>
      <c r="H29" s="44"/>
      <c r="I29" s="44"/>
      <c r="J29" s="44"/>
      <c r="K29" s="44"/>
    </row>
    <row r="30" spans="1:18">
      <c r="A30" s="26" t="s">
        <v>97</v>
      </c>
      <c r="B30" t="s">
        <v>98</v>
      </c>
      <c r="C30" s="67">
        <f>-$C$10</f>
        <v>-1500</v>
      </c>
      <c r="F30" t="s">
        <v>98</v>
      </c>
      <c r="G30" s="67">
        <f>-$C$10</f>
        <v>-1500</v>
      </c>
      <c r="L30" s="44"/>
    </row>
    <row r="31" spans="1:18">
      <c r="A31" s="26"/>
      <c r="B31" s="44" t="s">
        <v>99</v>
      </c>
      <c r="C31" s="70">
        <f>-$C$10+IF($C$27&lt;$C$14,$C$27,$C$14)</f>
        <v>-1451.0473703975968</v>
      </c>
      <c r="F31" t="s">
        <v>99</v>
      </c>
      <c r="G31" s="70">
        <f>-$C$10+IF($G$27&lt;$C$14,$G$27,$C$14)</f>
        <v>-1345.2662592864856</v>
      </c>
      <c r="L31" s="44"/>
    </row>
    <row r="32" spans="1:18">
      <c r="A32" s="26"/>
      <c r="B32" s="44" t="s">
        <v>100</v>
      </c>
      <c r="C32" s="70">
        <f>($C$10^2)*($C$30)-(($C$30)^3)/3</f>
        <v>-2250000000</v>
      </c>
      <c r="F32" t="s">
        <v>100</v>
      </c>
      <c r="G32" s="70">
        <f>($C$10^2)*($G$30)-(($G$30)^3)/3</f>
        <v>-2250000000</v>
      </c>
      <c r="L32" s="44"/>
    </row>
    <row r="33" spans="1:15">
      <c r="A33" s="26"/>
      <c r="B33" t="s">
        <v>101</v>
      </c>
      <c r="C33" s="70">
        <f>($C$10^2)*($C$31)-(($C$31)^3)/3</f>
        <v>-2246444562.7894421</v>
      </c>
      <c r="F33" t="s">
        <v>101</v>
      </c>
      <c r="G33" s="70">
        <f>($C$10^2)*($G$31)-(($G$31)^3)/3</f>
        <v>-2215321109.9967923</v>
      </c>
      <c r="L33" s="44"/>
    </row>
    <row r="34" spans="1:15" ht="15.75" thickBot="1">
      <c r="A34" s="26"/>
      <c r="B34" t="s">
        <v>13</v>
      </c>
      <c r="C34" s="71">
        <f>($C$33-$C$32)*PI()</f>
        <v>11169735.420988603</v>
      </c>
      <c r="F34" t="s">
        <v>13</v>
      </c>
      <c r="G34" s="71">
        <f>($G$33-$G$32)*PI()</f>
        <v>108946946.06872578</v>
      </c>
      <c r="L34" s="44"/>
    </row>
    <row r="35" spans="1:15" ht="15.75" thickBot="1">
      <c r="A35" s="26"/>
      <c r="G35" s="27"/>
    </row>
    <row r="36" spans="1:15">
      <c r="A36" s="26" t="s">
        <v>55</v>
      </c>
      <c r="B36" t="s">
        <v>98</v>
      </c>
      <c r="C36" s="67">
        <f>IF($C$27&gt;$C$14,$C$14,0)</f>
        <v>0</v>
      </c>
      <c r="F36" t="s">
        <v>98</v>
      </c>
      <c r="G36" s="67">
        <f>IF($G$27&gt;$C$14,$C$14,0)</f>
        <v>0</v>
      </c>
      <c r="L36" s="44"/>
    </row>
    <row r="37" spans="1:15">
      <c r="A37" s="26"/>
      <c r="B37" t="s">
        <v>99</v>
      </c>
      <c r="C37" s="70">
        <f>IF($C$27&gt;$C$14,IF($C$13&gt;$C$27,$C$27,$C$13),0)</f>
        <v>0</v>
      </c>
      <c r="F37" t="s">
        <v>99</v>
      </c>
      <c r="G37" s="75">
        <f>IF($G$27&gt;$C$14,IF($C$13&gt;$G$27,$G$27,$C$13),0)</f>
        <v>0</v>
      </c>
      <c r="O37" s="44"/>
    </row>
    <row r="38" spans="1:15" ht="15.75" thickBot="1">
      <c r="A38" s="26"/>
      <c r="B38" t="s">
        <v>13</v>
      </c>
      <c r="C38" s="69">
        <f>SUM($E$50:$E$2049)*PI()</f>
        <v>0</v>
      </c>
      <c r="F38" t="s">
        <v>13</v>
      </c>
      <c r="G38" s="69">
        <f>SUM($K$50:$K$2048)*PI()</f>
        <v>-2161976.1626656773</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11169735.420988603</v>
      </c>
      <c r="F44" s="7" t="s">
        <v>105</v>
      </c>
      <c r="G44" s="67">
        <f>$G$34+$G$38+$G$42</f>
        <v>106784969.9060601</v>
      </c>
    </row>
    <row r="45" spans="1:15" ht="30.75" thickBot="1">
      <c r="A45" s="73" t="s">
        <v>104</v>
      </c>
      <c r="B45" s="59"/>
      <c r="C45" s="76">
        <f>$C$44/10^6</f>
        <v>11.169735420988603</v>
      </c>
      <c r="D45" s="59"/>
      <c r="E45" s="59"/>
      <c r="F45" s="74" t="s">
        <v>106</v>
      </c>
      <c r="G45" s="76">
        <f>$G$44/10^6</f>
        <v>106.7849699060601</v>
      </c>
    </row>
    <row r="46" spans="1:15">
      <c r="A46" s="31"/>
      <c r="B46" s="77"/>
      <c r="C46" s="77"/>
      <c r="D46" s="77"/>
      <c r="E46" s="77"/>
      <c r="F46" s="77"/>
      <c r="G46" s="77"/>
      <c r="H46" s="77"/>
      <c r="I46" s="77"/>
      <c r="J46" s="77"/>
      <c r="K46" s="30"/>
    </row>
    <row r="47" spans="1:15" ht="24" customHeight="1">
      <c r="A47" s="295" t="s">
        <v>108</v>
      </c>
      <c r="B47" s="293"/>
      <c r="C47" s="293"/>
      <c r="D47" s="293"/>
      <c r="E47" s="293"/>
      <c r="F47" s="293"/>
      <c r="G47" s="293"/>
      <c r="H47" s="293"/>
      <c r="I47" s="293"/>
      <c r="J47" s="293"/>
      <c r="K47" s="294"/>
    </row>
    <row r="48" spans="1:15">
      <c r="A48" s="295" t="s">
        <v>109</v>
      </c>
      <c r="B48" s="293"/>
      <c r="C48" s="293"/>
      <c r="D48" s="293"/>
      <c r="E48" s="293"/>
      <c r="G48" s="293" t="s">
        <v>114</v>
      </c>
      <c r="H48" s="293"/>
      <c r="I48" s="293"/>
      <c r="J48" s="293"/>
      <c r="K48" s="294"/>
    </row>
    <row r="49" spans="1:14">
      <c r="A49" s="26"/>
      <c r="B49" t="s">
        <v>110</v>
      </c>
      <c r="C49" t="s">
        <v>111</v>
      </c>
      <c r="D49" t="s">
        <v>112</v>
      </c>
      <c r="E49" t="s">
        <v>113</v>
      </c>
      <c r="H49" t="s">
        <v>110</v>
      </c>
      <c r="I49" t="s">
        <v>111</v>
      </c>
      <c r="J49" t="s">
        <v>112</v>
      </c>
      <c r="K49" s="27" t="s">
        <v>113</v>
      </c>
    </row>
    <row r="50" spans="1:14">
      <c r="A50" s="26">
        <v>0</v>
      </c>
      <c r="B50" s="82">
        <v>0</v>
      </c>
      <c r="C50" s="58">
        <f>$C$14</f>
        <v>156.29037528357509</v>
      </c>
      <c r="D50" s="83">
        <f>IF($G$28&lt;$C$14,0,((($C$11^2)-((C50-$C$13)^2))^0.5)+$C$16)</f>
        <v>666.66666666666663</v>
      </c>
      <c r="E50">
        <f>((D50^2)+(D50*D51)+(D51^2))*B51/3</f>
        <v>0</v>
      </c>
      <c r="G50">
        <v>0</v>
      </c>
      <c r="H50">
        <v>0</v>
      </c>
      <c r="I50" s="58">
        <f>$C$14</f>
        <v>156.29037528357509</v>
      </c>
      <c r="J50">
        <f>IF($G$28&lt;$C$14,0,((($C$11^2)-((I50-$C$13)^2))^0.5)+$C$16)</f>
        <v>666.66666666666663</v>
      </c>
      <c r="K50" s="27">
        <f>((J50^2)+(J50*J51)+(J51^2))*H51/3</f>
        <v>-345.91797935014642</v>
      </c>
      <c r="M50" s="44"/>
      <c r="N50" s="44"/>
    </row>
    <row r="51" spans="1:14">
      <c r="A51" s="26">
        <v>1</v>
      </c>
      <c r="B51" s="82">
        <f>C51-C50</f>
        <v>0</v>
      </c>
      <c r="C51" s="58">
        <f>($C$37-$C$36)/2000+C50</f>
        <v>156.29037528357509</v>
      </c>
      <c r="D51" s="83">
        <f>IF($G$28&lt;$C$14,0,((($C$11^2)-((C51-$C$13)^2))^0.5)+$C$16)</f>
        <v>666.66666666666663</v>
      </c>
      <c r="E51">
        <f t="shared" ref="E51:E114" si="0">((D51^2)+(D51*D52)+(D52^2))*B52/3</f>
        <v>0</v>
      </c>
      <c r="G51">
        <v>1</v>
      </c>
      <c r="H51" s="13">
        <f>I51-I50</f>
        <v>-7.7831728503952036E-4</v>
      </c>
      <c r="I51">
        <f>($G$27-$C$14)/2000+I50</f>
        <v>156.28959696629005</v>
      </c>
      <c r="J51">
        <f t="shared" ref="J51:J114" si="1">IF($G$28&lt;$C$14,0,((($C$11^2)-((I51-$C$13)^2))^0.5)+$C$16)</f>
        <v>666.66509789502504</v>
      </c>
      <c r="K51" s="27">
        <f t="shared" ref="K51:K114" si="2">((J51^2)+(J51*J52)+(J52^2))*H52/3</f>
        <v>-345.91635132732682</v>
      </c>
      <c r="M51" s="44"/>
    </row>
    <row r="52" spans="1:14">
      <c r="A52" s="26">
        <v>2</v>
      </c>
      <c r="B52" s="82">
        <f t="shared" ref="B52:B115" si="3">C52-C51</f>
        <v>0</v>
      </c>
      <c r="C52" s="58">
        <f t="shared" ref="C52:C58" si="4">($C$37-$C$36)/2000+C51</f>
        <v>156.29037528357509</v>
      </c>
      <c r="D52" s="83">
        <f t="shared" ref="D52:D115" si="5">IF($G$28&lt;$C$14,0,((($C$11^2)-((C52-$C$13)^2))^0.5)+$C$16)</f>
        <v>666.66666666666663</v>
      </c>
      <c r="E52">
        <f t="shared" si="0"/>
        <v>0</v>
      </c>
      <c r="G52">
        <v>2</v>
      </c>
      <c r="H52" s="13">
        <f t="shared" ref="H52:H115" si="6">I52-I51</f>
        <v>-7.7831728503952036E-4</v>
      </c>
      <c r="I52">
        <f t="shared" ref="I52:I115" si="7">($G$27-$C$14)/2000+I51</f>
        <v>156.28881864900501</v>
      </c>
      <c r="J52">
        <f t="shared" si="1"/>
        <v>666.66352907737894</v>
      </c>
      <c r="K52" s="27">
        <f t="shared" si="2"/>
        <v>-345.91472326059539</v>
      </c>
      <c r="M52" s="44"/>
    </row>
    <row r="53" spans="1:14">
      <c r="A53" s="26">
        <v>3</v>
      </c>
      <c r="B53" s="82">
        <f t="shared" si="3"/>
        <v>0</v>
      </c>
      <c r="C53" s="58">
        <f t="shared" si="4"/>
        <v>156.29037528357509</v>
      </c>
      <c r="D53" s="83">
        <f t="shared" si="5"/>
        <v>666.66666666666663</v>
      </c>
      <c r="E53">
        <f t="shared" si="0"/>
        <v>0</v>
      </c>
      <c r="G53">
        <v>3</v>
      </c>
      <c r="H53" s="13">
        <f t="shared" si="6"/>
        <v>-7.7831728503952036E-4</v>
      </c>
      <c r="I53">
        <f t="shared" si="7"/>
        <v>156.28804033171997</v>
      </c>
      <c r="J53">
        <f t="shared" si="1"/>
        <v>666.66196021372502</v>
      </c>
      <c r="K53" s="27">
        <f t="shared" si="2"/>
        <v>-345.91309514994902</v>
      </c>
    </row>
    <row r="54" spans="1:14">
      <c r="A54" s="26">
        <v>4</v>
      </c>
      <c r="B54" s="82">
        <f t="shared" si="3"/>
        <v>0</v>
      </c>
      <c r="C54" s="58">
        <f t="shared" si="4"/>
        <v>156.29037528357509</v>
      </c>
      <c r="D54" s="83">
        <f t="shared" si="5"/>
        <v>666.66666666666663</v>
      </c>
      <c r="E54">
        <f t="shared" si="0"/>
        <v>0</v>
      </c>
      <c r="G54">
        <v>4</v>
      </c>
      <c r="H54" s="13">
        <f t="shared" si="6"/>
        <v>-7.7831728503952036E-4</v>
      </c>
      <c r="I54">
        <f t="shared" si="7"/>
        <v>156.28726201443493</v>
      </c>
      <c r="J54">
        <f t="shared" si="1"/>
        <v>666.66039130406011</v>
      </c>
      <c r="K54" s="27">
        <f t="shared" si="2"/>
        <v>-345.91146699538484</v>
      </c>
    </row>
    <row r="55" spans="1:14">
      <c r="A55" s="26">
        <v>5</v>
      </c>
      <c r="B55" s="82">
        <f t="shared" si="3"/>
        <v>0</v>
      </c>
      <c r="C55" s="58">
        <f t="shared" si="4"/>
        <v>156.29037528357509</v>
      </c>
      <c r="D55" s="83">
        <f t="shared" si="5"/>
        <v>666.66666666666663</v>
      </c>
      <c r="E55">
        <f t="shared" si="0"/>
        <v>0</v>
      </c>
      <c r="G55">
        <v>5</v>
      </c>
      <c r="H55" s="13">
        <f t="shared" si="6"/>
        <v>-7.7831728503952036E-4</v>
      </c>
      <c r="I55">
        <f t="shared" si="7"/>
        <v>156.28648369714989</v>
      </c>
      <c r="J55">
        <f t="shared" si="1"/>
        <v>666.65882234838091</v>
      </c>
      <c r="K55" s="27">
        <f t="shared" si="2"/>
        <v>-345.90983879689969</v>
      </c>
    </row>
    <row r="56" spans="1:14">
      <c r="A56" s="26">
        <v>6</v>
      </c>
      <c r="B56" s="82">
        <f t="shared" si="3"/>
        <v>0</v>
      </c>
      <c r="C56" s="58">
        <f t="shared" si="4"/>
        <v>156.29037528357509</v>
      </c>
      <c r="D56" s="83">
        <f t="shared" si="5"/>
        <v>666.66666666666663</v>
      </c>
      <c r="E56">
        <f t="shared" si="0"/>
        <v>0</v>
      </c>
      <c r="G56">
        <v>6</v>
      </c>
      <c r="H56" s="13">
        <f t="shared" si="6"/>
        <v>-7.7831728503952036E-4</v>
      </c>
      <c r="I56">
        <f t="shared" si="7"/>
        <v>156.28570537986485</v>
      </c>
      <c r="J56">
        <f t="shared" si="1"/>
        <v>666.65725334668434</v>
      </c>
      <c r="K56" s="27">
        <f t="shared" si="2"/>
        <v>-345.90821055449072</v>
      </c>
    </row>
    <row r="57" spans="1:14">
      <c r="A57" s="26">
        <v>7</v>
      </c>
      <c r="B57" s="82">
        <f t="shared" si="3"/>
        <v>0</v>
      </c>
      <c r="C57" s="58">
        <f t="shared" si="4"/>
        <v>156.29037528357509</v>
      </c>
      <c r="D57" s="83">
        <f t="shared" si="5"/>
        <v>666.66666666666663</v>
      </c>
      <c r="E57">
        <f t="shared" si="0"/>
        <v>0</v>
      </c>
      <c r="G57">
        <v>7</v>
      </c>
      <c r="H57" s="13">
        <f t="shared" si="6"/>
        <v>-7.7831728503952036E-4</v>
      </c>
      <c r="I57">
        <f t="shared" si="7"/>
        <v>156.28492706257981</v>
      </c>
      <c r="J57">
        <f t="shared" si="1"/>
        <v>666.65568429896689</v>
      </c>
      <c r="K57" s="27">
        <f t="shared" si="2"/>
        <v>-345.90658226815458</v>
      </c>
    </row>
    <row r="58" spans="1:14">
      <c r="A58" s="26">
        <v>8</v>
      </c>
      <c r="B58" s="82">
        <f t="shared" si="3"/>
        <v>0</v>
      </c>
      <c r="C58" s="58">
        <f t="shared" si="4"/>
        <v>156.29037528357509</v>
      </c>
      <c r="D58" s="83">
        <f t="shared" si="5"/>
        <v>666.66666666666663</v>
      </c>
      <c r="E58">
        <f t="shared" si="0"/>
        <v>0</v>
      </c>
      <c r="G58">
        <v>8</v>
      </c>
      <c r="H58" s="13">
        <f t="shared" si="6"/>
        <v>-7.7831728503952036E-4</v>
      </c>
      <c r="I58">
        <f t="shared" si="7"/>
        <v>156.28414874529477</v>
      </c>
      <c r="J58">
        <f t="shared" si="1"/>
        <v>666.65411520522559</v>
      </c>
      <c r="K58" s="27">
        <f t="shared" si="2"/>
        <v>-345.90495393788865</v>
      </c>
    </row>
    <row r="59" spans="1:14">
      <c r="A59" s="26">
        <v>9</v>
      </c>
      <c r="B59" s="82">
        <f t="shared" si="3"/>
        <v>0</v>
      </c>
      <c r="C59" s="58">
        <f t="shared" ref="C59:C64" si="8">($C$37-$C$36)/2000+C58</f>
        <v>156.29037528357509</v>
      </c>
      <c r="D59" s="83">
        <f t="shared" si="5"/>
        <v>666.66666666666663</v>
      </c>
      <c r="E59">
        <f t="shared" si="0"/>
        <v>0</v>
      </c>
      <c r="G59">
        <v>9</v>
      </c>
      <c r="H59" s="13">
        <f t="shared" si="6"/>
        <v>-7.7831728503952036E-4</v>
      </c>
      <c r="I59">
        <f t="shared" si="7"/>
        <v>156.28337042800973</v>
      </c>
      <c r="J59">
        <f t="shared" si="1"/>
        <v>666.65254606545693</v>
      </c>
      <c r="K59" s="27">
        <f t="shared" si="2"/>
        <v>-345.90332556368952</v>
      </c>
    </row>
    <row r="60" spans="1:14">
      <c r="A60" s="26">
        <v>10</v>
      </c>
      <c r="B60" s="82">
        <f t="shared" si="3"/>
        <v>0</v>
      </c>
      <c r="C60" s="58">
        <f t="shared" si="8"/>
        <v>156.29037528357509</v>
      </c>
      <c r="D60" s="83">
        <f t="shared" si="5"/>
        <v>666.66666666666663</v>
      </c>
      <c r="E60">
        <f t="shared" si="0"/>
        <v>0</v>
      </c>
      <c r="G60">
        <v>10</v>
      </c>
      <c r="H60" s="13">
        <f t="shared" si="6"/>
        <v>-7.7831728503952036E-4</v>
      </c>
      <c r="I60">
        <f t="shared" si="7"/>
        <v>156.28259211072469</v>
      </c>
      <c r="J60">
        <f t="shared" si="1"/>
        <v>666.65097687965783</v>
      </c>
      <c r="K60" s="27">
        <f t="shared" si="2"/>
        <v>-345.90169714555435</v>
      </c>
    </row>
    <row r="61" spans="1:14">
      <c r="A61" s="26">
        <v>11</v>
      </c>
      <c r="B61" s="82">
        <f t="shared" si="3"/>
        <v>0</v>
      </c>
      <c r="C61" s="58">
        <f t="shared" si="8"/>
        <v>156.29037528357509</v>
      </c>
      <c r="D61" s="83">
        <f t="shared" si="5"/>
        <v>666.66666666666663</v>
      </c>
      <c r="E61">
        <f t="shared" si="0"/>
        <v>0</v>
      </c>
      <c r="G61">
        <v>11</v>
      </c>
      <c r="H61" s="13">
        <f t="shared" si="6"/>
        <v>-7.7831728503952036E-4</v>
      </c>
      <c r="I61">
        <f t="shared" si="7"/>
        <v>156.28181379343965</v>
      </c>
      <c r="J61">
        <f t="shared" si="1"/>
        <v>666.649407647825</v>
      </c>
      <c r="K61" s="27">
        <f t="shared" si="2"/>
        <v>-345.90006868348001</v>
      </c>
    </row>
    <row r="62" spans="1:14">
      <c r="A62" s="26">
        <v>12</v>
      </c>
      <c r="B62" s="82">
        <f t="shared" si="3"/>
        <v>0</v>
      </c>
      <c r="C62" s="58">
        <f t="shared" si="8"/>
        <v>156.29037528357509</v>
      </c>
      <c r="D62" s="83">
        <f t="shared" si="5"/>
        <v>666.66666666666663</v>
      </c>
      <c r="E62">
        <f t="shared" si="0"/>
        <v>0</v>
      </c>
      <c r="G62">
        <v>12</v>
      </c>
      <c r="H62" s="13">
        <f t="shared" si="6"/>
        <v>-7.7831728503952036E-4</v>
      </c>
      <c r="I62">
        <f t="shared" si="7"/>
        <v>156.28103547615461</v>
      </c>
      <c r="J62">
        <f t="shared" si="1"/>
        <v>666.64783836995514</v>
      </c>
      <c r="K62" s="27">
        <f t="shared" si="2"/>
        <v>-345.89844017746356</v>
      </c>
    </row>
    <row r="63" spans="1:14">
      <c r="A63" s="26">
        <v>13</v>
      </c>
      <c r="B63" s="82">
        <f t="shared" si="3"/>
        <v>0</v>
      </c>
      <c r="C63" s="58">
        <f t="shared" si="8"/>
        <v>156.29037528357509</v>
      </c>
      <c r="D63" s="83">
        <f t="shared" si="5"/>
        <v>666.66666666666663</v>
      </c>
      <c r="E63">
        <f t="shared" si="0"/>
        <v>0</v>
      </c>
      <c r="G63">
        <v>13</v>
      </c>
      <c r="H63" s="13">
        <f t="shared" si="6"/>
        <v>-7.7831728503952036E-4</v>
      </c>
      <c r="I63">
        <f t="shared" si="7"/>
        <v>156.28025715886957</v>
      </c>
      <c r="J63">
        <f t="shared" si="1"/>
        <v>666.64626904604506</v>
      </c>
      <c r="K63" s="27">
        <f t="shared" si="2"/>
        <v>-345.89681162750202</v>
      </c>
    </row>
    <row r="64" spans="1:14">
      <c r="A64" s="26">
        <v>14</v>
      </c>
      <c r="B64" s="82">
        <f t="shared" si="3"/>
        <v>0</v>
      </c>
      <c r="C64" s="58">
        <f t="shared" si="8"/>
        <v>156.29037528357509</v>
      </c>
      <c r="D64" s="83">
        <f t="shared" si="5"/>
        <v>666.66666666666663</v>
      </c>
      <c r="E64">
        <f t="shared" si="0"/>
        <v>0</v>
      </c>
      <c r="G64">
        <v>14</v>
      </c>
      <c r="H64" s="13">
        <f t="shared" si="6"/>
        <v>-7.7831728503952036E-4</v>
      </c>
      <c r="I64">
        <f t="shared" si="7"/>
        <v>156.27947884158453</v>
      </c>
      <c r="J64">
        <f t="shared" si="1"/>
        <v>666.64469967609148</v>
      </c>
      <c r="K64" s="27">
        <f t="shared" si="2"/>
        <v>-345.89518303359205</v>
      </c>
    </row>
    <row r="65" spans="1:11">
      <c r="A65" s="26">
        <v>15</v>
      </c>
      <c r="B65" s="82">
        <f t="shared" si="3"/>
        <v>0</v>
      </c>
      <c r="C65" s="58">
        <f t="shared" ref="C65:C79" si="9">($C$37-$C$36)/2000+C64</f>
        <v>156.29037528357509</v>
      </c>
      <c r="D65" s="83">
        <f t="shared" si="5"/>
        <v>666.66666666666663</v>
      </c>
      <c r="E65">
        <f t="shared" si="0"/>
        <v>0</v>
      </c>
      <c r="G65">
        <v>15</v>
      </c>
      <c r="H65" s="13">
        <f t="shared" si="6"/>
        <v>-7.7831728503952036E-4</v>
      </c>
      <c r="I65">
        <f t="shared" si="7"/>
        <v>156.2787005242995</v>
      </c>
      <c r="J65">
        <f t="shared" si="1"/>
        <v>666.64313026009108</v>
      </c>
      <c r="K65" s="27">
        <f t="shared" si="2"/>
        <v>-345.89355439573086</v>
      </c>
    </row>
    <row r="66" spans="1:11">
      <c r="A66" s="26">
        <v>16</v>
      </c>
      <c r="B66" s="82">
        <f t="shared" si="3"/>
        <v>0</v>
      </c>
      <c r="C66" s="58">
        <f t="shared" si="9"/>
        <v>156.29037528357509</v>
      </c>
      <c r="D66" s="83">
        <f t="shared" si="5"/>
        <v>666.66666666666663</v>
      </c>
      <c r="E66">
        <f t="shared" si="0"/>
        <v>0</v>
      </c>
      <c r="G66">
        <v>16</v>
      </c>
      <c r="H66" s="13">
        <f t="shared" si="6"/>
        <v>-7.7831728503952036E-4</v>
      </c>
      <c r="I66">
        <f t="shared" si="7"/>
        <v>156.27792220701446</v>
      </c>
      <c r="J66">
        <f t="shared" si="1"/>
        <v>666.6415607980407</v>
      </c>
      <c r="K66" s="27">
        <f t="shared" si="2"/>
        <v>-345.89192571391533</v>
      </c>
    </row>
    <row r="67" spans="1:11">
      <c r="A67" s="26">
        <v>17</v>
      </c>
      <c r="B67" s="82">
        <f t="shared" si="3"/>
        <v>0</v>
      </c>
      <c r="C67" s="58">
        <f t="shared" si="9"/>
        <v>156.29037528357509</v>
      </c>
      <c r="D67" s="83">
        <f t="shared" si="5"/>
        <v>666.66666666666663</v>
      </c>
      <c r="E67">
        <f t="shared" si="0"/>
        <v>0</v>
      </c>
      <c r="G67">
        <v>17</v>
      </c>
      <c r="H67" s="13">
        <f t="shared" si="6"/>
        <v>-7.7831728503952036E-4</v>
      </c>
      <c r="I67">
        <f t="shared" si="7"/>
        <v>156.27714388972942</v>
      </c>
      <c r="J67">
        <f t="shared" si="1"/>
        <v>666.63999128993714</v>
      </c>
      <c r="K67" s="27">
        <f t="shared" si="2"/>
        <v>-345.89029698814255</v>
      </c>
    </row>
    <row r="68" spans="1:11">
      <c r="A68" s="26">
        <v>18</v>
      </c>
      <c r="B68" s="82">
        <f t="shared" si="3"/>
        <v>0</v>
      </c>
      <c r="C68" s="58">
        <f t="shared" si="9"/>
        <v>156.29037528357509</v>
      </c>
      <c r="D68" s="83">
        <f t="shared" si="5"/>
        <v>666.66666666666663</v>
      </c>
      <c r="E68">
        <f t="shared" si="0"/>
        <v>0</v>
      </c>
      <c r="G68">
        <v>18</v>
      </c>
      <c r="H68" s="13">
        <f t="shared" si="6"/>
        <v>-7.7831728503952036E-4</v>
      </c>
      <c r="I68">
        <f t="shared" si="7"/>
        <v>156.27636557244438</v>
      </c>
      <c r="J68">
        <f t="shared" si="1"/>
        <v>666.638421735777</v>
      </c>
      <c r="K68" s="27">
        <f t="shared" si="2"/>
        <v>-345.88866821840929</v>
      </c>
    </row>
    <row r="69" spans="1:11">
      <c r="A69" s="26">
        <v>19</v>
      </c>
      <c r="B69" s="82">
        <f t="shared" si="3"/>
        <v>0</v>
      </c>
      <c r="C69" s="58">
        <f t="shared" si="9"/>
        <v>156.29037528357509</v>
      </c>
      <c r="D69" s="83">
        <f t="shared" si="5"/>
        <v>666.66666666666663</v>
      </c>
      <c r="E69">
        <f t="shared" si="0"/>
        <v>0</v>
      </c>
      <c r="G69">
        <v>19</v>
      </c>
      <c r="H69" s="13">
        <f t="shared" si="6"/>
        <v>-7.7831728503952036E-4</v>
      </c>
      <c r="I69">
        <f t="shared" si="7"/>
        <v>156.27558725515934</v>
      </c>
      <c r="J69">
        <f t="shared" si="1"/>
        <v>666.63685213555709</v>
      </c>
      <c r="K69" s="27">
        <f t="shared" si="2"/>
        <v>-345.8870394047126</v>
      </c>
    </row>
    <row r="70" spans="1:11">
      <c r="A70" s="26">
        <v>20</v>
      </c>
      <c r="B70" s="82">
        <f t="shared" si="3"/>
        <v>0</v>
      </c>
      <c r="C70" s="58">
        <f t="shared" si="9"/>
        <v>156.29037528357509</v>
      </c>
      <c r="D70" s="83">
        <f t="shared" si="5"/>
        <v>666.66666666666663</v>
      </c>
      <c r="E70">
        <f t="shared" si="0"/>
        <v>0</v>
      </c>
      <c r="G70">
        <v>20</v>
      </c>
      <c r="H70" s="13">
        <f t="shared" si="6"/>
        <v>-7.7831728503952036E-4</v>
      </c>
      <c r="I70">
        <f t="shared" si="7"/>
        <v>156.2748089378743</v>
      </c>
      <c r="J70">
        <f t="shared" si="1"/>
        <v>666.63528248927412</v>
      </c>
      <c r="K70" s="27">
        <f t="shared" si="2"/>
        <v>-345.88541054704939</v>
      </c>
    </row>
    <row r="71" spans="1:11">
      <c r="A71" s="26">
        <v>21</v>
      </c>
      <c r="B71" s="82">
        <f t="shared" si="3"/>
        <v>0</v>
      </c>
      <c r="C71" s="58">
        <f t="shared" si="9"/>
        <v>156.29037528357509</v>
      </c>
      <c r="D71" s="83">
        <f t="shared" si="5"/>
        <v>666.66666666666663</v>
      </c>
      <c r="E71">
        <f t="shared" si="0"/>
        <v>0</v>
      </c>
      <c r="G71">
        <v>21</v>
      </c>
      <c r="H71" s="13">
        <f t="shared" si="6"/>
        <v>-7.7831728503952036E-4</v>
      </c>
      <c r="I71">
        <f t="shared" si="7"/>
        <v>156.27403062058926</v>
      </c>
      <c r="J71">
        <f t="shared" si="1"/>
        <v>666.6337127969249</v>
      </c>
      <c r="K71" s="27">
        <f t="shared" si="2"/>
        <v>-345.88378164541678</v>
      </c>
    </row>
    <row r="72" spans="1:11">
      <c r="A72" s="26">
        <v>22</v>
      </c>
      <c r="B72" s="82">
        <f t="shared" si="3"/>
        <v>0</v>
      </c>
      <c r="C72" s="58">
        <f t="shared" si="9"/>
        <v>156.29037528357509</v>
      </c>
      <c r="D72" s="83">
        <f t="shared" si="5"/>
        <v>666.66666666666663</v>
      </c>
      <c r="E72">
        <f t="shared" si="0"/>
        <v>0</v>
      </c>
      <c r="G72">
        <v>22</v>
      </c>
      <c r="H72" s="13">
        <f t="shared" si="6"/>
        <v>-7.7831728503952036E-4</v>
      </c>
      <c r="I72">
        <f t="shared" si="7"/>
        <v>156.27325230330422</v>
      </c>
      <c r="J72">
        <f t="shared" si="1"/>
        <v>666.63214305850613</v>
      </c>
      <c r="K72" s="27">
        <f t="shared" si="2"/>
        <v>-345.88215269981157</v>
      </c>
    </row>
    <row r="73" spans="1:11">
      <c r="A73" s="26">
        <v>23</v>
      </c>
      <c r="B73" s="82">
        <f t="shared" si="3"/>
        <v>0</v>
      </c>
      <c r="C73" s="58">
        <f t="shared" si="9"/>
        <v>156.29037528357509</v>
      </c>
      <c r="D73" s="83">
        <f t="shared" si="5"/>
        <v>666.66666666666663</v>
      </c>
      <c r="E73">
        <f t="shared" si="0"/>
        <v>0</v>
      </c>
      <c r="G73">
        <v>23</v>
      </c>
      <c r="H73" s="13">
        <f t="shared" si="6"/>
        <v>-7.7831728503952036E-4</v>
      </c>
      <c r="I73">
        <f t="shared" si="7"/>
        <v>156.27247398601918</v>
      </c>
      <c r="J73">
        <f t="shared" si="1"/>
        <v>666.63057327401464</v>
      </c>
      <c r="K73" s="27">
        <f t="shared" si="2"/>
        <v>-345.88052371023076</v>
      </c>
    </row>
    <row r="74" spans="1:11">
      <c r="A74" s="26">
        <v>24</v>
      </c>
      <c r="B74" s="82">
        <f t="shared" si="3"/>
        <v>0</v>
      </c>
      <c r="C74" s="58">
        <f t="shared" si="9"/>
        <v>156.29037528357509</v>
      </c>
      <c r="D74" s="83">
        <f t="shared" si="5"/>
        <v>666.66666666666663</v>
      </c>
      <c r="E74">
        <f t="shared" si="0"/>
        <v>0</v>
      </c>
      <c r="G74">
        <v>24</v>
      </c>
      <c r="H74" s="13">
        <f t="shared" si="6"/>
        <v>-7.7831728503952036E-4</v>
      </c>
      <c r="I74">
        <f t="shared" si="7"/>
        <v>156.27169566873414</v>
      </c>
      <c r="J74">
        <f t="shared" si="1"/>
        <v>666.629003443447</v>
      </c>
      <c r="K74" s="27">
        <f t="shared" si="2"/>
        <v>-345.87889467667134</v>
      </c>
    </row>
    <row r="75" spans="1:11">
      <c r="A75" s="26">
        <v>25</v>
      </c>
      <c r="B75" s="82">
        <f t="shared" si="3"/>
        <v>0</v>
      </c>
      <c r="C75" s="58">
        <f t="shared" si="9"/>
        <v>156.29037528357509</v>
      </c>
      <c r="D75" s="83">
        <f t="shared" si="5"/>
        <v>666.66666666666663</v>
      </c>
      <c r="E75">
        <f t="shared" si="0"/>
        <v>0</v>
      </c>
      <c r="G75">
        <v>25</v>
      </c>
      <c r="H75" s="13">
        <f t="shared" si="6"/>
        <v>-7.7831728503952036E-4</v>
      </c>
      <c r="I75">
        <f t="shared" si="7"/>
        <v>156.2709173514491</v>
      </c>
      <c r="J75">
        <f t="shared" si="1"/>
        <v>666.62743356680016</v>
      </c>
      <c r="K75" s="27">
        <f t="shared" si="2"/>
        <v>-345.87726559913023</v>
      </c>
    </row>
    <row r="76" spans="1:11">
      <c r="A76" s="26">
        <v>26</v>
      </c>
      <c r="B76" s="82">
        <f t="shared" si="3"/>
        <v>0</v>
      </c>
      <c r="C76" s="58">
        <f t="shared" si="9"/>
        <v>156.29037528357509</v>
      </c>
      <c r="D76" s="83">
        <f t="shared" si="5"/>
        <v>666.66666666666663</v>
      </c>
      <c r="E76">
        <f t="shared" si="0"/>
        <v>0</v>
      </c>
      <c r="G76">
        <v>26</v>
      </c>
      <c r="H76" s="13">
        <f t="shared" si="6"/>
        <v>-7.7831728503952036E-4</v>
      </c>
      <c r="I76">
        <f t="shared" si="7"/>
        <v>156.27013903416406</v>
      </c>
      <c r="J76">
        <f t="shared" si="1"/>
        <v>666.62586364407071</v>
      </c>
      <c r="K76" s="27">
        <f t="shared" si="2"/>
        <v>-345.87563647760436</v>
      </c>
    </row>
    <row r="77" spans="1:11">
      <c r="A77" s="26">
        <v>27</v>
      </c>
      <c r="B77" s="82">
        <f t="shared" si="3"/>
        <v>0</v>
      </c>
      <c r="C77" s="58">
        <f t="shared" si="9"/>
        <v>156.29037528357509</v>
      </c>
      <c r="D77" s="83">
        <f t="shared" si="5"/>
        <v>666.66666666666663</v>
      </c>
      <c r="E77">
        <f t="shared" si="0"/>
        <v>0</v>
      </c>
      <c r="G77">
        <v>27</v>
      </c>
      <c r="H77" s="13">
        <f t="shared" si="6"/>
        <v>-7.7831728503952036E-4</v>
      </c>
      <c r="I77">
        <f t="shared" si="7"/>
        <v>156.26936071687902</v>
      </c>
      <c r="J77">
        <f t="shared" si="1"/>
        <v>666.62429367525544</v>
      </c>
      <c r="K77" s="27">
        <f t="shared" si="2"/>
        <v>-345.87400731209078</v>
      </c>
    </row>
    <row r="78" spans="1:11">
      <c r="A78" s="26">
        <v>28</v>
      </c>
      <c r="B78" s="82">
        <f t="shared" si="3"/>
        <v>0</v>
      </c>
      <c r="C78" s="58">
        <f t="shared" si="9"/>
        <v>156.29037528357509</v>
      </c>
      <c r="D78" s="83">
        <f t="shared" si="5"/>
        <v>666.66666666666663</v>
      </c>
      <c r="E78">
        <f t="shared" si="0"/>
        <v>0</v>
      </c>
      <c r="G78">
        <v>28</v>
      </c>
      <c r="H78" s="13">
        <f t="shared" si="6"/>
        <v>-7.7831728503952036E-4</v>
      </c>
      <c r="I78">
        <f t="shared" si="7"/>
        <v>156.26858239959398</v>
      </c>
      <c r="J78">
        <f t="shared" si="1"/>
        <v>666.62272366035108</v>
      </c>
      <c r="K78" s="27">
        <f t="shared" si="2"/>
        <v>-345.87237810258642</v>
      </c>
    </row>
    <row r="79" spans="1:11">
      <c r="A79" s="26">
        <v>29</v>
      </c>
      <c r="B79" s="82">
        <f t="shared" si="3"/>
        <v>0</v>
      </c>
      <c r="C79" s="58">
        <f t="shared" si="9"/>
        <v>156.29037528357509</v>
      </c>
      <c r="D79" s="83">
        <f t="shared" si="5"/>
        <v>666.66666666666663</v>
      </c>
      <c r="E79">
        <f t="shared" si="0"/>
        <v>0</v>
      </c>
      <c r="G79">
        <v>29</v>
      </c>
      <c r="H79" s="13">
        <f t="shared" si="6"/>
        <v>-7.7831728503952036E-4</v>
      </c>
      <c r="I79">
        <f t="shared" si="7"/>
        <v>156.26780408230894</v>
      </c>
      <c r="J79">
        <f t="shared" si="1"/>
        <v>666.62115359935444</v>
      </c>
      <c r="K79" s="27">
        <f t="shared" si="2"/>
        <v>-345.8707488490881</v>
      </c>
    </row>
    <row r="80" spans="1:11">
      <c r="A80" s="26">
        <v>30</v>
      </c>
      <c r="B80" s="82">
        <f t="shared" si="3"/>
        <v>0</v>
      </c>
      <c r="C80" s="58">
        <f t="shared" ref="C80:C143" si="10">($C$37-$C$36)/2000+C79</f>
        <v>156.29037528357509</v>
      </c>
      <c r="D80" s="83">
        <f t="shared" si="5"/>
        <v>666.66666666666663</v>
      </c>
      <c r="E80">
        <f t="shared" si="0"/>
        <v>0</v>
      </c>
      <c r="G80">
        <v>30</v>
      </c>
      <c r="H80" s="13">
        <f t="shared" si="6"/>
        <v>-7.7831728503952036E-4</v>
      </c>
      <c r="I80">
        <f t="shared" si="7"/>
        <v>156.2670257650239</v>
      </c>
      <c r="J80">
        <f t="shared" si="1"/>
        <v>666.61958349226211</v>
      </c>
      <c r="K80" s="27">
        <f t="shared" si="2"/>
        <v>-345.86911955159297</v>
      </c>
    </row>
    <row r="81" spans="1:11">
      <c r="A81" s="26">
        <v>31</v>
      </c>
      <c r="B81" s="82">
        <f t="shared" si="3"/>
        <v>0</v>
      </c>
      <c r="C81" s="58">
        <f t="shared" si="10"/>
        <v>156.29037528357509</v>
      </c>
      <c r="D81" s="83">
        <f t="shared" si="5"/>
        <v>666.66666666666663</v>
      </c>
      <c r="E81">
        <f t="shared" si="0"/>
        <v>0</v>
      </c>
      <c r="G81">
        <v>31</v>
      </c>
      <c r="H81" s="13">
        <f t="shared" si="6"/>
        <v>-7.7831728503952036E-4</v>
      </c>
      <c r="I81">
        <f t="shared" si="7"/>
        <v>156.26624744773886</v>
      </c>
      <c r="J81">
        <f t="shared" si="1"/>
        <v>666.61801333907101</v>
      </c>
      <c r="K81" s="27">
        <f t="shared" si="2"/>
        <v>-345.86749021009786</v>
      </c>
    </row>
    <row r="82" spans="1:11">
      <c r="A82" s="26">
        <v>32</v>
      </c>
      <c r="B82" s="82">
        <f t="shared" si="3"/>
        <v>0</v>
      </c>
      <c r="C82" s="58">
        <f t="shared" si="10"/>
        <v>156.29037528357509</v>
      </c>
      <c r="D82" s="83">
        <f t="shared" si="5"/>
        <v>666.66666666666663</v>
      </c>
      <c r="E82">
        <f t="shared" si="0"/>
        <v>0</v>
      </c>
      <c r="G82">
        <v>32</v>
      </c>
      <c r="H82" s="13">
        <f t="shared" si="6"/>
        <v>-7.7831728503952036E-4</v>
      </c>
      <c r="I82">
        <f t="shared" si="7"/>
        <v>156.26546913045382</v>
      </c>
      <c r="J82">
        <f t="shared" si="1"/>
        <v>666.61644313977774</v>
      </c>
      <c r="K82" s="27">
        <f t="shared" si="2"/>
        <v>-345.86586082459968</v>
      </c>
    </row>
    <row r="83" spans="1:11">
      <c r="A83" s="26">
        <v>33</v>
      </c>
      <c r="B83" s="82">
        <f t="shared" si="3"/>
        <v>0</v>
      </c>
      <c r="C83" s="58">
        <f t="shared" si="10"/>
        <v>156.29037528357509</v>
      </c>
      <c r="D83" s="83">
        <f t="shared" si="5"/>
        <v>666.66666666666663</v>
      </c>
      <c r="E83">
        <f t="shared" si="0"/>
        <v>0</v>
      </c>
      <c r="G83">
        <v>33</v>
      </c>
      <c r="H83" s="13">
        <f t="shared" si="6"/>
        <v>-7.7831728503952036E-4</v>
      </c>
      <c r="I83">
        <f t="shared" si="7"/>
        <v>156.26469081316878</v>
      </c>
      <c r="J83">
        <f t="shared" si="1"/>
        <v>666.61487289437912</v>
      </c>
      <c r="K83" s="27">
        <f t="shared" si="2"/>
        <v>-345.86423139509566</v>
      </c>
    </row>
    <row r="84" spans="1:11">
      <c r="A84" s="26">
        <v>34</v>
      </c>
      <c r="B84" s="82">
        <f t="shared" si="3"/>
        <v>0</v>
      </c>
      <c r="C84" s="58">
        <f t="shared" si="10"/>
        <v>156.29037528357509</v>
      </c>
      <c r="D84" s="83">
        <f t="shared" si="5"/>
        <v>666.66666666666663</v>
      </c>
      <c r="E84">
        <f t="shared" si="0"/>
        <v>0</v>
      </c>
      <c r="G84">
        <v>34</v>
      </c>
      <c r="H84" s="13">
        <f t="shared" si="6"/>
        <v>-7.7831728503952036E-4</v>
      </c>
      <c r="I84">
        <f t="shared" si="7"/>
        <v>156.26391249588374</v>
      </c>
      <c r="J84">
        <f t="shared" si="1"/>
        <v>666.61330260287184</v>
      </c>
      <c r="K84" s="27">
        <f t="shared" si="2"/>
        <v>-345.86260192158244</v>
      </c>
    </row>
    <row r="85" spans="1:11">
      <c r="A85" s="26">
        <v>35</v>
      </c>
      <c r="B85" s="82">
        <f t="shared" si="3"/>
        <v>0</v>
      </c>
      <c r="C85" s="58">
        <f t="shared" si="10"/>
        <v>156.29037528357509</v>
      </c>
      <c r="D85" s="83">
        <f t="shared" si="5"/>
        <v>666.66666666666663</v>
      </c>
      <c r="E85">
        <f t="shared" si="0"/>
        <v>0</v>
      </c>
      <c r="G85">
        <v>35</v>
      </c>
      <c r="H85" s="13">
        <f t="shared" si="6"/>
        <v>-7.7831728503952036E-4</v>
      </c>
      <c r="I85">
        <f t="shared" si="7"/>
        <v>156.2631341785987</v>
      </c>
      <c r="J85">
        <f t="shared" si="1"/>
        <v>666.61173226525273</v>
      </c>
      <c r="K85" s="27">
        <f t="shared" si="2"/>
        <v>-345.86097240405724</v>
      </c>
    </row>
    <row r="86" spans="1:11">
      <c r="A86" s="26">
        <v>36</v>
      </c>
      <c r="B86" s="82">
        <f t="shared" si="3"/>
        <v>0</v>
      </c>
      <c r="C86" s="58">
        <f t="shared" si="10"/>
        <v>156.29037528357509</v>
      </c>
      <c r="D86" s="83">
        <f t="shared" si="5"/>
        <v>666.66666666666663</v>
      </c>
      <c r="E86">
        <f t="shared" si="0"/>
        <v>0</v>
      </c>
      <c r="G86">
        <v>36</v>
      </c>
      <c r="H86" s="13">
        <f t="shared" si="6"/>
        <v>-7.7831728503952036E-4</v>
      </c>
      <c r="I86">
        <f t="shared" si="7"/>
        <v>156.26235586131367</v>
      </c>
      <c r="J86">
        <f t="shared" si="1"/>
        <v>666.61016188151848</v>
      </c>
      <c r="K86" s="27">
        <f t="shared" si="2"/>
        <v>-345.85934284251681</v>
      </c>
    </row>
    <row r="87" spans="1:11">
      <c r="A87" s="26">
        <v>37</v>
      </c>
      <c r="B87" s="82">
        <f t="shared" si="3"/>
        <v>0</v>
      </c>
      <c r="C87" s="58">
        <f t="shared" si="10"/>
        <v>156.29037528357509</v>
      </c>
      <c r="D87" s="83">
        <f t="shared" si="5"/>
        <v>666.66666666666663</v>
      </c>
      <c r="E87">
        <f t="shared" si="0"/>
        <v>0</v>
      </c>
      <c r="G87">
        <v>37</v>
      </c>
      <c r="H87" s="13">
        <f t="shared" si="6"/>
        <v>-7.7831728503952036E-4</v>
      </c>
      <c r="I87">
        <f t="shared" si="7"/>
        <v>156.26157754402863</v>
      </c>
      <c r="J87">
        <f t="shared" si="1"/>
        <v>666.60859145166569</v>
      </c>
      <c r="K87" s="27">
        <f t="shared" si="2"/>
        <v>-345.85771323695803</v>
      </c>
    </row>
    <row r="88" spans="1:11">
      <c r="A88" s="26">
        <v>38</v>
      </c>
      <c r="B88" s="82">
        <f t="shared" si="3"/>
        <v>0</v>
      </c>
      <c r="C88" s="58">
        <f t="shared" si="10"/>
        <v>156.29037528357509</v>
      </c>
      <c r="D88" s="83">
        <f t="shared" si="5"/>
        <v>666.66666666666663</v>
      </c>
      <c r="E88">
        <f t="shared" si="0"/>
        <v>0</v>
      </c>
      <c r="G88">
        <v>38</v>
      </c>
      <c r="H88" s="13">
        <f t="shared" si="6"/>
        <v>-7.7831728503952036E-4</v>
      </c>
      <c r="I88">
        <f t="shared" si="7"/>
        <v>156.26079922674359</v>
      </c>
      <c r="J88">
        <f t="shared" si="1"/>
        <v>666.60702097569128</v>
      </c>
      <c r="K88" s="27">
        <f t="shared" si="2"/>
        <v>-345.85608358737818</v>
      </c>
    </row>
    <row r="89" spans="1:11">
      <c r="A89" s="26">
        <v>39</v>
      </c>
      <c r="B89" s="82">
        <f t="shared" si="3"/>
        <v>0</v>
      </c>
      <c r="C89" s="58">
        <f t="shared" si="10"/>
        <v>156.29037528357509</v>
      </c>
      <c r="D89" s="83">
        <f t="shared" si="5"/>
        <v>666.66666666666663</v>
      </c>
      <c r="E89">
        <f t="shared" si="0"/>
        <v>0</v>
      </c>
      <c r="G89">
        <v>39</v>
      </c>
      <c r="H89" s="13">
        <f t="shared" si="6"/>
        <v>-7.7831728503952036E-4</v>
      </c>
      <c r="I89">
        <f t="shared" si="7"/>
        <v>156.26002090945855</v>
      </c>
      <c r="J89">
        <f t="shared" si="1"/>
        <v>666.60545045359197</v>
      </c>
      <c r="K89" s="27">
        <f t="shared" si="2"/>
        <v>-345.85445389377401</v>
      </c>
    </row>
    <row r="90" spans="1:11">
      <c r="A90" s="26">
        <v>40</v>
      </c>
      <c r="B90" s="82">
        <f t="shared" si="3"/>
        <v>0</v>
      </c>
      <c r="C90" s="58">
        <f t="shared" si="10"/>
        <v>156.29037528357509</v>
      </c>
      <c r="D90" s="83">
        <f t="shared" si="5"/>
        <v>666.66666666666663</v>
      </c>
      <c r="E90">
        <f t="shared" si="0"/>
        <v>0</v>
      </c>
      <c r="G90">
        <v>40</v>
      </c>
      <c r="H90" s="13">
        <f t="shared" si="6"/>
        <v>-7.7831728503952036E-4</v>
      </c>
      <c r="I90">
        <f t="shared" si="7"/>
        <v>156.25924259217351</v>
      </c>
      <c r="J90">
        <f t="shared" si="1"/>
        <v>666.60387988536445</v>
      </c>
      <c r="K90" s="27">
        <f t="shared" si="2"/>
        <v>-345.85282415614228</v>
      </c>
    </row>
    <row r="91" spans="1:11">
      <c r="A91" s="26">
        <v>41</v>
      </c>
      <c r="B91" s="82">
        <f t="shared" si="3"/>
        <v>0</v>
      </c>
      <c r="C91" s="58">
        <f t="shared" si="10"/>
        <v>156.29037528357509</v>
      </c>
      <c r="D91" s="83">
        <f t="shared" si="5"/>
        <v>666.66666666666663</v>
      </c>
      <c r="E91">
        <f t="shared" si="0"/>
        <v>0</v>
      </c>
      <c r="G91">
        <v>41</v>
      </c>
      <c r="H91" s="13">
        <f t="shared" si="6"/>
        <v>-7.7831728503952036E-4</v>
      </c>
      <c r="I91">
        <f t="shared" si="7"/>
        <v>156.25846427488847</v>
      </c>
      <c r="J91">
        <f t="shared" si="1"/>
        <v>666.60230927100531</v>
      </c>
      <c r="K91" s="27">
        <f t="shared" si="2"/>
        <v>-345.8511943744802</v>
      </c>
    </row>
    <row r="92" spans="1:11">
      <c r="A92" s="26">
        <v>42</v>
      </c>
      <c r="B92" s="82">
        <f t="shared" si="3"/>
        <v>0</v>
      </c>
      <c r="C92" s="58">
        <f t="shared" si="10"/>
        <v>156.29037528357509</v>
      </c>
      <c r="D92" s="83">
        <f t="shared" si="5"/>
        <v>666.66666666666663</v>
      </c>
      <c r="E92">
        <f t="shared" si="0"/>
        <v>0</v>
      </c>
      <c r="G92">
        <v>42</v>
      </c>
      <c r="H92" s="13">
        <f t="shared" si="6"/>
        <v>-7.7831728503952036E-4</v>
      </c>
      <c r="I92">
        <f t="shared" si="7"/>
        <v>156.25768595760343</v>
      </c>
      <c r="J92">
        <f t="shared" si="1"/>
        <v>666.6007386105116</v>
      </c>
      <c r="K92" s="27">
        <f t="shared" si="2"/>
        <v>-345.84956454878488</v>
      </c>
    </row>
    <row r="93" spans="1:11">
      <c r="A93" s="26">
        <v>43</v>
      </c>
      <c r="B93" s="82">
        <f t="shared" si="3"/>
        <v>0</v>
      </c>
      <c r="C93" s="58">
        <f t="shared" si="10"/>
        <v>156.29037528357509</v>
      </c>
      <c r="D93" s="83">
        <f t="shared" si="5"/>
        <v>666.66666666666663</v>
      </c>
      <c r="E93">
        <f t="shared" si="0"/>
        <v>0</v>
      </c>
      <c r="G93">
        <v>43</v>
      </c>
      <c r="H93" s="13">
        <f t="shared" si="6"/>
        <v>-7.7831728503952036E-4</v>
      </c>
      <c r="I93">
        <f t="shared" si="7"/>
        <v>156.25690764031839</v>
      </c>
      <c r="J93">
        <f t="shared" si="1"/>
        <v>666.5991679038799</v>
      </c>
      <c r="K93" s="27">
        <f t="shared" si="2"/>
        <v>-345.84793467905291</v>
      </c>
    </row>
    <row r="94" spans="1:11">
      <c r="A94" s="26">
        <v>44</v>
      </c>
      <c r="B94" s="82">
        <f t="shared" si="3"/>
        <v>0</v>
      </c>
      <c r="C94" s="58">
        <f t="shared" si="10"/>
        <v>156.29037528357509</v>
      </c>
      <c r="D94" s="83">
        <f t="shared" si="5"/>
        <v>666.66666666666663</v>
      </c>
      <c r="E94">
        <f t="shared" si="0"/>
        <v>0</v>
      </c>
      <c r="G94">
        <v>44</v>
      </c>
      <c r="H94" s="13">
        <f t="shared" si="6"/>
        <v>-7.7831728503952036E-4</v>
      </c>
      <c r="I94">
        <f t="shared" si="7"/>
        <v>156.25612932303335</v>
      </c>
      <c r="J94">
        <f t="shared" si="1"/>
        <v>666.59759715110681</v>
      </c>
      <c r="K94" s="27">
        <f t="shared" si="2"/>
        <v>-345.84630476528133</v>
      </c>
    </row>
    <row r="95" spans="1:11">
      <c r="A95" s="26">
        <v>45</v>
      </c>
      <c r="B95" s="82">
        <f t="shared" si="3"/>
        <v>0</v>
      </c>
      <c r="C95" s="58">
        <f t="shared" si="10"/>
        <v>156.29037528357509</v>
      </c>
      <c r="D95" s="83">
        <f t="shared" si="5"/>
        <v>666.66666666666663</v>
      </c>
      <c r="E95">
        <f t="shared" si="0"/>
        <v>0</v>
      </c>
      <c r="G95">
        <v>45</v>
      </c>
      <c r="H95" s="13">
        <f t="shared" si="6"/>
        <v>-7.7831728503952036E-4</v>
      </c>
      <c r="I95">
        <f t="shared" si="7"/>
        <v>156.25535100574831</v>
      </c>
      <c r="J95">
        <f t="shared" si="1"/>
        <v>666.59602635218926</v>
      </c>
      <c r="K95" s="27">
        <f t="shared" si="2"/>
        <v>-345.84467480746724</v>
      </c>
    </row>
    <row r="96" spans="1:11">
      <c r="A96" s="26">
        <v>46</v>
      </c>
      <c r="B96" s="82">
        <f t="shared" si="3"/>
        <v>0</v>
      </c>
      <c r="C96" s="58">
        <f t="shared" si="10"/>
        <v>156.29037528357509</v>
      </c>
      <c r="D96" s="83">
        <f t="shared" si="5"/>
        <v>666.66666666666663</v>
      </c>
      <c r="E96">
        <f t="shared" si="0"/>
        <v>0</v>
      </c>
      <c r="G96">
        <v>46</v>
      </c>
      <c r="H96" s="13">
        <f t="shared" si="6"/>
        <v>-7.7831728503952036E-4</v>
      </c>
      <c r="I96">
        <f t="shared" si="7"/>
        <v>156.25457268846327</v>
      </c>
      <c r="J96">
        <f t="shared" si="1"/>
        <v>666.59445550712394</v>
      </c>
      <c r="K96" s="27">
        <f t="shared" si="2"/>
        <v>-345.84304480560746</v>
      </c>
    </row>
    <row r="97" spans="1:11">
      <c r="A97" s="26">
        <v>47</v>
      </c>
      <c r="B97" s="82">
        <f t="shared" si="3"/>
        <v>0</v>
      </c>
      <c r="C97" s="58">
        <f t="shared" si="10"/>
        <v>156.29037528357509</v>
      </c>
      <c r="D97" s="83">
        <f t="shared" si="5"/>
        <v>666.66666666666663</v>
      </c>
      <c r="E97">
        <f t="shared" si="0"/>
        <v>0</v>
      </c>
      <c r="G97">
        <v>47</v>
      </c>
      <c r="H97" s="13">
        <f t="shared" si="6"/>
        <v>-7.7831728503952036E-4</v>
      </c>
      <c r="I97">
        <f t="shared" si="7"/>
        <v>156.25379437117823</v>
      </c>
      <c r="J97">
        <f t="shared" si="1"/>
        <v>666.59288461590756</v>
      </c>
      <c r="K97" s="27">
        <f t="shared" si="2"/>
        <v>-345.84141475969903</v>
      </c>
    </row>
    <row r="98" spans="1:11">
      <c r="A98" s="26">
        <v>48</v>
      </c>
      <c r="B98" s="82">
        <f t="shared" si="3"/>
        <v>0</v>
      </c>
      <c r="C98" s="58">
        <f t="shared" si="10"/>
        <v>156.29037528357509</v>
      </c>
      <c r="D98" s="83">
        <f t="shared" si="5"/>
        <v>666.66666666666663</v>
      </c>
      <c r="E98">
        <f t="shared" si="0"/>
        <v>0</v>
      </c>
      <c r="G98">
        <v>48</v>
      </c>
      <c r="H98" s="13">
        <f t="shared" si="6"/>
        <v>-7.7831728503952036E-4</v>
      </c>
      <c r="I98">
        <f t="shared" si="7"/>
        <v>156.25301605389319</v>
      </c>
      <c r="J98">
        <f t="shared" si="1"/>
        <v>666.59131367853684</v>
      </c>
      <c r="K98" s="27">
        <f t="shared" si="2"/>
        <v>-345.83978466973878</v>
      </c>
    </row>
    <row r="99" spans="1:11">
      <c r="A99" s="26">
        <v>49</v>
      </c>
      <c r="B99" s="82">
        <f t="shared" si="3"/>
        <v>0</v>
      </c>
      <c r="C99" s="58">
        <f t="shared" si="10"/>
        <v>156.29037528357509</v>
      </c>
      <c r="D99" s="83">
        <f t="shared" si="5"/>
        <v>666.66666666666663</v>
      </c>
      <c r="E99">
        <f t="shared" si="0"/>
        <v>0</v>
      </c>
      <c r="G99">
        <v>49</v>
      </c>
      <c r="H99" s="13">
        <f t="shared" si="6"/>
        <v>-7.7831728503952036E-4</v>
      </c>
      <c r="I99">
        <f t="shared" si="7"/>
        <v>156.25223773660815</v>
      </c>
      <c r="J99">
        <f t="shared" si="1"/>
        <v>666.58974269500857</v>
      </c>
      <c r="K99" s="27">
        <f t="shared" si="2"/>
        <v>-345.83815453572385</v>
      </c>
    </row>
    <row r="100" spans="1:11">
      <c r="A100" s="26">
        <v>50</v>
      </c>
      <c r="B100" s="82">
        <f t="shared" si="3"/>
        <v>0</v>
      </c>
      <c r="C100" s="58">
        <f t="shared" si="10"/>
        <v>156.29037528357509</v>
      </c>
      <c r="D100" s="83">
        <f t="shared" si="5"/>
        <v>666.66666666666663</v>
      </c>
      <c r="E100">
        <f t="shared" si="0"/>
        <v>0</v>
      </c>
      <c r="G100">
        <v>50</v>
      </c>
      <c r="H100" s="13">
        <f t="shared" si="6"/>
        <v>-7.7831728503952036E-4</v>
      </c>
      <c r="I100">
        <f t="shared" si="7"/>
        <v>156.25145941932311</v>
      </c>
      <c r="J100">
        <f t="shared" si="1"/>
        <v>666.58817166531946</v>
      </c>
      <c r="K100" s="27">
        <f t="shared" si="2"/>
        <v>-345.83652435765106</v>
      </c>
    </row>
    <row r="101" spans="1:11">
      <c r="A101" s="26">
        <v>51</v>
      </c>
      <c r="B101" s="82">
        <f t="shared" si="3"/>
        <v>0</v>
      </c>
      <c r="C101" s="58">
        <f t="shared" si="10"/>
        <v>156.29037528357509</v>
      </c>
      <c r="D101" s="83">
        <f t="shared" si="5"/>
        <v>666.66666666666663</v>
      </c>
      <c r="E101">
        <f t="shared" si="0"/>
        <v>0</v>
      </c>
      <c r="G101">
        <v>51</v>
      </c>
      <c r="H101" s="13">
        <f t="shared" si="6"/>
        <v>-7.7831728503952036E-4</v>
      </c>
      <c r="I101">
        <f t="shared" si="7"/>
        <v>156.25068110203807</v>
      </c>
      <c r="J101">
        <f t="shared" si="1"/>
        <v>666.58660058946612</v>
      </c>
      <c r="K101" s="27">
        <f t="shared" si="2"/>
        <v>-345.83489413551729</v>
      </c>
    </row>
    <row r="102" spans="1:11">
      <c r="A102" s="26">
        <v>52</v>
      </c>
      <c r="B102" s="82">
        <f t="shared" si="3"/>
        <v>0</v>
      </c>
      <c r="C102" s="58">
        <f t="shared" si="10"/>
        <v>156.29037528357509</v>
      </c>
      <c r="D102" s="83">
        <f t="shared" si="5"/>
        <v>666.66666666666663</v>
      </c>
      <c r="E102">
        <f t="shared" si="0"/>
        <v>0</v>
      </c>
      <c r="G102">
        <v>52</v>
      </c>
      <c r="H102" s="13">
        <f t="shared" si="6"/>
        <v>-7.7831728503952036E-4</v>
      </c>
      <c r="I102">
        <f t="shared" si="7"/>
        <v>156.24990278475303</v>
      </c>
      <c r="J102">
        <f t="shared" si="1"/>
        <v>666.58502946744545</v>
      </c>
      <c r="K102" s="27">
        <f t="shared" si="2"/>
        <v>-345.83326386931958</v>
      </c>
    </row>
    <row r="103" spans="1:11">
      <c r="A103" s="26">
        <v>53</v>
      </c>
      <c r="B103" s="82">
        <f t="shared" si="3"/>
        <v>0</v>
      </c>
      <c r="C103" s="58">
        <f t="shared" si="10"/>
        <v>156.29037528357509</v>
      </c>
      <c r="D103" s="83">
        <f t="shared" si="5"/>
        <v>666.66666666666663</v>
      </c>
      <c r="E103">
        <f t="shared" si="0"/>
        <v>0</v>
      </c>
      <c r="G103">
        <v>53</v>
      </c>
      <c r="H103" s="13">
        <f t="shared" si="6"/>
        <v>-7.7831728503952036E-4</v>
      </c>
      <c r="I103">
        <f t="shared" si="7"/>
        <v>156.24912446746799</v>
      </c>
      <c r="J103">
        <f t="shared" si="1"/>
        <v>666.58345829925418</v>
      </c>
      <c r="K103" s="27">
        <f t="shared" si="2"/>
        <v>-345.83163355905486</v>
      </c>
    </row>
    <row r="104" spans="1:11">
      <c r="A104" s="26">
        <v>54</v>
      </c>
      <c r="B104" s="82">
        <f t="shared" si="3"/>
        <v>0</v>
      </c>
      <c r="C104" s="58">
        <f t="shared" si="10"/>
        <v>156.29037528357509</v>
      </c>
      <c r="D104" s="83">
        <f t="shared" si="5"/>
        <v>666.66666666666663</v>
      </c>
      <c r="E104">
        <f t="shared" si="0"/>
        <v>0</v>
      </c>
      <c r="G104">
        <v>54</v>
      </c>
      <c r="H104" s="13">
        <f t="shared" si="6"/>
        <v>-7.7831728503952036E-4</v>
      </c>
      <c r="I104">
        <f t="shared" si="7"/>
        <v>156.24834615018295</v>
      </c>
      <c r="J104">
        <f t="shared" si="1"/>
        <v>666.58188708488888</v>
      </c>
      <c r="K104" s="27">
        <f t="shared" si="2"/>
        <v>-345.83000320472007</v>
      </c>
    </row>
    <row r="105" spans="1:11">
      <c r="A105" s="26">
        <v>55</v>
      </c>
      <c r="B105" s="82">
        <f t="shared" si="3"/>
        <v>0</v>
      </c>
      <c r="C105" s="58">
        <f t="shared" si="10"/>
        <v>156.29037528357509</v>
      </c>
      <c r="D105" s="83">
        <f t="shared" si="5"/>
        <v>666.66666666666663</v>
      </c>
      <c r="E105">
        <f t="shared" si="0"/>
        <v>0</v>
      </c>
      <c r="G105">
        <v>55</v>
      </c>
      <c r="H105" s="13">
        <f t="shared" si="6"/>
        <v>-7.7831728503952036E-4</v>
      </c>
      <c r="I105">
        <f t="shared" si="7"/>
        <v>156.24756783289791</v>
      </c>
      <c r="J105">
        <f t="shared" si="1"/>
        <v>666.58031582434637</v>
      </c>
      <c r="K105" s="27">
        <f t="shared" si="2"/>
        <v>-345.82837280631219</v>
      </c>
    </row>
    <row r="106" spans="1:11">
      <c r="A106" s="26">
        <v>56</v>
      </c>
      <c r="B106" s="82">
        <f t="shared" si="3"/>
        <v>0</v>
      </c>
      <c r="C106" s="58">
        <f t="shared" si="10"/>
        <v>156.29037528357509</v>
      </c>
      <c r="D106" s="83">
        <f t="shared" si="5"/>
        <v>666.66666666666663</v>
      </c>
      <c r="E106">
        <f t="shared" si="0"/>
        <v>0</v>
      </c>
      <c r="G106">
        <v>56</v>
      </c>
      <c r="H106" s="13">
        <f t="shared" si="6"/>
        <v>-7.7831728503952036E-4</v>
      </c>
      <c r="I106">
        <f t="shared" si="7"/>
        <v>156.24678951561287</v>
      </c>
      <c r="J106">
        <f t="shared" si="1"/>
        <v>666.57874451762348</v>
      </c>
      <c r="K106" s="27">
        <f t="shared" si="2"/>
        <v>-345.82674236382815</v>
      </c>
    </row>
    <row r="107" spans="1:11">
      <c r="A107" s="26">
        <v>57</v>
      </c>
      <c r="B107" s="82">
        <f t="shared" si="3"/>
        <v>0</v>
      </c>
      <c r="C107" s="58">
        <f t="shared" si="10"/>
        <v>156.29037528357509</v>
      </c>
      <c r="D107" s="83">
        <f t="shared" si="5"/>
        <v>666.66666666666663</v>
      </c>
      <c r="E107">
        <f t="shared" si="0"/>
        <v>0</v>
      </c>
      <c r="G107">
        <v>57</v>
      </c>
      <c r="H107" s="13">
        <f t="shared" si="6"/>
        <v>-7.7831728503952036E-4</v>
      </c>
      <c r="I107">
        <f t="shared" si="7"/>
        <v>156.24601119832784</v>
      </c>
      <c r="J107">
        <f t="shared" si="1"/>
        <v>666.5771731647169</v>
      </c>
      <c r="K107" s="27">
        <f t="shared" si="2"/>
        <v>-345.82511187726487</v>
      </c>
    </row>
    <row r="108" spans="1:11">
      <c r="A108" s="26">
        <v>58</v>
      </c>
      <c r="B108" s="82">
        <f t="shared" si="3"/>
        <v>0</v>
      </c>
      <c r="C108" s="58">
        <f t="shared" si="10"/>
        <v>156.29037528357509</v>
      </c>
      <c r="D108" s="83">
        <f t="shared" si="5"/>
        <v>666.66666666666663</v>
      </c>
      <c r="E108">
        <f t="shared" si="0"/>
        <v>0</v>
      </c>
      <c r="G108">
        <v>58</v>
      </c>
      <c r="H108" s="13">
        <f t="shared" si="6"/>
        <v>-7.7831728503952036E-4</v>
      </c>
      <c r="I108">
        <f t="shared" si="7"/>
        <v>156.2452328810428</v>
      </c>
      <c r="J108">
        <f t="shared" si="1"/>
        <v>666.57560176562311</v>
      </c>
      <c r="K108" s="27">
        <f t="shared" si="2"/>
        <v>-345.8234813466193</v>
      </c>
    </row>
    <row r="109" spans="1:11">
      <c r="A109" s="26">
        <v>59</v>
      </c>
      <c r="B109" s="82">
        <f t="shared" si="3"/>
        <v>0</v>
      </c>
      <c r="C109" s="58">
        <f t="shared" si="10"/>
        <v>156.29037528357509</v>
      </c>
      <c r="D109" s="83">
        <f t="shared" si="5"/>
        <v>666.66666666666663</v>
      </c>
      <c r="E109">
        <f t="shared" si="0"/>
        <v>0</v>
      </c>
      <c r="G109">
        <v>59</v>
      </c>
      <c r="H109" s="13">
        <f t="shared" si="6"/>
        <v>-7.7831728503952036E-4</v>
      </c>
      <c r="I109">
        <f t="shared" si="7"/>
        <v>156.24445456375776</v>
      </c>
      <c r="J109">
        <f t="shared" si="1"/>
        <v>666.57403032033926</v>
      </c>
      <c r="K109" s="27">
        <f t="shared" si="2"/>
        <v>-345.82185077188842</v>
      </c>
    </row>
    <row r="110" spans="1:11">
      <c r="A110" s="26">
        <v>60</v>
      </c>
      <c r="B110" s="82">
        <f t="shared" si="3"/>
        <v>0</v>
      </c>
      <c r="C110" s="58">
        <f t="shared" si="10"/>
        <v>156.29037528357509</v>
      </c>
      <c r="D110" s="83">
        <f t="shared" si="5"/>
        <v>666.66666666666663</v>
      </c>
      <c r="E110">
        <f t="shared" si="0"/>
        <v>0</v>
      </c>
      <c r="G110">
        <v>60</v>
      </c>
      <c r="H110" s="13">
        <f t="shared" si="6"/>
        <v>-7.7831728503952036E-4</v>
      </c>
      <c r="I110">
        <f t="shared" si="7"/>
        <v>156.24367624647272</v>
      </c>
      <c r="J110">
        <f t="shared" si="1"/>
        <v>666.57245882886173</v>
      </c>
      <c r="K110" s="27">
        <f t="shared" si="2"/>
        <v>-345.82022015306916</v>
      </c>
    </row>
    <row r="111" spans="1:11">
      <c r="A111" s="26">
        <v>61</v>
      </c>
      <c r="B111" s="82">
        <f t="shared" si="3"/>
        <v>0</v>
      </c>
      <c r="C111" s="58">
        <f t="shared" si="10"/>
        <v>156.29037528357509</v>
      </c>
      <c r="D111" s="83">
        <f t="shared" si="5"/>
        <v>666.66666666666663</v>
      </c>
      <c r="E111">
        <f t="shared" si="0"/>
        <v>0</v>
      </c>
      <c r="G111">
        <v>61</v>
      </c>
      <c r="H111" s="13">
        <f t="shared" si="6"/>
        <v>-7.7831728503952036E-4</v>
      </c>
      <c r="I111">
        <f t="shared" si="7"/>
        <v>156.24289792918768</v>
      </c>
      <c r="J111">
        <f t="shared" si="1"/>
        <v>666.57088729118743</v>
      </c>
      <c r="K111" s="27">
        <f t="shared" si="2"/>
        <v>-345.81858949015844</v>
      </c>
    </row>
    <row r="112" spans="1:11">
      <c r="A112" s="26">
        <v>62</v>
      </c>
      <c r="B112" s="82">
        <f t="shared" si="3"/>
        <v>0</v>
      </c>
      <c r="C112" s="58">
        <f t="shared" si="10"/>
        <v>156.29037528357509</v>
      </c>
      <c r="D112" s="83">
        <f t="shared" si="5"/>
        <v>666.66666666666663</v>
      </c>
      <c r="E112">
        <f t="shared" si="0"/>
        <v>0</v>
      </c>
      <c r="G112">
        <v>62</v>
      </c>
      <c r="H112" s="13">
        <f t="shared" si="6"/>
        <v>-7.7831728503952036E-4</v>
      </c>
      <c r="I112">
        <f t="shared" si="7"/>
        <v>156.24211961190264</v>
      </c>
      <c r="J112">
        <f t="shared" si="1"/>
        <v>666.56931570731297</v>
      </c>
      <c r="K112" s="27">
        <f t="shared" si="2"/>
        <v>-345.81695878315321</v>
      </c>
    </row>
    <row r="113" spans="1:11">
      <c r="A113" s="26">
        <v>63</v>
      </c>
      <c r="B113" s="82">
        <f t="shared" si="3"/>
        <v>0</v>
      </c>
      <c r="C113" s="58">
        <f t="shared" si="10"/>
        <v>156.29037528357509</v>
      </c>
      <c r="D113" s="83">
        <f t="shared" si="5"/>
        <v>666.66666666666663</v>
      </c>
      <c r="E113">
        <f t="shared" si="0"/>
        <v>0</v>
      </c>
      <c r="G113">
        <v>63</v>
      </c>
      <c r="H113" s="13">
        <f t="shared" si="6"/>
        <v>-7.7831728503952036E-4</v>
      </c>
      <c r="I113">
        <f t="shared" si="7"/>
        <v>156.2413412946176</v>
      </c>
      <c r="J113">
        <f t="shared" si="1"/>
        <v>666.56774407723526</v>
      </c>
      <c r="K113" s="27">
        <f t="shared" si="2"/>
        <v>-345.81532803205045</v>
      </c>
    </row>
    <row r="114" spans="1:11">
      <c r="A114" s="26">
        <v>64</v>
      </c>
      <c r="B114" s="82">
        <f t="shared" si="3"/>
        <v>0</v>
      </c>
      <c r="C114" s="58">
        <f t="shared" si="10"/>
        <v>156.29037528357509</v>
      </c>
      <c r="D114" s="83">
        <f t="shared" si="5"/>
        <v>666.66666666666663</v>
      </c>
      <c r="E114">
        <f t="shared" si="0"/>
        <v>0</v>
      </c>
      <c r="G114">
        <v>64</v>
      </c>
      <c r="H114" s="13">
        <f t="shared" si="6"/>
        <v>-7.7831728503952036E-4</v>
      </c>
      <c r="I114">
        <f t="shared" si="7"/>
        <v>156.24056297733256</v>
      </c>
      <c r="J114">
        <f t="shared" si="1"/>
        <v>666.56617240095079</v>
      </c>
      <c r="K114" s="27">
        <f t="shared" si="2"/>
        <v>-345.81369723684708</v>
      </c>
    </row>
    <row r="115" spans="1:11">
      <c r="A115" s="26">
        <v>65</v>
      </c>
      <c r="B115" s="82">
        <f t="shared" si="3"/>
        <v>0</v>
      </c>
      <c r="C115" s="58">
        <f t="shared" si="10"/>
        <v>156.29037528357509</v>
      </c>
      <c r="D115" s="83">
        <f t="shared" si="5"/>
        <v>666.66666666666663</v>
      </c>
      <c r="E115">
        <f t="shared" ref="E115:E178" si="11">((D115^2)+(D115*D116)+(D116^2))*B116/3</f>
        <v>0</v>
      </c>
      <c r="G115">
        <v>65</v>
      </c>
      <c r="H115" s="13">
        <f t="shared" si="6"/>
        <v>-7.7831728503952036E-4</v>
      </c>
      <c r="I115">
        <f t="shared" si="7"/>
        <v>156.23978466004752</v>
      </c>
      <c r="J115">
        <f t="shared" ref="J115:J178" si="12">IF($G$28&lt;$C$14,0,((($C$11^2)-((I115-$C$13)^2))^0.5)+$C$16)</f>
        <v>666.5646006784566</v>
      </c>
      <c r="K115" s="27">
        <f t="shared" ref="K115:K178" si="13">((J115^2)+(J115*J116)+(J116^2))*H116/3</f>
        <v>-345.81206639754004</v>
      </c>
    </row>
    <row r="116" spans="1:11">
      <c r="A116" s="26">
        <v>66</v>
      </c>
      <c r="B116" s="82">
        <f t="shared" ref="B116:B179" si="14">C116-C115</f>
        <v>0</v>
      </c>
      <c r="C116" s="58">
        <f t="shared" si="10"/>
        <v>156.29037528357509</v>
      </c>
      <c r="D116" s="83">
        <f t="shared" ref="D116:D179" si="15">IF($G$28&lt;$C$14,0,((($C$11^2)-((C116-$C$13)^2))^0.5)+$C$16)</f>
        <v>666.66666666666663</v>
      </c>
      <c r="E116">
        <f t="shared" si="11"/>
        <v>0</v>
      </c>
      <c r="G116">
        <v>66</v>
      </c>
      <c r="H116" s="13">
        <f t="shared" ref="H116:H179" si="16">I116-I115</f>
        <v>-7.7831728503952036E-4</v>
      </c>
      <c r="I116">
        <f t="shared" ref="I116:I179" si="17">($G$27-$C$14)/2000+I115</f>
        <v>156.23900634276248</v>
      </c>
      <c r="J116">
        <f t="shared" si="12"/>
        <v>666.56302890974905</v>
      </c>
      <c r="K116" s="27">
        <f t="shared" si="13"/>
        <v>-345.81043551412625</v>
      </c>
    </row>
    <row r="117" spans="1:11">
      <c r="A117" s="26">
        <v>67</v>
      </c>
      <c r="B117" s="82">
        <f t="shared" si="14"/>
        <v>0</v>
      </c>
      <c r="C117" s="58">
        <f t="shared" si="10"/>
        <v>156.29037528357509</v>
      </c>
      <c r="D117" s="83">
        <f t="shared" si="15"/>
        <v>666.66666666666663</v>
      </c>
      <c r="E117">
        <f t="shared" si="11"/>
        <v>0</v>
      </c>
      <c r="G117">
        <v>67</v>
      </c>
      <c r="H117" s="13">
        <f t="shared" si="16"/>
        <v>-7.7831728503952036E-4</v>
      </c>
      <c r="I117">
        <f t="shared" si="17"/>
        <v>156.23822802547744</v>
      </c>
      <c r="J117">
        <f t="shared" si="12"/>
        <v>666.56145709482507</v>
      </c>
      <c r="K117" s="27">
        <f t="shared" si="13"/>
        <v>-345.80880458660266</v>
      </c>
    </row>
    <row r="118" spans="1:11">
      <c r="A118" s="26">
        <v>68</v>
      </c>
      <c r="B118" s="82">
        <f t="shared" si="14"/>
        <v>0</v>
      </c>
      <c r="C118" s="58">
        <f t="shared" si="10"/>
        <v>156.29037528357509</v>
      </c>
      <c r="D118" s="83">
        <f t="shared" si="15"/>
        <v>666.66666666666663</v>
      </c>
      <c r="E118">
        <f t="shared" si="11"/>
        <v>0</v>
      </c>
      <c r="G118">
        <v>68</v>
      </c>
      <c r="H118" s="13">
        <f t="shared" si="16"/>
        <v>-7.7831728503952036E-4</v>
      </c>
      <c r="I118">
        <f t="shared" si="17"/>
        <v>156.2374497081924</v>
      </c>
      <c r="J118">
        <f t="shared" si="12"/>
        <v>666.55988523368137</v>
      </c>
      <c r="K118" s="27">
        <f t="shared" si="13"/>
        <v>-345.8071736149663</v>
      </c>
    </row>
    <row r="119" spans="1:11">
      <c r="A119" s="26">
        <v>69</v>
      </c>
      <c r="B119" s="82">
        <f t="shared" si="14"/>
        <v>0</v>
      </c>
      <c r="C119" s="58">
        <f t="shared" si="10"/>
        <v>156.29037528357509</v>
      </c>
      <c r="D119" s="83">
        <f t="shared" si="15"/>
        <v>666.66666666666663</v>
      </c>
      <c r="E119">
        <f t="shared" si="11"/>
        <v>0</v>
      </c>
      <c r="G119">
        <v>69</v>
      </c>
      <c r="H119" s="13">
        <f t="shared" si="16"/>
        <v>-7.7831728503952036E-4</v>
      </c>
      <c r="I119">
        <f t="shared" si="17"/>
        <v>156.23667139090736</v>
      </c>
      <c r="J119">
        <f t="shared" si="12"/>
        <v>666.55831332631476</v>
      </c>
      <c r="K119" s="27">
        <f t="shared" si="13"/>
        <v>-345.80554259921405</v>
      </c>
    </row>
    <row r="120" spans="1:11">
      <c r="A120" s="26">
        <v>70</v>
      </c>
      <c r="B120" s="82">
        <f t="shared" si="14"/>
        <v>0</v>
      </c>
      <c r="C120" s="58">
        <f t="shared" si="10"/>
        <v>156.29037528357509</v>
      </c>
      <c r="D120" s="83">
        <f t="shared" si="15"/>
        <v>666.66666666666663</v>
      </c>
      <c r="E120">
        <f t="shared" si="11"/>
        <v>0</v>
      </c>
      <c r="G120">
        <v>70</v>
      </c>
      <c r="H120" s="13">
        <f t="shared" si="16"/>
        <v>-7.7831728503952036E-4</v>
      </c>
      <c r="I120">
        <f t="shared" si="17"/>
        <v>156.23589307362232</v>
      </c>
      <c r="J120">
        <f t="shared" si="12"/>
        <v>666.55674137272183</v>
      </c>
      <c r="K120" s="27">
        <f t="shared" si="13"/>
        <v>-345.80391153934278</v>
      </c>
    </row>
    <row r="121" spans="1:11">
      <c r="A121" s="26">
        <v>71</v>
      </c>
      <c r="B121" s="82">
        <f t="shared" si="14"/>
        <v>0</v>
      </c>
      <c r="C121" s="58">
        <f t="shared" si="10"/>
        <v>156.29037528357509</v>
      </c>
      <c r="D121" s="83">
        <f t="shared" si="15"/>
        <v>666.66666666666663</v>
      </c>
      <c r="E121">
        <f t="shared" si="11"/>
        <v>0</v>
      </c>
      <c r="G121">
        <v>71</v>
      </c>
      <c r="H121" s="13">
        <f t="shared" si="16"/>
        <v>-7.7831728503952036E-4</v>
      </c>
      <c r="I121">
        <f t="shared" si="17"/>
        <v>156.23511475633728</v>
      </c>
      <c r="J121">
        <f t="shared" si="12"/>
        <v>666.55516937289929</v>
      </c>
      <c r="K121" s="27">
        <f t="shared" si="13"/>
        <v>-345.80228043534953</v>
      </c>
    </row>
    <row r="122" spans="1:11">
      <c r="A122" s="26">
        <v>72</v>
      </c>
      <c r="B122" s="82">
        <f t="shared" si="14"/>
        <v>0</v>
      </c>
      <c r="C122" s="58">
        <f t="shared" si="10"/>
        <v>156.29037528357509</v>
      </c>
      <c r="D122" s="83">
        <f t="shared" si="15"/>
        <v>666.66666666666663</v>
      </c>
      <c r="E122">
        <f t="shared" si="11"/>
        <v>0</v>
      </c>
      <c r="G122">
        <v>72</v>
      </c>
      <c r="H122" s="13">
        <f t="shared" si="16"/>
        <v>-7.7831728503952036E-4</v>
      </c>
      <c r="I122">
        <f t="shared" si="17"/>
        <v>156.23433643905224</v>
      </c>
      <c r="J122">
        <f t="shared" si="12"/>
        <v>666.55359732684394</v>
      </c>
      <c r="K122" s="27">
        <f t="shared" si="13"/>
        <v>-345.80064928723118</v>
      </c>
    </row>
    <row r="123" spans="1:11">
      <c r="A123" s="26">
        <v>73</v>
      </c>
      <c r="B123" s="82">
        <f t="shared" si="14"/>
        <v>0</v>
      </c>
      <c r="C123" s="58">
        <f t="shared" si="10"/>
        <v>156.29037528357509</v>
      </c>
      <c r="D123" s="83">
        <f t="shared" si="15"/>
        <v>666.66666666666663</v>
      </c>
      <c r="E123">
        <f t="shared" si="11"/>
        <v>0</v>
      </c>
      <c r="G123">
        <v>73</v>
      </c>
      <c r="H123" s="13">
        <f t="shared" si="16"/>
        <v>-7.7831728503952036E-4</v>
      </c>
      <c r="I123">
        <f t="shared" si="17"/>
        <v>156.2335581217672</v>
      </c>
      <c r="J123">
        <f t="shared" si="12"/>
        <v>666.5520252345525</v>
      </c>
      <c r="K123" s="27">
        <f t="shared" si="13"/>
        <v>-345.79901809498466</v>
      </c>
    </row>
    <row r="124" spans="1:11">
      <c r="A124" s="26">
        <v>74</v>
      </c>
      <c r="B124" s="82">
        <f t="shared" si="14"/>
        <v>0</v>
      </c>
      <c r="C124" s="58">
        <f t="shared" si="10"/>
        <v>156.29037528357509</v>
      </c>
      <c r="D124" s="83">
        <f t="shared" si="15"/>
        <v>666.66666666666663</v>
      </c>
      <c r="E124">
        <f t="shared" si="11"/>
        <v>0</v>
      </c>
      <c r="G124">
        <v>74</v>
      </c>
      <c r="H124" s="13">
        <f t="shared" si="16"/>
        <v>-7.7831728503952036E-4</v>
      </c>
      <c r="I124">
        <f t="shared" si="17"/>
        <v>156.23277980448216</v>
      </c>
      <c r="J124">
        <f t="shared" si="12"/>
        <v>666.55045309602156</v>
      </c>
      <c r="K124" s="27">
        <f t="shared" si="13"/>
        <v>-345.79738685860684</v>
      </c>
    </row>
    <row r="125" spans="1:11">
      <c r="A125" s="26">
        <v>75</v>
      </c>
      <c r="B125" s="82">
        <f t="shared" si="14"/>
        <v>0</v>
      </c>
      <c r="C125" s="58">
        <f t="shared" si="10"/>
        <v>156.29037528357509</v>
      </c>
      <c r="D125" s="83">
        <f t="shared" si="15"/>
        <v>666.66666666666663</v>
      </c>
      <c r="E125">
        <f t="shared" si="11"/>
        <v>0</v>
      </c>
      <c r="G125">
        <v>75</v>
      </c>
      <c r="H125" s="13">
        <f t="shared" si="16"/>
        <v>-7.7831728503952036E-4</v>
      </c>
      <c r="I125">
        <f t="shared" si="17"/>
        <v>156.23200148719712</v>
      </c>
      <c r="J125">
        <f t="shared" si="12"/>
        <v>666.54888091124803</v>
      </c>
      <c r="K125" s="27">
        <f t="shared" si="13"/>
        <v>-345.79575557809488</v>
      </c>
    </row>
    <row r="126" spans="1:11">
      <c r="A126" s="26">
        <v>76</v>
      </c>
      <c r="B126" s="82">
        <f t="shared" si="14"/>
        <v>0</v>
      </c>
      <c r="C126" s="58">
        <f t="shared" si="10"/>
        <v>156.29037528357509</v>
      </c>
      <c r="D126" s="83">
        <f t="shared" si="15"/>
        <v>666.66666666666663</v>
      </c>
      <c r="E126">
        <f t="shared" si="11"/>
        <v>0</v>
      </c>
      <c r="G126">
        <v>76</v>
      </c>
      <c r="H126" s="13">
        <f t="shared" si="16"/>
        <v>-7.7831728503952036E-4</v>
      </c>
      <c r="I126">
        <f t="shared" si="17"/>
        <v>156.23122316991208</v>
      </c>
      <c r="J126">
        <f t="shared" si="12"/>
        <v>666.54730868022864</v>
      </c>
      <c r="K126" s="27">
        <f t="shared" si="13"/>
        <v>-345.79412425344566</v>
      </c>
    </row>
    <row r="127" spans="1:11">
      <c r="A127" s="26">
        <v>77</v>
      </c>
      <c r="B127" s="82">
        <f t="shared" si="14"/>
        <v>0</v>
      </c>
      <c r="C127" s="58">
        <f t="shared" si="10"/>
        <v>156.29037528357509</v>
      </c>
      <c r="D127" s="83">
        <f t="shared" si="15"/>
        <v>666.66666666666663</v>
      </c>
      <c r="E127">
        <f t="shared" si="11"/>
        <v>0</v>
      </c>
      <c r="G127">
        <v>77</v>
      </c>
      <c r="H127" s="13">
        <f t="shared" si="16"/>
        <v>-7.7831728503952036E-4</v>
      </c>
      <c r="I127">
        <f t="shared" si="17"/>
        <v>156.23044485262704</v>
      </c>
      <c r="J127">
        <f t="shared" si="12"/>
        <v>666.54573640295996</v>
      </c>
      <c r="K127" s="27">
        <f t="shared" si="13"/>
        <v>-345.79249288465599</v>
      </c>
    </row>
    <row r="128" spans="1:11">
      <c r="A128" s="26">
        <v>78</v>
      </c>
      <c r="B128" s="82">
        <f t="shared" si="14"/>
        <v>0</v>
      </c>
      <c r="C128" s="58">
        <f t="shared" si="10"/>
        <v>156.29037528357509</v>
      </c>
      <c r="D128" s="83">
        <f t="shared" si="15"/>
        <v>666.66666666666663</v>
      </c>
      <c r="E128">
        <f t="shared" si="11"/>
        <v>0</v>
      </c>
      <c r="G128">
        <v>78</v>
      </c>
      <c r="H128" s="13">
        <f t="shared" si="16"/>
        <v>-7.7831728503952036E-4</v>
      </c>
      <c r="I128">
        <f t="shared" si="17"/>
        <v>156.22966653534201</v>
      </c>
      <c r="J128">
        <f t="shared" si="12"/>
        <v>666.54416407943881</v>
      </c>
      <c r="K128" s="27">
        <f t="shared" si="13"/>
        <v>-345.79086147172285</v>
      </c>
    </row>
    <row r="129" spans="1:11">
      <c r="A129" s="26">
        <v>79</v>
      </c>
      <c r="B129" s="82">
        <f t="shared" si="14"/>
        <v>0</v>
      </c>
      <c r="C129" s="58">
        <f t="shared" si="10"/>
        <v>156.29037528357509</v>
      </c>
      <c r="D129" s="83">
        <f t="shared" si="15"/>
        <v>666.66666666666663</v>
      </c>
      <c r="E129">
        <f t="shared" si="11"/>
        <v>0</v>
      </c>
      <c r="G129">
        <v>79</v>
      </c>
      <c r="H129" s="13">
        <f t="shared" si="16"/>
        <v>-7.7831728503952036E-4</v>
      </c>
      <c r="I129">
        <f t="shared" si="17"/>
        <v>156.22888821805697</v>
      </c>
      <c r="J129">
        <f t="shared" si="12"/>
        <v>666.54259170966191</v>
      </c>
      <c r="K129" s="27">
        <f t="shared" si="13"/>
        <v>-345.78923001464324</v>
      </c>
    </row>
    <row r="130" spans="1:11">
      <c r="A130" s="26">
        <v>80</v>
      </c>
      <c r="B130" s="82">
        <f t="shared" si="14"/>
        <v>0</v>
      </c>
      <c r="C130" s="58">
        <f t="shared" si="10"/>
        <v>156.29037528357509</v>
      </c>
      <c r="D130" s="83">
        <f t="shared" si="15"/>
        <v>666.66666666666663</v>
      </c>
      <c r="E130">
        <f t="shared" si="11"/>
        <v>0</v>
      </c>
      <c r="G130">
        <v>80</v>
      </c>
      <c r="H130" s="13">
        <f t="shared" si="16"/>
        <v>-7.7831728503952036E-4</v>
      </c>
      <c r="I130">
        <f t="shared" si="17"/>
        <v>156.22810990077193</v>
      </c>
      <c r="J130">
        <f t="shared" si="12"/>
        <v>666.54101929362594</v>
      </c>
      <c r="K130" s="27">
        <f t="shared" si="13"/>
        <v>-345.78759851341414</v>
      </c>
    </row>
    <row r="131" spans="1:11">
      <c r="A131" s="26">
        <v>81</v>
      </c>
      <c r="B131" s="82">
        <f t="shared" si="14"/>
        <v>0</v>
      </c>
      <c r="C131" s="58">
        <f t="shared" si="10"/>
        <v>156.29037528357509</v>
      </c>
      <c r="D131" s="83">
        <f t="shared" si="15"/>
        <v>666.66666666666663</v>
      </c>
      <c r="E131">
        <f t="shared" si="11"/>
        <v>0</v>
      </c>
      <c r="G131">
        <v>81</v>
      </c>
      <c r="H131" s="13">
        <f t="shared" si="16"/>
        <v>-7.7831728503952036E-4</v>
      </c>
      <c r="I131">
        <f t="shared" si="17"/>
        <v>156.22733158348689</v>
      </c>
      <c r="J131">
        <f t="shared" si="12"/>
        <v>666.53944683132761</v>
      </c>
      <c r="K131" s="27">
        <f t="shared" si="13"/>
        <v>-345.78596696803226</v>
      </c>
    </row>
    <row r="132" spans="1:11">
      <c r="A132" s="26">
        <v>82</v>
      </c>
      <c r="B132" s="82">
        <f t="shared" si="14"/>
        <v>0</v>
      </c>
      <c r="C132" s="58">
        <f t="shared" si="10"/>
        <v>156.29037528357509</v>
      </c>
      <c r="D132" s="83">
        <f t="shared" si="15"/>
        <v>666.66666666666663</v>
      </c>
      <c r="E132">
        <f t="shared" si="11"/>
        <v>0</v>
      </c>
      <c r="G132">
        <v>82</v>
      </c>
      <c r="H132" s="13">
        <f t="shared" si="16"/>
        <v>-7.7831728503952036E-4</v>
      </c>
      <c r="I132">
        <f t="shared" si="17"/>
        <v>156.22655326620185</v>
      </c>
      <c r="J132">
        <f t="shared" si="12"/>
        <v>666.53787432276374</v>
      </c>
      <c r="K132" s="27">
        <f t="shared" si="13"/>
        <v>-345.78433537849486</v>
      </c>
    </row>
    <row r="133" spans="1:11">
      <c r="A133" s="26">
        <v>83</v>
      </c>
      <c r="B133" s="82">
        <f t="shared" si="14"/>
        <v>0</v>
      </c>
      <c r="C133" s="58">
        <f t="shared" si="10"/>
        <v>156.29037528357509</v>
      </c>
      <c r="D133" s="83">
        <f t="shared" si="15"/>
        <v>666.66666666666663</v>
      </c>
      <c r="E133">
        <f t="shared" si="11"/>
        <v>0</v>
      </c>
      <c r="G133">
        <v>83</v>
      </c>
      <c r="H133" s="13">
        <f t="shared" si="16"/>
        <v>-7.7831728503952036E-4</v>
      </c>
      <c r="I133">
        <f t="shared" si="17"/>
        <v>156.22577494891681</v>
      </c>
      <c r="J133">
        <f t="shared" si="12"/>
        <v>666.53630176793092</v>
      </c>
      <c r="K133" s="27">
        <f t="shared" si="13"/>
        <v>-345.78270374479848</v>
      </c>
    </row>
    <row r="134" spans="1:11">
      <c r="A134" s="26">
        <v>84</v>
      </c>
      <c r="B134" s="82">
        <f t="shared" si="14"/>
        <v>0</v>
      </c>
      <c r="C134" s="58">
        <f t="shared" si="10"/>
        <v>156.29037528357509</v>
      </c>
      <c r="D134" s="83">
        <f t="shared" si="15"/>
        <v>666.66666666666663</v>
      </c>
      <c r="E134">
        <f t="shared" si="11"/>
        <v>0</v>
      </c>
      <c r="G134">
        <v>84</v>
      </c>
      <c r="H134" s="13">
        <f t="shared" si="16"/>
        <v>-7.7831728503952036E-4</v>
      </c>
      <c r="I134">
        <f t="shared" si="17"/>
        <v>156.22499663163177</v>
      </c>
      <c r="J134">
        <f t="shared" si="12"/>
        <v>666.53472916682585</v>
      </c>
      <c r="K134" s="27">
        <f t="shared" si="13"/>
        <v>-345.78107206694045</v>
      </c>
    </row>
    <row r="135" spans="1:11">
      <c r="A135" s="26">
        <v>85</v>
      </c>
      <c r="B135" s="82">
        <f t="shared" si="14"/>
        <v>0</v>
      </c>
      <c r="C135" s="58">
        <f t="shared" si="10"/>
        <v>156.29037528357509</v>
      </c>
      <c r="D135" s="83">
        <f t="shared" si="15"/>
        <v>666.66666666666663</v>
      </c>
      <c r="E135">
        <f t="shared" si="11"/>
        <v>0</v>
      </c>
      <c r="G135">
        <v>85</v>
      </c>
      <c r="H135" s="13">
        <f t="shared" si="16"/>
        <v>-7.7831728503952036E-4</v>
      </c>
      <c r="I135">
        <f t="shared" si="17"/>
        <v>156.22421831434673</v>
      </c>
      <c r="J135">
        <f t="shared" si="12"/>
        <v>666.53315651944547</v>
      </c>
      <c r="K135" s="27">
        <f t="shared" si="13"/>
        <v>-345.77944034491742</v>
      </c>
    </row>
    <row r="136" spans="1:11">
      <c r="A136" s="26">
        <v>86</v>
      </c>
      <c r="B136" s="82">
        <f t="shared" si="14"/>
        <v>0</v>
      </c>
      <c r="C136" s="58">
        <f t="shared" si="10"/>
        <v>156.29037528357509</v>
      </c>
      <c r="D136" s="83">
        <f t="shared" si="15"/>
        <v>666.66666666666663</v>
      </c>
      <c r="E136">
        <f t="shared" si="11"/>
        <v>0</v>
      </c>
      <c r="G136">
        <v>86</v>
      </c>
      <c r="H136" s="13">
        <f t="shared" si="16"/>
        <v>-7.7831728503952036E-4</v>
      </c>
      <c r="I136">
        <f t="shared" si="17"/>
        <v>156.22343999706169</v>
      </c>
      <c r="J136">
        <f t="shared" si="12"/>
        <v>666.53158382578624</v>
      </c>
      <c r="K136" s="27">
        <f t="shared" si="13"/>
        <v>-345.77780857872648</v>
      </c>
    </row>
    <row r="137" spans="1:11">
      <c r="A137" s="26">
        <v>87</v>
      </c>
      <c r="B137" s="82">
        <f t="shared" si="14"/>
        <v>0</v>
      </c>
      <c r="C137" s="58">
        <f t="shared" si="10"/>
        <v>156.29037528357509</v>
      </c>
      <c r="D137" s="83">
        <f t="shared" si="15"/>
        <v>666.66666666666663</v>
      </c>
      <c r="E137">
        <f t="shared" si="11"/>
        <v>0</v>
      </c>
      <c r="G137">
        <v>87</v>
      </c>
      <c r="H137" s="13">
        <f t="shared" si="16"/>
        <v>-7.7831728503952036E-4</v>
      </c>
      <c r="I137">
        <f t="shared" si="17"/>
        <v>156.22266167977665</v>
      </c>
      <c r="J137">
        <f t="shared" si="12"/>
        <v>666.5300110858451</v>
      </c>
      <c r="K137" s="27">
        <f t="shared" si="13"/>
        <v>-345.77617676836445</v>
      </c>
    </row>
    <row r="138" spans="1:11">
      <c r="A138" s="26">
        <v>88</v>
      </c>
      <c r="B138" s="82">
        <f t="shared" si="14"/>
        <v>0</v>
      </c>
      <c r="C138" s="58">
        <f t="shared" si="10"/>
        <v>156.29037528357509</v>
      </c>
      <c r="D138" s="83">
        <f t="shared" si="15"/>
        <v>666.66666666666663</v>
      </c>
      <c r="E138">
        <f t="shared" si="11"/>
        <v>0</v>
      </c>
      <c r="G138">
        <v>88</v>
      </c>
      <c r="H138" s="13">
        <f t="shared" si="16"/>
        <v>-7.7831728503952036E-4</v>
      </c>
      <c r="I138">
        <f t="shared" si="17"/>
        <v>156.22188336249161</v>
      </c>
      <c r="J138">
        <f t="shared" si="12"/>
        <v>666.52843829961853</v>
      </c>
      <c r="K138" s="27">
        <f t="shared" si="13"/>
        <v>-345.77454491382849</v>
      </c>
    </row>
    <row r="139" spans="1:11">
      <c r="A139" s="26">
        <v>89</v>
      </c>
      <c r="B139" s="82">
        <f t="shared" si="14"/>
        <v>0</v>
      </c>
      <c r="C139" s="58">
        <f t="shared" si="10"/>
        <v>156.29037528357509</v>
      </c>
      <c r="D139" s="83">
        <f t="shared" si="15"/>
        <v>666.66666666666663</v>
      </c>
      <c r="E139">
        <f t="shared" si="11"/>
        <v>0</v>
      </c>
      <c r="G139">
        <v>89</v>
      </c>
      <c r="H139" s="13">
        <f t="shared" si="16"/>
        <v>-7.7831728503952036E-4</v>
      </c>
      <c r="I139">
        <f t="shared" si="17"/>
        <v>156.22110504520657</v>
      </c>
      <c r="J139">
        <f t="shared" si="12"/>
        <v>666.52686546710356</v>
      </c>
      <c r="K139" s="27">
        <f t="shared" si="13"/>
        <v>-345.77291301511531</v>
      </c>
    </row>
    <row r="140" spans="1:11">
      <c r="A140" s="26">
        <v>90</v>
      </c>
      <c r="B140" s="82">
        <f t="shared" si="14"/>
        <v>0</v>
      </c>
      <c r="C140" s="58">
        <f t="shared" si="10"/>
        <v>156.29037528357509</v>
      </c>
      <c r="D140" s="83">
        <f t="shared" si="15"/>
        <v>666.66666666666663</v>
      </c>
      <c r="E140">
        <f t="shared" si="11"/>
        <v>0</v>
      </c>
      <c r="G140">
        <v>90</v>
      </c>
      <c r="H140" s="13">
        <f t="shared" si="16"/>
        <v>-7.7831728503952036E-4</v>
      </c>
      <c r="I140">
        <f t="shared" si="17"/>
        <v>156.22032672792153</v>
      </c>
      <c r="J140">
        <f t="shared" si="12"/>
        <v>666.52529258829657</v>
      </c>
      <c r="K140" s="27">
        <f t="shared" si="13"/>
        <v>-345.77128107222183</v>
      </c>
    </row>
    <row r="141" spans="1:11">
      <c r="A141" s="26">
        <v>91</v>
      </c>
      <c r="B141" s="82">
        <f t="shared" si="14"/>
        <v>0</v>
      </c>
      <c r="C141" s="58">
        <f t="shared" si="10"/>
        <v>156.29037528357509</v>
      </c>
      <c r="D141" s="83">
        <f t="shared" si="15"/>
        <v>666.66666666666663</v>
      </c>
      <c r="E141">
        <f t="shared" si="11"/>
        <v>0</v>
      </c>
      <c r="G141">
        <v>91</v>
      </c>
      <c r="H141" s="13">
        <f t="shared" si="16"/>
        <v>-7.7831728503952036E-4</v>
      </c>
      <c r="I141">
        <f t="shared" si="17"/>
        <v>156.21954841063649</v>
      </c>
      <c r="J141">
        <f t="shared" si="12"/>
        <v>666.52371966319447</v>
      </c>
      <c r="K141" s="27">
        <f t="shared" si="13"/>
        <v>-345.76964908514515</v>
      </c>
    </row>
    <row r="142" spans="1:11">
      <c r="A142" s="26">
        <v>92</v>
      </c>
      <c r="B142" s="82">
        <f t="shared" si="14"/>
        <v>0</v>
      </c>
      <c r="C142" s="58">
        <f t="shared" si="10"/>
        <v>156.29037528357509</v>
      </c>
      <c r="D142" s="83">
        <f t="shared" si="15"/>
        <v>666.66666666666663</v>
      </c>
      <c r="E142">
        <f t="shared" si="11"/>
        <v>0</v>
      </c>
      <c r="G142">
        <v>92</v>
      </c>
      <c r="H142" s="13">
        <f t="shared" si="16"/>
        <v>-7.7831728503952036E-4</v>
      </c>
      <c r="I142">
        <f t="shared" si="17"/>
        <v>156.21877009335145</v>
      </c>
      <c r="J142">
        <f t="shared" si="12"/>
        <v>666.52214669179398</v>
      </c>
      <c r="K142" s="27">
        <f t="shared" si="13"/>
        <v>-345.76801705388203</v>
      </c>
    </row>
    <row r="143" spans="1:11">
      <c r="A143" s="26">
        <v>93</v>
      </c>
      <c r="B143" s="82">
        <f t="shared" si="14"/>
        <v>0</v>
      </c>
      <c r="C143" s="58">
        <f t="shared" si="10"/>
        <v>156.29037528357509</v>
      </c>
      <c r="D143" s="83">
        <f t="shared" si="15"/>
        <v>666.66666666666663</v>
      </c>
      <c r="E143">
        <f t="shared" si="11"/>
        <v>0</v>
      </c>
      <c r="G143">
        <v>93</v>
      </c>
      <c r="H143" s="13">
        <f t="shared" si="16"/>
        <v>-7.7831728503952036E-4</v>
      </c>
      <c r="I143">
        <f t="shared" si="17"/>
        <v>156.21799177606641</v>
      </c>
      <c r="J143">
        <f t="shared" si="12"/>
        <v>666.52057367409168</v>
      </c>
      <c r="K143" s="27">
        <f t="shared" si="13"/>
        <v>-345.76638497842958</v>
      </c>
    </row>
    <row r="144" spans="1:11">
      <c r="A144" s="26">
        <v>94</v>
      </c>
      <c r="B144" s="82">
        <f t="shared" si="14"/>
        <v>0</v>
      </c>
      <c r="C144" s="58">
        <f t="shared" ref="C144:C207" si="18">($C$37-$C$36)/2000+C143</f>
        <v>156.29037528357509</v>
      </c>
      <c r="D144" s="83">
        <f t="shared" si="15"/>
        <v>666.66666666666663</v>
      </c>
      <c r="E144">
        <f t="shared" si="11"/>
        <v>0</v>
      </c>
      <c r="G144">
        <v>94</v>
      </c>
      <c r="H144" s="13">
        <f t="shared" si="16"/>
        <v>-7.7831728503952036E-4</v>
      </c>
      <c r="I144">
        <f t="shared" si="17"/>
        <v>156.21721345878137</v>
      </c>
      <c r="J144">
        <f t="shared" si="12"/>
        <v>666.51900061008439</v>
      </c>
      <c r="K144" s="27">
        <f t="shared" si="13"/>
        <v>-345.76475285878456</v>
      </c>
    </row>
    <row r="145" spans="1:11">
      <c r="A145" s="26">
        <v>95</v>
      </c>
      <c r="B145" s="82">
        <f t="shared" si="14"/>
        <v>0</v>
      </c>
      <c r="C145" s="58">
        <f t="shared" si="18"/>
        <v>156.29037528357509</v>
      </c>
      <c r="D145" s="83">
        <f t="shared" si="15"/>
        <v>666.66666666666663</v>
      </c>
      <c r="E145">
        <f t="shared" si="11"/>
        <v>0</v>
      </c>
      <c r="G145">
        <v>95</v>
      </c>
      <c r="H145" s="13">
        <f t="shared" si="16"/>
        <v>-7.7831728503952036E-4</v>
      </c>
      <c r="I145">
        <f t="shared" si="17"/>
        <v>156.21643514149633</v>
      </c>
      <c r="J145">
        <f t="shared" si="12"/>
        <v>666.51742749976893</v>
      </c>
      <c r="K145" s="27">
        <f t="shared" si="13"/>
        <v>-345.76312069494406</v>
      </c>
    </row>
    <row r="146" spans="1:11">
      <c r="A146" s="26">
        <v>96</v>
      </c>
      <c r="B146" s="82">
        <f t="shared" si="14"/>
        <v>0</v>
      </c>
      <c r="C146" s="58">
        <f t="shared" si="18"/>
        <v>156.29037528357509</v>
      </c>
      <c r="D146" s="83">
        <f t="shared" si="15"/>
        <v>666.66666666666663</v>
      </c>
      <c r="E146">
        <f t="shared" si="11"/>
        <v>0</v>
      </c>
      <c r="G146">
        <v>96</v>
      </c>
      <c r="H146" s="13">
        <f t="shared" si="16"/>
        <v>-7.7831728503952036E-4</v>
      </c>
      <c r="I146">
        <f t="shared" si="17"/>
        <v>156.21565682421129</v>
      </c>
      <c r="J146">
        <f t="shared" si="12"/>
        <v>666.51585434314177</v>
      </c>
      <c r="K146" s="27">
        <f t="shared" si="13"/>
        <v>-345.76148848690491</v>
      </c>
    </row>
    <row r="147" spans="1:11">
      <c r="A147" s="26">
        <v>97</v>
      </c>
      <c r="B147" s="82">
        <f t="shared" si="14"/>
        <v>0</v>
      </c>
      <c r="C147" s="58">
        <f t="shared" si="18"/>
        <v>156.29037528357509</v>
      </c>
      <c r="D147" s="83">
        <f t="shared" si="15"/>
        <v>666.66666666666663</v>
      </c>
      <c r="E147">
        <f t="shared" si="11"/>
        <v>0</v>
      </c>
      <c r="G147">
        <v>97</v>
      </c>
      <c r="H147" s="13">
        <f t="shared" si="16"/>
        <v>-7.7831728503952036E-4</v>
      </c>
      <c r="I147">
        <f t="shared" si="17"/>
        <v>156.21487850692625</v>
      </c>
      <c r="J147">
        <f t="shared" si="12"/>
        <v>666.51428114019984</v>
      </c>
      <c r="K147" s="27">
        <f t="shared" si="13"/>
        <v>-345.75985623466403</v>
      </c>
    </row>
    <row r="148" spans="1:11">
      <c r="A148" s="26">
        <v>98</v>
      </c>
      <c r="B148" s="82">
        <f t="shared" si="14"/>
        <v>0</v>
      </c>
      <c r="C148" s="58">
        <f t="shared" si="18"/>
        <v>156.29037528357509</v>
      </c>
      <c r="D148" s="83">
        <f t="shared" si="15"/>
        <v>666.66666666666663</v>
      </c>
      <c r="E148">
        <f t="shared" si="11"/>
        <v>0</v>
      </c>
      <c r="G148">
        <v>98</v>
      </c>
      <c r="H148" s="13">
        <f t="shared" si="16"/>
        <v>-7.7831728503952036E-4</v>
      </c>
      <c r="I148">
        <f t="shared" si="17"/>
        <v>156.21410018964121</v>
      </c>
      <c r="J148">
        <f t="shared" si="12"/>
        <v>666.51270789093974</v>
      </c>
      <c r="K148" s="27">
        <f t="shared" si="13"/>
        <v>-345.75822393821841</v>
      </c>
    </row>
    <row r="149" spans="1:11">
      <c r="A149" s="26">
        <v>99</v>
      </c>
      <c r="B149" s="82">
        <f t="shared" si="14"/>
        <v>0</v>
      </c>
      <c r="C149" s="58">
        <f t="shared" si="18"/>
        <v>156.29037528357509</v>
      </c>
      <c r="D149" s="83">
        <f t="shared" si="15"/>
        <v>666.66666666666663</v>
      </c>
      <c r="E149">
        <f t="shared" si="11"/>
        <v>0</v>
      </c>
      <c r="G149">
        <v>99</v>
      </c>
      <c r="H149" s="13">
        <f t="shared" si="16"/>
        <v>-7.7831728503952036E-4</v>
      </c>
      <c r="I149">
        <f t="shared" si="17"/>
        <v>156.21332187235618</v>
      </c>
      <c r="J149">
        <f t="shared" si="12"/>
        <v>666.51113459535816</v>
      </c>
      <c r="K149" s="27">
        <f t="shared" si="13"/>
        <v>-345.75659159756498</v>
      </c>
    </row>
    <row r="150" spans="1:11">
      <c r="A150" s="26">
        <v>100</v>
      </c>
      <c r="B150" s="82">
        <f t="shared" si="14"/>
        <v>0</v>
      </c>
      <c r="C150" s="58">
        <f t="shared" si="18"/>
        <v>156.29037528357509</v>
      </c>
      <c r="D150" s="83">
        <f t="shared" si="15"/>
        <v>666.66666666666663</v>
      </c>
      <c r="E150">
        <f t="shared" si="11"/>
        <v>0</v>
      </c>
      <c r="G150">
        <v>100</v>
      </c>
      <c r="H150" s="13">
        <f t="shared" si="16"/>
        <v>-7.7831728503952036E-4</v>
      </c>
      <c r="I150">
        <f t="shared" si="17"/>
        <v>156.21254355507114</v>
      </c>
      <c r="J150">
        <f t="shared" si="12"/>
        <v>666.50956125345192</v>
      </c>
      <c r="K150" s="27">
        <f t="shared" si="13"/>
        <v>-345.75495921270061</v>
      </c>
    </row>
    <row r="151" spans="1:11">
      <c r="A151" s="26">
        <v>101</v>
      </c>
      <c r="B151" s="82">
        <f t="shared" si="14"/>
        <v>0</v>
      </c>
      <c r="C151" s="58">
        <f t="shared" si="18"/>
        <v>156.29037528357509</v>
      </c>
      <c r="D151" s="83">
        <f t="shared" si="15"/>
        <v>666.66666666666663</v>
      </c>
      <c r="E151">
        <f t="shared" si="11"/>
        <v>0</v>
      </c>
      <c r="G151">
        <v>101</v>
      </c>
      <c r="H151" s="13">
        <f t="shared" si="16"/>
        <v>-7.7831728503952036E-4</v>
      </c>
      <c r="I151">
        <f t="shared" si="17"/>
        <v>156.2117652377861</v>
      </c>
      <c r="J151">
        <f t="shared" si="12"/>
        <v>666.50798786521761</v>
      </c>
      <c r="K151" s="27">
        <f t="shared" si="13"/>
        <v>-345.75332678362224</v>
      </c>
    </row>
    <row r="152" spans="1:11">
      <c r="A152" s="26">
        <v>102</v>
      </c>
      <c r="B152" s="82">
        <f t="shared" si="14"/>
        <v>0</v>
      </c>
      <c r="C152" s="58">
        <f t="shared" si="18"/>
        <v>156.29037528357509</v>
      </c>
      <c r="D152" s="83">
        <f t="shared" si="15"/>
        <v>666.66666666666663</v>
      </c>
      <c r="E152">
        <f t="shared" si="11"/>
        <v>0</v>
      </c>
      <c r="G152">
        <v>102</v>
      </c>
      <c r="H152" s="13">
        <f t="shared" si="16"/>
        <v>-7.7831728503952036E-4</v>
      </c>
      <c r="I152">
        <f t="shared" si="17"/>
        <v>156.21098692050106</v>
      </c>
      <c r="J152">
        <f t="shared" si="12"/>
        <v>666.50641443065206</v>
      </c>
      <c r="K152" s="27">
        <f t="shared" si="13"/>
        <v>-345.75169431032691</v>
      </c>
    </row>
    <row r="153" spans="1:11">
      <c r="A153" s="26">
        <v>103</v>
      </c>
      <c r="B153" s="82">
        <f t="shared" si="14"/>
        <v>0</v>
      </c>
      <c r="C153" s="58">
        <f t="shared" si="18"/>
        <v>156.29037528357509</v>
      </c>
      <c r="D153" s="83">
        <f t="shared" si="15"/>
        <v>666.66666666666663</v>
      </c>
      <c r="E153">
        <f t="shared" si="11"/>
        <v>0</v>
      </c>
      <c r="G153">
        <v>103</v>
      </c>
      <c r="H153" s="13">
        <f t="shared" si="16"/>
        <v>-7.7831728503952036E-4</v>
      </c>
      <c r="I153">
        <f t="shared" si="17"/>
        <v>156.21020860321602</v>
      </c>
      <c r="J153">
        <f t="shared" si="12"/>
        <v>666.50484094975195</v>
      </c>
      <c r="K153" s="27">
        <f t="shared" si="13"/>
        <v>-345.75006179281132</v>
      </c>
    </row>
    <row r="154" spans="1:11">
      <c r="A154" s="26">
        <v>104</v>
      </c>
      <c r="B154" s="82">
        <f t="shared" si="14"/>
        <v>0</v>
      </c>
      <c r="C154" s="58">
        <f t="shared" si="18"/>
        <v>156.29037528357509</v>
      </c>
      <c r="D154" s="83">
        <f t="shared" si="15"/>
        <v>666.66666666666663</v>
      </c>
      <c r="E154">
        <f t="shared" si="11"/>
        <v>0</v>
      </c>
      <c r="G154">
        <v>104</v>
      </c>
      <c r="H154" s="13">
        <f t="shared" si="16"/>
        <v>-7.7831728503952036E-4</v>
      </c>
      <c r="I154">
        <f t="shared" si="17"/>
        <v>156.20943028593098</v>
      </c>
      <c r="J154">
        <f t="shared" si="12"/>
        <v>666.50326742251389</v>
      </c>
      <c r="K154" s="27">
        <f t="shared" si="13"/>
        <v>-345.74842923107263</v>
      </c>
    </row>
    <row r="155" spans="1:11">
      <c r="A155" s="26">
        <v>105</v>
      </c>
      <c r="B155" s="82">
        <f t="shared" si="14"/>
        <v>0</v>
      </c>
      <c r="C155" s="58">
        <f t="shared" si="18"/>
        <v>156.29037528357509</v>
      </c>
      <c r="D155" s="83">
        <f t="shared" si="15"/>
        <v>666.66666666666663</v>
      </c>
      <c r="E155">
        <f t="shared" si="11"/>
        <v>0</v>
      </c>
      <c r="G155">
        <v>105</v>
      </c>
      <c r="H155" s="13">
        <f t="shared" si="16"/>
        <v>-7.7831728503952036E-4</v>
      </c>
      <c r="I155">
        <f t="shared" si="17"/>
        <v>156.20865196864594</v>
      </c>
      <c r="J155">
        <f t="shared" si="12"/>
        <v>666.50169384893468</v>
      </c>
      <c r="K155" s="27">
        <f t="shared" si="13"/>
        <v>-345.74679662510766</v>
      </c>
    </row>
    <row r="156" spans="1:11">
      <c r="A156" s="26">
        <v>106</v>
      </c>
      <c r="B156" s="82">
        <f t="shared" si="14"/>
        <v>0</v>
      </c>
      <c r="C156" s="58">
        <f t="shared" si="18"/>
        <v>156.29037528357509</v>
      </c>
      <c r="D156" s="83">
        <f t="shared" si="15"/>
        <v>666.66666666666663</v>
      </c>
      <c r="E156">
        <f t="shared" si="11"/>
        <v>0</v>
      </c>
      <c r="G156">
        <v>106</v>
      </c>
      <c r="H156" s="13">
        <f t="shared" si="16"/>
        <v>-7.7831728503952036E-4</v>
      </c>
      <c r="I156">
        <f t="shared" si="17"/>
        <v>156.2078736513609</v>
      </c>
      <c r="J156">
        <f t="shared" si="12"/>
        <v>666.50012022901103</v>
      </c>
      <c r="K156" s="27">
        <f t="shared" si="13"/>
        <v>-345.74516397491334</v>
      </c>
    </row>
    <row r="157" spans="1:11">
      <c r="A157" s="26">
        <v>107</v>
      </c>
      <c r="B157" s="82">
        <f t="shared" si="14"/>
        <v>0</v>
      </c>
      <c r="C157" s="58">
        <f t="shared" si="18"/>
        <v>156.29037528357509</v>
      </c>
      <c r="D157" s="83">
        <f t="shared" si="15"/>
        <v>666.66666666666663</v>
      </c>
      <c r="E157">
        <f t="shared" si="11"/>
        <v>0</v>
      </c>
      <c r="G157">
        <v>107</v>
      </c>
      <c r="H157" s="13">
        <f t="shared" si="16"/>
        <v>-7.7831728503952036E-4</v>
      </c>
      <c r="I157">
        <f t="shared" si="17"/>
        <v>156.20709533407586</v>
      </c>
      <c r="J157">
        <f t="shared" si="12"/>
        <v>666.49854656273965</v>
      </c>
      <c r="K157" s="27">
        <f t="shared" si="13"/>
        <v>-345.74353128048665</v>
      </c>
    </row>
    <row r="158" spans="1:11">
      <c r="A158" s="26">
        <v>108</v>
      </c>
      <c r="B158" s="82">
        <f t="shared" si="14"/>
        <v>0</v>
      </c>
      <c r="C158" s="58">
        <f t="shared" si="18"/>
        <v>156.29037528357509</v>
      </c>
      <c r="D158" s="83">
        <f t="shared" si="15"/>
        <v>666.66666666666663</v>
      </c>
      <c r="E158">
        <f t="shared" si="11"/>
        <v>0</v>
      </c>
      <c r="G158">
        <v>108</v>
      </c>
      <c r="H158" s="13">
        <f t="shared" si="16"/>
        <v>-7.7831728503952036E-4</v>
      </c>
      <c r="I158">
        <f t="shared" si="17"/>
        <v>156.20631701679082</v>
      </c>
      <c r="J158">
        <f t="shared" si="12"/>
        <v>666.49697285011723</v>
      </c>
      <c r="K158" s="27">
        <f t="shared" si="13"/>
        <v>-345.74189854182447</v>
      </c>
    </row>
    <row r="159" spans="1:11">
      <c r="A159" s="26">
        <v>109</v>
      </c>
      <c r="B159" s="82">
        <f t="shared" si="14"/>
        <v>0</v>
      </c>
      <c r="C159" s="58">
        <f t="shared" si="18"/>
        <v>156.29037528357509</v>
      </c>
      <c r="D159" s="83">
        <f t="shared" si="15"/>
        <v>666.66666666666663</v>
      </c>
      <c r="E159">
        <f t="shared" si="11"/>
        <v>0</v>
      </c>
      <c r="G159">
        <v>109</v>
      </c>
      <c r="H159" s="13">
        <f t="shared" si="16"/>
        <v>-7.7831728503952036E-4</v>
      </c>
      <c r="I159">
        <f t="shared" si="17"/>
        <v>156.20553869950578</v>
      </c>
      <c r="J159">
        <f t="shared" si="12"/>
        <v>666.49539909114048</v>
      </c>
      <c r="K159" s="27">
        <f t="shared" si="13"/>
        <v>-345.74026575892367</v>
      </c>
    </row>
    <row r="160" spans="1:11">
      <c r="A160" s="26">
        <v>110</v>
      </c>
      <c r="B160" s="82">
        <f t="shared" si="14"/>
        <v>0</v>
      </c>
      <c r="C160" s="58">
        <f t="shared" si="18"/>
        <v>156.29037528357509</v>
      </c>
      <c r="D160" s="83">
        <f t="shared" si="15"/>
        <v>666.66666666666663</v>
      </c>
      <c r="E160">
        <f t="shared" si="11"/>
        <v>0</v>
      </c>
      <c r="G160">
        <v>110</v>
      </c>
      <c r="H160" s="13">
        <f t="shared" si="16"/>
        <v>-7.7831728503952036E-4</v>
      </c>
      <c r="I160">
        <f t="shared" si="17"/>
        <v>156.20476038222074</v>
      </c>
      <c r="J160">
        <f t="shared" si="12"/>
        <v>666.49382528580611</v>
      </c>
      <c r="K160" s="27">
        <f t="shared" si="13"/>
        <v>-345.7386329317813</v>
      </c>
    </row>
    <row r="161" spans="1:11">
      <c r="A161" s="26">
        <v>111</v>
      </c>
      <c r="B161" s="82">
        <f t="shared" si="14"/>
        <v>0</v>
      </c>
      <c r="C161" s="58">
        <f t="shared" si="18"/>
        <v>156.29037528357509</v>
      </c>
      <c r="D161" s="83">
        <f t="shared" si="15"/>
        <v>666.66666666666663</v>
      </c>
      <c r="E161">
        <f t="shared" si="11"/>
        <v>0</v>
      </c>
      <c r="G161">
        <v>111</v>
      </c>
      <c r="H161" s="13">
        <f t="shared" si="16"/>
        <v>-7.7831728503952036E-4</v>
      </c>
      <c r="I161">
        <f t="shared" si="17"/>
        <v>156.2039820649357</v>
      </c>
      <c r="J161">
        <f t="shared" si="12"/>
        <v>666.49225143411093</v>
      </c>
      <c r="K161" s="27">
        <f t="shared" si="13"/>
        <v>-345.73700006039422</v>
      </c>
    </row>
    <row r="162" spans="1:11">
      <c r="A162" s="26">
        <v>112</v>
      </c>
      <c r="B162" s="82">
        <f t="shared" si="14"/>
        <v>0</v>
      </c>
      <c r="C162" s="58">
        <f t="shared" si="18"/>
        <v>156.29037528357509</v>
      </c>
      <c r="D162" s="83">
        <f t="shared" si="15"/>
        <v>666.66666666666663</v>
      </c>
      <c r="E162">
        <f t="shared" si="11"/>
        <v>0</v>
      </c>
      <c r="G162">
        <v>112</v>
      </c>
      <c r="H162" s="13">
        <f t="shared" si="16"/>
        <v>-7.7831728503952036E-4</v>
      </c>
      <c r="I162">
        <f t="shared" si="17"/>
        <v>156.20320374765066</v>
      </c>
      <c r="J162">
        <f t="shared" si="12"/>
        <v>666.49067753605141</v>
      </c>
      <c r="K162" s="27">
        <f t="shared" si="13"/>
        <v>-345.73536714475944</v>
      </c>
    </row>
    <row r="163" spans="1:11">
      <c r="A163" s="26">
        <v>113</v>
      </c>
      <c r="B163" s="82">
        <f t="shared" si="14"/>
        <v>0</v>
      </c>
      <c r="C163" s="58">
        <f t="shared" si="18"/>
        <v>156.29037528357509</v>
      </c>
      <c r="D163" s="83">
        <f t="shared" si="15"/>
        <v>666.66666666666663</v>
      </c>
      <c r="E163">
        <f t="shared" si="11"/>
        <v>0</v>
      </c>
      <c r="G163">
        <v>113</v>
      </c>
      <c r="H163" s="13">
        <f t="shared" si="16"/>
        <v>-7.7831728503952036E-4</v>
      </c>
      <c r="I163">
        <f t="shared" si="17"/>
        <v>156.20242543036562</v>
      </c>
      <c r="J163">
        <f t="shared" si="12"/>
        <v>666.48910359162448</v>
      </c>
      <c r="K163" s="27">
        <f t="shared" si="13"/>
        <v>-345.73373418487364</v>
      </c>
    </row>
    <row r="164" spans="1:11">
      <c r="A164" s="26">
        <v>114</v>
      </c>
      <c r="B164" s="82">
        <f t="shared" si="14"/>
        <v>0</v>
      </c>
      <c r="C164" s="58">
        <f t="shared" si="18"/>
        <v>156.29037528357509</v>
      </c>
      <c r="D164" s="83">
        <f t="shared" si="15"/>
        <v>666.66666666666663</v>
      </c>
      <c r="E164">
        <f t="shared" si="11"/>
        <v>0</v>
      </c>
      <c r="G164">
        <v>114</v>
      </c>
      <c r="H164" s="13">
        <f t="shared" si="16"/>
        <v>-7.7831728503952036E-4</v>
      </c>
      <c r="I164">
        <f t="shared" si="17"/>
        <v>156.20164711308058</v>
      </c>
      <c r="J164">
        <f t="shared" si="12"/>
        <v>666.48752960082675</v>
      </c>
      <c r="K164" s="27">
        <f t="shared" si="13"/>
        <v>-345.73210118073411</v>
      </c>
    </row>
    <row r="165" spans="1:11">
      <c r="A165" s="26">
        <v>115</v>
      </c>
      <c r="B165" s="82">
        <f t="shared" si="14"/>
        <v>0</v>
      </c>
      <c r="C165" s="58">
        <f t="shared" si="18"/>
        <v>156.29037528357509</v>
      </c>
      <c r="D165" s="83">
        <f t="shared" si="15"/>
        <v>666.66666666666663</v>
      </c>
      <c r="E165">
        <f t="shared" si="11"/>
        <v>0</v>
      </c>
      <c r="G165">
        <v>115</v>
      </c>
      <c r="H165" s="13">
        <f t="shared" si="16"/>
        <v>-7.7831728503952036E-4</v>
      </c>
      <c r="I165">
        <f t="shared" si="17"/>
        <v>156.20086879579554</v>
      </c>
      <c r="J165">
        <f t="shared" si="12"/>
        <v>666.48595556365501</v>
      </c>
      <c r="K165" s="27">
        <f t="shared" si="13"/>
        <v>-345.73046813233736</v>
      </c>
    </row>
    <row r="166" spans="1:11">
      <c r="A166" s="26">
        <v>116</v>
      </c>
      <c r="B166" s="82">
        <f t="shared" si="14"/>
        <v>0</v>
      </c>
      <c r="C166" s="58">
        <f t="shared" si="18"/>
        <v>156.29037528357509</v>
      </c>
      <c r="D166" s="83">
        <f t="shared" si="15"/>
        <v>666.66666666666663</v>
      </c>
      <c r="E166">
        <f t="shared" si="11"/>
        <v>0</v>
      </c>
      <c r="G166">
        <v>116</v>
      </c>
      <c r="H166" s="13">
        <f t="shared" si="16"/>
        <v>-7.7831728503952036E-4</v>
      </c>
      <c r="I166">
        <f t="shared" si="17"/>
        <v>156.2000904785105</v>
      </c>
      <c r="J166">
        <f t="shared" si="12"/>
        <v>666.48438148010575</v>
      </c>
      <c r="K166" s="27">
        <f t="shared" si="13"/>
        <v>-345.72883503968063</v>
      </c>
    </row>
    <row r="167" spans="1:11">
      <c r="A167" s="26">
        <v>117</v>
      </c>
      <c r="B167" s="82">
        <f t="shared" si="14"/>
        <v>0</v>
      </c>
      <c r="C167" s="58">
        <f t="shared" si="18"/>
        <v>156.29037528357509</v>
      </c>
      <c r="D167" s="83">
        <f t="shared" si="15"/>
        <v>666.66666666666663</v>
      </c>
      <c r="E167">
        <f t="shared" si="11"/>
        <v>0</v>
      </c>
      <c r="G167">
        <v>117</v>
      </c>
      <c r="H167" s="13">
        <f t="shared" si="16"/>
        <v>-7.7831728503952036E-4</v>
      </c>
      <c r="I167">
        <f t="shared" si="17"/>
        <v>156.19931216122546</v>
      </c>
      <c r="J167">
        <f t="shared" si="12"/>
        <v>666.48280735017602</v>
      </c>
      <c r="K167" s="27">
        <f t="shared" si="13"/>
        <v>-345.72720190276078</v>
      </c>
    </row>
    <row r="168" spans="1:11">
      <c r="A168" s="26">
        <v>118</v>
      </c>
      <c r="B168" s="82">
        <f t="shared" si="14"/>
        <v>0</v>
      </c>
      <c r="C168" s="58">
        <f t="shared" si="18"/>
        <v>156.29037528357509</v>
      </c>
      <c r="D168" s="83">
        <f t="shared" si="15"/>
        <v>666.66666666666663</v>
      </c>
      <c r="E168">
        <f t="shared" si="11"/>
        <v>0</v>
      </c>
      <c r="G168">
        <v>118</v>
      </c>
      <c r="H168" s="13">
        <f t="shared" si="16"/>
        <v>-7.7831728503952036E-4</v>
      </c>
      <c r="I168">
        <f t="shared" si="17"/>
        <v>156.19853384394042</v>
      </c>
      <c r="J168">
        <f t="shared" si="12"/>
        <v>666.48123317386217</v>
      </c>
      <c r="K168" s="27">
        <f t="shared" si="13"/>
        <v>-345.72556872157469</v>
      </c>
    </row>
    <row r="169" spans="1:11">
      <c r="A169" s="26">
        <v>119</v>
      </c>
      <c r="B169" s="82">
        <f t="shared" si="14"/>
        <v>0</v>
      </c>
      <c r="C169" s="58">
        <f t="shared" si="18"/>
        <v>156.29037528357509</v>
      </c>
      <c r="D169" s="83">
        <f t="shared" si="15"/>
        <v>666.66666666666663</v>
      </c>
      <c r="E169">
        <f t="shared" si="11"/>
        <v>0</v>
      </c>
      <c r="G169">
        <v>119</v>
      </c>
      <c r="H169" s="13">
        <f t="shared" si="16"/>
        <v>-7.7831728503952036E-4</v>
      </c>
      <c r="I169">
        <f t="shared" si="17"/>
        <v>156.19775552665538</v>
      </c>
      <c r="J169">
        <f t="shared" si="12"/>
        <v>666.47965895116113</v>
      </c>
      <c r="K169" s="27">
        <f t="shared" si="13"/>
        <v>-345.72393549611911</v>
      </c>
    </row>
    <row r="170" spans="1:11">
      <c r="A170" s="26">
        <v>120</v>
      </c>
      <c r="B170" s="82">
        <f t="shared" si="14"/>
        <v>0</v>
      </c>
      <c r="C170" s="58">
        <f t="shared" si="18"/>
        <v>156.29037528357509</v>
      </c>
      <c r="D170" s="83">
        <f t="shared" si="15"/>
        <v>666.66666666666663</v>
      </c>
      <c r="E170">
        <f t="shared" si="11"/>
        <v>0</v>
      </c>
      <c r="G170">
        <v>120</v>
      </c>
      <c r="H170" s="13">
        <f t="shared" si="16"/>
        <v>-7.7831728503952036E-4</v>
      </c>
      <c r="I170">
        <f t="shared" si="17"/>
        <v>156.19697720937035</v>
      </c>
      <c r="J170">
        <f t="shared" si="12"/>
        <v>666.47808468206949</v>
      </c>
      <c r="K170" s="27">
        <f t="shared" si="13"/>
        <v>-345.72230222639126</v>
      </c>
    </row>
    <row r="171" spans="1:11">
      <c r="A171" s="26">
        <v>121</v>
      </c>
      <c r="B171" s="82">
        <f t="shared" si="14"/>
        <v>0</v>
      </c>
      <c r="C171" s="58">
        <f t="shared" si="18"/>
        <v>156.29037528357509</v>
      </c>
      <c r="D171" s="83">
        <f t="shared" si="15"/>
        <v>666.66666666666663</v>
      </c>
      <c r="E171">
        <f t="shared" si="11"/>
        <v>0</v>
      </c>
      <c r="G171">
        <v>121</v>
      </c>
      <c r="H171" s="13">
        <f t="shared" si="16"/>
        <v>-7.7831728503952036E-4</v>
      </c>
      <c r="I171">
        <f t="shared" si="17"/>
        <v>156.19619889208531</v>
      </c>
      <c r="J171">
        <f t="shared" si="12"/>
        <v>666.47651036658408</v>
      </c>
      <c r="K171" s="27">
        <f t="shared" si="13"/>
        <v>-345.72066891238802</v>
      </c>
    </row>
    <row r="172" spans="1:11">
      <c r="A172" s="26">
        <v>122</v>
      </c>
      <c r="B172" s="82">
        <f t="shared" si="14"/>
        <v>0</v>
      </c>
      <c r="C172" s="58">
        <f t="shared" si="18"/>
        <v>156.29037528357509</v>
      </c>
      <c r="D172" s="83">
        <f t="shared" si="15"/>
        <v>666.66666666666663</v>
      </c>
      <c r="E172">
        <f t="shared" si="11"/>
        <v>0</v>
      </c>
      <c r="G172">
        <v>122</v>
      </c>
      <c r="H172" s="13">
        <f t="shared" si="16"/>
        <v>-7.7831728503952036E-4</v>
      </c>
      <c r="I172">
        <f t="shared" si="17"/>
        <v>156.19542057480027</v>
      </c>
      <c r="J172">
        <f t="shared" si="12"/>
        <v>666.47493600470148</v>
      </c>
      <c r="K172" s="27">
        <f t="shared" si="13"/>
        <v>-345.71903555410609</v>
      </c>
    </row>
    <row r="173" spans="1:11">
      <c r="A173" s="26">
        <v>123</v>
      </c>
      <c r="B173" s="82">
        <f t="shared" si="14"/>
        <v>0</v>
      </c>
      <c r="C173" s="58">
        <f t="shared" si="18"/>
        <v>156.29037528357509</v>
      </c>
      <c r="D173" s="83">
        <f t="shared" si="15"/>
        <v>666.66666666666663</v>
      </c>
      <c r="E173">
        <f t="shared" si="11"/>
        <v>0</v>
      </c>
      <c r="G173">
        <v>123</v>
      </c>
      <c r="H173" s="13">
        <f t="shared" si="16"/>
        <v>-7.7831728503952036E-4</v>
      </c>
      <c r="I173">
        <f t="shared" si="17"/>
        <v>156.19464225751523</v>
      </c>
      <c r="J173">
        <f t="shared" si="12"/>
        <v>666.47336159641839</v>
      </c>
      <c r="K173" s="27">
        <f t="shared" si="13"/>
        <v>-345.71740215154256</v>
      </c>
    </row>
    <row r="174" spans="1:11">
      <c r="A174" s="26">
        <v>124</v>
      </c>
      <c r="B174" s="82">
        <f t="shared" si="14"/>
        <v>0</v>
      </c>
      <c r="C174" s="58">
        <f t="shared" si="18"/>
        <v>156.29037528357509</v>
      </c>
      <c r="D174" s="83">
        <f t="shared" si="15"/>
        <v>666.66666666666663</v>
      </c>
      <c r="E174">
        <f t="shared" si="11"/>
        <v>0</v>
      </c>
      <c r="G174">
        <v>124</v>
      </c>
      <c r="H174" s="13">
        <f t="shared" si="16"/>
        <v>-7.7831728503952036E-4</v>
      </c>
      <c r="I174">
        <f t="shared" si="17"/>
        <v>156.19386394023019</v>
      </c>
      <c r="J174">
        <f t="shared" si="12"/>
        <v>666.47178714173162</v>
      </c>
      <c r="K174" s="27">
        <f t="shared" si="13"/>
        <v>-345.71576870469431</v>
      </c>
    </row>
    <row r="175" spans="1:11">
      <c r="A175" s="26">
        <v>125</v>
      </c>
      <c r="B175" s="82">
        <f t="shared" si="14"/>
        <v>0</v>
      </c>
      <c r="C175" s="58">
        <f t="shared" si="18"/>
        <v>156.29037528357509</v>
      </c>
      <c r="D175" s="83">
        <f t="shared" si="15"/>
        <v>666.66666666666663</v>
      </c>
      <c r="E175">
        <f t="shared" si="11"/>
        <v>0</v>
      </c>
      <c r="G175">
        <v>125</v>
      </c>
      <c r="H175" s="13">
        <f t="shared" si="16"/>
        <v>-7.7831728503952036E-4</v>
      </c>
      <c r="I175">
        <f t="shared" si="17"/>
        <v>156.19308562294515</v>
      </c>
      <c r="J175">
        <f t="shared" si="12"/>
        <v>666.4702126406379</v>
      </c>
      <c r="K175" s="27">
        <f t="shared" si="13"/>
        <v>-345.71413521355834</v>
      </c>
    </row>
    <row r="176" spans="1:11">
      <c r="A176" s="26">
        <v>126</v>
      </c>
      <c r="B176" s="82">
        <f t="shared" si="14"/>
        <v>0</v>
      </c>
      <c r="C176" s="58">
        <f t="shared" si="18"/>
        <v>156.29037528357509</v>
      </c>
      <c r="D176" s="83">
        <f t="shared" si="15"/>
        <v>666.66666666666663</v>
      </c>
      <c r="E176">
        <f t="shared" si="11"/>
        <v>0</v>
      </c>
      <c r="G176">
        <v>126</v>
      </c>
      <c r="H176" s="13">
        <f t="shared" si="16"/>
        <v>-7.7831728503952036E-4</v>
      </c>
      <c r="I176">
        <f t="shared" si="17"/>
        <v>156.19230730566011</v>
      </c>
      <c r="J176">
        <f t="shared" si="12"/>
        <v>666.46863809313368</v>
      </c>
      <c r="K176" s="27">
        <f t="shared" si="13"/>
        <v>-345.71250167813145</v>
      </c>
    </row>
    <row r="177" spans="1:11">
      <c r="A177" s="26">
        <v>127</v>
      </c>
      <c r="B177" s="82">
        <f t="shared" si="14"/>
        <v>0</v>
      </c>
      <c r="C177" s="58">
        <f t="shared" si="18"/>
        <v>156.29037528357509</v>
      </c>
      <c r="D177" s="83">
        <f t="shared" si="15"/>
        <v>666.66666666666663</v>
      </c>
      <c r="E177">
        <f t="shared" si="11"/>
        <v>0</v>
      </c>
      <c r="G177">
        <v>127</v>
      </c>
      <c r="H177" s="13">
        <f t="shared" si="16"/>
        <v>-7.7831728503952036E-4</v>
      </c>
      <c r="I177">
        <f t="shared" si="17"/>
        <v>156.19152898837507</v>
      </c>
      <c r="J177">
        <f t="shared" si="12"/>
        <v>666.46706349921601</v>
      </c>
      <c r="K177" s="27">
        <f t="shared" si="13"/>
        <v>-345.71086809841063</v>
      </c>
    </row>
    <row r="178" spans="1:11">
      <c r="A178" s="26">
        <v>128</v>
      </c>
      <c r="B178" s="82">
        <f t="shared" si="14"/>
        <v>0</v>
      </c>
      <c r="C178" s="58">
        <f t="shared" si="18"/>
        <v>156.29037528357509</v>
      </c>
      <c r="D178" s="83">
        <f t="shared" si="15"/>
        <v>666.66666666666663</v>
      </c>
      <c r="E178">
        <f t="shared" si="11"/>
        <v>0</v>
      </c>
      <c r="G178">
        <v>128</v>
      </c>
      <c r="H178" s="13">
        <f t="shared" si="16"/>
        <v>-7.7831728503952036E-4</v>
      </c>
      <c r="I178">
        <f t="shared" si="17"/>
        <v>156.19075067109003</v>
      </c>
      <c r="J178">
        <f t="shared" si="12"/>
        <v>666.46548885888126</v>
      </c>
      <c r="K178" s="27">
        <f t="shared" si="13"/>
        <v>-345.70923447439282</v>
      </c>
    </row>
    <row r="179" spans="1:11">
      <c r="A179" s="26">
        <v>129</v>
      </c>
      <c r="B179" s="82">
        <f t="shared" si="14"/>
        <v>0</v>
      </c>
      <c r="C179" s="58">
        <f t="shared" si="18"/>
        <v>156.29037528357509</v>
      </c>
      <c r="D179" s="83">
        <f t="shared" si="15"/>
        <v>666.66666666666663</v>
      </c>
      <c r="E179">
        <f t="shared" ref="E179:E242" si="19">((D179^2)+(D179*D180)+(D180^2))*B180/3</f>
        <v>0</v>
      </c>
      <c r="G179">
        <v>129</v>
      </c>
      <c r="H179" s="13">
        <f t="shared" si="16"/>
        <v>-7.7831728503952036E-4</v>
      </c>
      <c r="I179">
        <f t="shared" si="17"/>
        <v>156.18997235380499</v>
      </c>
      <c r="J179">
        <f t="shared" ref="J179:J242" si="20">IF($G$28&lt;$C$14,0,((($C$11^2)-((I179-$C$13)^2))^0.5)+$C$16)</f>
        <v>666.46391417212635</v>
      </c>
      <c r="K179" s="27">
        <f t="shared" ref="K179:K242" si="21">((J179^2)+(J179*J180)+(J180^2))*H180/3</f>
        <v>-345.70760080607471</v>
      </c>
    </row>
    <row r="180" spans="1:11">
      <c r="A180" s="26">
        <v>130</v>
      </c>
      <c r="B180" s="82">
        <f t="shared" ref="B180:B243" si="22">C180-C179</f>
        <v>0</v>
      </c>
      <c r="C180" s="58">
        <f t="shared" si="18"/>
        <v>156.29037528357509</v>
      </c>
      <c r="D180" s="83">
        <f t="shared" ref="D180:D243" si="23">IF($G$28&lt;$C$14,0,((($C$11^2)-((C180-$C$13)^2))^0.5)+$C$16)</f>
        <v>666.66666666666663</v>
      </c>
      <c r="E180">
        <f t="shared" si="19"/>
        <v>0</v>
      </c>
      <c r="G180">
        <v>130</v>
      </c>
      <c r="H180" s="13">
        <f t="shared" ref="H180:H243" si="24">I180-I179</f>
        <v>-7.7831728503952036E-4</v>
      </c>
      <c r="I180">
        <f t="shared" ref="I180:I243" si="25">($G$27-$C$14)/2000+I179</f>
        <v>156.18919403651995</v>
      </c>
      <c r="J180">
        <f t="shared" si="20"/>
        <v>666.46233943894788</v>
      </c>
      <c r="K180" s="27">
        <f t="shared" si="21"/>
        <v>-345.70596709345364</v>
      </c>
    </row>
    <row r="181" spans="1:11">
      <c r="A181" s="26">
        <v>131</v>
      </c>
      <c r="B181" s="82">
        <f t="shared" si="22"/>
        <v>0</v>
      </c>
      <c r="C181" s="58">
        <f t="shared" si="18"/>
        <v>156.29037528357509</v>
      </c>
      <c r="D181" s="83">
        <f t="shared" si="23"/>
        <v>666.66666666666663</v>
      </c>
      <c r="E181">
        <f t="shared" si="19"/>
        <v>0</v>
      </c>
      <c r="G181">
        <v>131</v>
      </c>
      <c r="H181" s="13">
        <f t="shared" si="24"/>
        <v>-7.7831728503952036E-4</v>
      </c>
      <c r="I181">
        <f t="shared" si="25"/>
        <v>156.18841571923491</v>
      </c>
      <c r="J181">
        <f t="shared" si="20"/>
        <v>666.46076465934266</v>
      </c>
      <c r="K181" s="27">
        <f t="shared" si="21"/>
        <v>-345.70433333652613</v>
      </c>
    </row>
    <row r="182" spans="1:11">
      <c r="A182" s="26">
        <v>132</v>
      </c>
      <c r="B182" s="82">
        <f t="shared" si="22"/>
        <v>0</v>
      </c>
      <c r="C182" s="58">
        <f t="shared" si="18"/>
        <v>156.29037528357509</v>
      </c>
      <c r="D182" s="83">
        <f t="shared" si="23"/>
        <v>666.66666666666663</v>
      </c>
      <c r="E182">
        <f t="shared" si="19"/>
        <v>0</v>
      </c>
      <c r="G182">
        <v>132</v>
      </c>
      <c r="H182" s="13">
        <f t="shared" si="24"/>
        <v>-7.7831728503952036E-4</v>
      </c>
      <c r="I182">
        <f t="shared" si="25"/>
        <v>156.18763740194987</v>
      </c>
      <c r="J182">
        <f t="shared" si="20"/>
        <v>666.45918983330728</v>
      </c>
      <c r="K182" s="27">
        <f t="shared" si="21"/>
        <v>-345.70269953528941</v>
      </c>
    </row>
    <row r="183" spans="1:11">
      <c r="A183" s="26">
        <v>133</v>
      </c>
      <c r="B183" s="82">
        <f t="shared" si="22"/>
        <v>0</v>
      </c>
      <c r="C183" s="58">
        <f t="shared" si="18"/>
        <v>156.29037528357509</v>
      </c>
      <c r="D183" s="83">
        <f t="shared" si="23"/>
        <v>666.66666666666663</v>
      </c>
      <c r="E183">
        <f t="shared" si="19"/>
        <v>0</v>
      </c>
      <c r="G183">
        <v>133</v>
      </c>
      <c r="H183" s="13">
        <f t="shared" si="24"/>
        <v>-7.7831728503952036E-4</v>
      </c>
      <c r="I183">
        <f t="shared" si="25"/>
        <v>156.18685908466483</v>
      </c>
      <c r="J183">
        <f t="shared" si="20"/>
        <v>666.45761496083844</v>
      </c>
      <c r="K183" s="27">
        <f t="shared" si="21"/>
        <v>-345.70106568974012</v>
      </c>
    </row>
    <row r="184" spans="1:11">
      <c r="A184" s="26">
        <v>134</v>
      </c>
      <c r="B184" s="82">
        <f t="shared" si="22"/>
        <v>0</v>
      </c>
      <c r="C184" s="58">
        <f t="shared" si="18"/>
        <v>156.29037528357509</v>
      </c>
      <c r="D184" s="83">
        <f t="shared" si="23"/>
        <v>666.66666666666663</v>
      </c>
      <c r="E184">
        <f t="shared" si="19"/>
        <v>0</v>
      </c>
      <c r="G184">
        <v>134</v>
      </c>
      <c r="H184" s="13">
        <f t="shared" si="24"/>
        <v>-7.7831728503952036E-4</v>
      </c>
      <c r="I184">
        <f t="shared" si="25"/>
        <v>156.18608076737979</v>
      </c>
      <c r="J184">
        <f t="shared" si="20"/>
        <v>666.45604004193285</v>
      </c>
      <c r="K184" s="27">
        <f t="shared" si="21"/>
        <v>-345.69943179987536</v>
      </c>
    </row>
    <row r="185" spans="1:11">
      <c r="A185" s="26">
        <v>135</v>
      </c>
      <c r="B185" s="82">
        <f t="shared" si="22"/>
        <v>0</v>
      </c>
      <c r="C185" s="58">
        <f t="shared" si="18"/>
        <v>156.29037528357509</v>
      </c>
      <c r="D185" s="83">
        <f t="shared" si="23"/>
        <v>666.66666666666663</v>
      </c>
      <c r="E185">
        <f t="shared" si="19"/>
        <v>0</v>
      </c>
      <c r="G185">
        <v>135</v>
      </c>
      <c r="H185" s="13">
        <f t="shared" si="24"/>
        <v>-7.7831728503952036E-4</v>
      </c>
      <c r="I185">
        <f t="shared" si="25"/>
        <v>156.18530245009475</v>
      </c>
      <c r="J185">
        <f t="shared" si="20"/>
        <v>666.45446507658733</v>
      </c>
      <c r="K185" s="27">
        <f t="shared" si="21"/>
        <v>-345.69779786569194</v>
      </c>
    </row>
    <row r="186" spans="1:11">
      <c r="A186" s="26">
        <v>136</v>
      </c>
      <c r="B186" s="82">
        <f t="shared" si="22"/>
        <v>0</v>
      </c>
      <c r="C186" s="58">
        <f t="shared" si="18"/>
        <v>156.29037528357509</v>
      </c>
      <c r="D186" s="83">
        <f t="shared" si="23"/>
        <v>666.66666666666663</v>
      </c>
      <c r="E186">
        <f t="shared" si="19"/>
        <v>0</v>
      </c>
      <c r="G186">
        <v>136</v>
      </c>
      <c r="H186" s="13">
        <f t="shared" si="24"/>
        <v>-7.7831728503952036E-4</v>
      </c>
      <c r="I186">
        <f t="shared" si="25"/>
        <v>156.18452413280971</v>
      </c>
      <c r="J186">
        <f t="shared" si="20"/>
        <v>666.45289006479834</v>
      </c>
      <c r="K186" s="27">
        <f t="shared" si="21"/>
        <v>-345.69616388718691</v>
      </c>
    </row>
    <row r="187" spans="1:11">
      <c r="A187" s="26">
        <v>137</v>
      </c>
      <c r="B187" s="82">
        <f t="shared" si="22"/>
        <v>0</v>
      </c>
      <c r="C187" s="58">
        <f t="shared" si="18"/>
        <v>156.29037528357509</v>
      </c>
      <c r="D187" s="83">
        <f t="shared" si="23"/>
        <v>666.66666666666663</v>
      </c>
      <c r="E187">
        <f t="shared" si="19"/>
        <v>0</v>
      </c>
      <c r="G187">
        <v>137</v>
      </c>
      <c r="H187" s="13">
        <f t="shared" si="24"/>
        <v>-7.7831728503952036E-4</v>
      </c>
      <c r="I187">
        <f t="shared" si="25"/>
        <v>156.18374581552467</v>
      </c>
      <c r="J187">
        <f t="shared" si="20"/>
        <v>666.45131500656282</v>
      </c>
      <c r="K187" s="27">
        <f t="shared" si="21"/>
        <v>-345.69452986435704</v>
      </c>
    </row>
    <row r="188" spans="1:11">
      <c r="A188" s="26">
        <v>138</v>
      </c>
      <c r="B188" s="82">
        <f t="shared" si="22"/>
        <v>0</v>
      </c>
      <c r="C188" s="58">
        <f t="shared" si="18"/>
        <v>156.29037528357509</v>
      </c>
      <c r="D188" s="83">
        <f t="shared" si="23"/>
        <v>666.66666666666663</v>
      </c>
      <c r="E188">
        <f t="shared" si="19"/>
        <v>0</v>
      </c>
      <c r="G188">
        <v>138</v>
      </c>
      <c r="H188" s="13">
        <f t="shared" si="24"/>
        <v>-7.7831728503952036E-4</v>
      </c>
      <c r="I188">
        <f t="shared" si="25"/>
        <v>156.18296749823963</v>
      </c>
      <c r="J188">
        <f t="shared" si="20"/>
        <v>666.44973990187736</v>
      </c>
      <c r="K188" s="27">
        <f t="shared" si="21"/>
        <v>-345.6928957971993</v>
      </c>
    </row>
    <row r="189" spans="1:11">
      <c r="A189" s="26">
        <v>139</v>
      </c>
      <c r="B189" s="82">
        <f t="shared" si="22"/>
        <v>0</v>
      </c>
      <c r="C189" s="58">
        <f t="shared" si="18"/>
        <v>156.29037528357509</v>
      </c>
      <c r="D189" s="83">
        <f t="shared" si="23"/>
        <v>666.66666666666663</v>
      </c>
      <c r="E189">
        <f t="shared" si="19"/>
        <v>0</v>
      </c>
      <c r="G189">
        <v>139</v>
      </c>
      <c r="H189" s="13">
        <f t="shared" si="24"/>
        <v>-7.7831728503952036E-4</v>
      </c>
      <c r="I189">
        <f t="shared" si="25"/>
        <v>156.18218918095459</v>
      </c>
      <c r="J189">
        <f t="shared" si="20"/>
        <v>666.44816475073867</v>
      </c>
      <c r="K189" s="27">
        <f t="shared" si="21"/>
        <v>-345.69126168571069</v>
      </c>
    </row>
    <row r="190" spans="1:11">
      <c r="A190" s="26">
        <v>140</v>
      </c>
      <c r="B190" s="82">
        <f t="shared" si="22"/>
        <v>0</v>
      </c>
      <c r="C190" s="58">
        <f t="shared" si="18"/>
        <v>156.29037528357509</v>
      </c>
      <c r="D190" s="83">
        <f t="shared" si="23"/>
        <v>666.66666666666663</v>
      </c>
      <c r="E190">
        <f t="shared" si="19"/>
        <v>0</v>
      </c>
      <c r="G190">
        <v>140</v>
      </c>
      <c r="H190" s="13">
        <f t="shared" si="24"/>
        <v>-7.7831728503952036E-4</v>
      </c>
      <c r="I190">
        <f t="shared" si="25"/>
        <v>156.18141086366956</v>
      </c>
      <c r="J190">
        <f t="shared" si="20"/>
        <v>666.44658955314333</v>
      </c>
      <c r="K190" s="27">
        <f t="shared" si="21"/>
        <v>-345.68962752988796</v>
      </c>
    </row>
    <row r="191" spans="1:11">
      <c r="A191" s="26">
        <v>141</v>
      </c>
      <c r="B191" s="82">
        <f t="shared" si="22"/>
        <v>0</v>
      </c>
      <c r="C191" s="58">
        <f t="shared" si="18"/>
        <v>156.29037528357509</v>
      </c>
      <c r="D191" s="83">
        <f t="shared" si="23"/>
        <v>666.66666666666663</v>
      </c>
      <c r="E191">
        <f t="shared" si="19"/>
        <v>0</v>
      </c>
      <c r="G191">
        <v>141</v>
      </c>
      <c r="H191" s="13">
        <f t="shared" si="24"/>
        <v>-7.7831728503952036E-4</v>
      </c>
      <c r="I191">
        <f t="shared" si="25"/>
        <v>156.18063254638452</v>
      </c>
      <c r="J191">
        <f t="shared" si="20"/>
        <v>666.44501430908826</v>
      </c>
      <c r="K191" s="27">
        <f t="shared" si="21"/>
        <v>-345.68799332972804</v>
      </c>
    </row>
    <row r="192" spans="1:11">
      <c r="A192" s="26">
        <v>142</v>
      </c>
      <c r="B192" s="82">
        <f t="shared" si="22"/>
        <v>0</v>
      </c>
      <c r="C192" s="58">
        <f t="shared" si="18"/>
        <v>156.29037528357509</v>
      </c>
      <c r="D192" s="83">
        <f t="shared" si="23"/>
        <v>666.66666666666663</v>
      </c>
      <c r="E192">
        <f t="shared" si="19"/>
        <v>0</v>
      </c>
      <c r="G192">
        <v>142</v>
      </c>
      <c r="H192" s="13">
        <f t="shared" si="24"/>
        <v>-7.7831728503952036E-4</v>
      </c>
      <c r="I192">
        <f t="shared" si="25"/>
        <v>156.17985422909948</v>
      </c>
      <c r="J192">
        <f t="shared" si="20"/>
        <v>666.44343901856996</v>
      </c>
      <c r="K192" s="27">
        <f t="shared" si="21"/>
        <v>-345.68635908522805</v>
      </c>
    </row>
    <row r="193" spans="1:11">
      <c r="A193" s="26">
        <v>143</v>
      </c>
      <c r="B193" s="82">
        <f t="shared" si="22"/>
        <v>0</v>
      </c>
      <c r="C193" s="58">
        <f t="shared" si="18"/>
        <v>156.29037528357509</v>
      </c>
      <c r="D193" s="83">
        <f t="shared" si="23"/>
        <v>666.66666666666663</v>
      </c>
      <c r="E193">
        <f t="shared" si="19"/>
        <v>0</v>
      </c>
      <c r="G193">
        <v>143</v>
      </c>
      <c r="H193" s="13">
        <f t="shared" si="24"/>
        <v>-7.7831728503952036E-4</v>
      </c>
      <c r="I193">
        <f t="shared" si="25"/>
        <v>156.17907591181444</v>
      </c>
      <c r="J193">
        <f t="shared" si="20"/>
        <v>666.44186368158523</v>
      </c>
      <c r="K193" s="27">
        <f t="shared" si="21"/>
        <v>-345.68472479638473</v>
      </c>
    </row>
    <row r="194" spans="1:11">
      <c r="A194" s="26">
        <v>144</v>
      </c>
      <c r="B194" s="82">
        <f t="shared" si="22"/>
        <v>0</v>
      </c>
      <c r="C194" s="58">
        <f t="shared" si="18"/>
        <v>156.29037528357509</v>
      </c>
      <c r="D194" s="83">
        <f t="shared" si="23"/>
        <v>666.66666666666663</v>
      </c>
      <c r="E194">
        <f t="shared" si="19"/>
        <v>0</v>
      </c>
      <c r="G194">
        <v>144</v>
      </c>
      <c r="H194" s="13">
        <f t="shared" si="24"/>
        <v>-7.7831728503952036E-4</v>
      </c>
      <c r="I194">
        <f t="shared" si="25"/>
        <v>156.1782975945294</v>
      </c>
      <c r="J194">
        <f t="shared" si="20"/>
        <v>666.44028829813078</v>
      </c>
      <c r="K194" s="27">
        <f t="shared" si="21"/>
        <v>-345.68309046319501</v>
      </c>
    </row>
    <row r="195" spans="1:11">
      <c r="A195" s="26">
        <v>145</v>
      </c>
      <c r="B195" s="82">
        <f t="shared" si="22"/>
        <v>0</v>
      </c>
      <c r="C195" s="58">
        <f t="shared" si="18"/>
        <v>156.29037528357509</v>
      </c>
      <c r="D195" s="83">
        <f t="shared" si="23"/>
        <v>666.66666666666663</v>
      </c>
      <c r="E195">
        <f t="shared" si="19"/>
        <v>0</v>
      </c>
      <c r="G195">
        <v>145</v>
      </c>
      <c r="H195" s="13">
        <f t="shared" si="24"/>
        <v>-7.7831728503952036E-4</v>
      </c>
      <c r="I195">
        <f t="shared" si="25"/>
        <v>156.17751927724436</v>
      </c>
      <c r="J195">
        <f t="shared" si="20"/>
        <v>666.4387128682032</v>
      </c>
      <c r="K195" s="27">
        <f t="shared" si="21"/>
        <v>-345.68145608565578</v>
      </c>
    </row>
    <row r="196" spans="1:11">
      <c r="A196" s="26">
        <v>146</v>
      </c>
      <c r="B196" s="82">
        <f t="shared" si="22"/>
        <v>0</v>
      </c>
      <c r="C196" s="58">
        <f t="shared" si="18"/>
        <v>156.29037528357509</v>
      </c>
      <c r="D196" s="83">
        <f t="shared" si="23"/>
        <v>666.66666666666663</v>
      </c>
      <c r="E196">
        <f t="shared" si="19"/>
        <v>0</v>
      </c>
      <c r="G196">
        <v>146</v>
      </c>
      <c r="H196" s="13">
        <f t="shared" si="24"/>
        <v>-7.7831728503952036E-4</v>
      </c>
      <c r="I196">
        <f t="shared" si="25"/>
        <v>156.17674095995932</v>
      </c>
      <c r="J196">
        <f t="shared" si="20"/>
        <v>666.4371373917993</v>
      </c>
      <c r="K196" s="27">
        <f t="shared" si="21"/>
        <v>-345.67982166376413</v>
      </c>
    </row>
    <row r="197" spans="1:11">
      <c r="A197" s="26">
        <v>147</v>
      </c>
      <c r="B197" s="82">
        <f t="shared" si="22"/>
        <v>0</v>
      </c>
      <c r="C197" s="58">
        <f t="shared" si="18"/>
        <v>156.29037528357509</v>
      </c>
      <c r="D197" s="83">
        <f t="shared" si="23"/>
        <v>666.66666666666663</v>
      </c>
      <c r="E197">
        <f t="shared" si="19"/>
        <v>0</v>
      </c>
      <c r="G197">
        <v>147</v>
      </c>
      <c r="H197" s="13">
        <f t="shared" si="24"/>
        <v>-7.7831728503952036E-4</v>
      </c>
      <c r="I197">
        <f t="shared" si="25"/>
        <v>156.17596264267428</v>
      </c>
      <c r="J197">
        <f t="shared" si="20"/>
        <v>666.43556186891567</v>
      </c>
      <c r="K197" s="27">
        <f t="shared" si="21"/>
        <v>-345.67818719751671</v>
      </c>
    </row>
    <row r="198" spans="1:11">
      <c r="A198" s="26">
        <v>148</v>
      </c>
      <c r="B198" s="82">
        <f t="shared" si="22"/>
        <v>0</v>
      </c>
      <c r="C198" s="58">
        <f t="shared" si="18"/>
        <v>156.29037528357509</v>
      </c>
      <c r="D198" s="83">
        <f t="shared" si="23"/>
        <v>666.66666666666663</v>
      </c>
      <c r="E198">
        <f t="shared" si="19"/>
        <v>0</v>
      </c>
      <c r="G198">
        <v>148</v>
      </c>
      <c r="H198" s="13">
        <f t="shared" si="24"/>
        <v>-7.7831728503952036E-4</v>
      </c>
      <c r="I198">
        <f t="shared" si="25"/>
        <v>156.17518432538924</v>
      </c>
      <c r="J198">
        <f t="shared" si="20"/>
        <v>666.43398629954902</v>
      </c>
      <c r="K198" s="27">
        <f t="shared" si="21"/>
        <v>-345.67655268691055</v>
      </c>
    </row>
    <row r="199" spans="1:11">
      <c r="A199" s="26">
        <v>149</v>
      </c>
      <c r="B199" s="82">
        <f t="shared" si="22"/>
        <v>0</v>
      </c>
      <c r="C199" s="58">
        <f t="shared" si="18"/>
        <v>156.29037528357509</v>
      </c>
      <c r="D199" s="83">
        <f t="shared" si="23"/>
        <v>666.66666666666663</v>
      </c>
      <c r="E199">
        <f t="shared" si="19"/>
        <v>0</v>
      </c>
      <c r="G199">
        <v>149</v>
      </c>
      <c r="H199" s="13">
        <f t="shared" si="24"/>
        <v>-7.7831728503952036E-4</v>
      </c>
      <c r="I199">
        <f t="shared" si="25"/>
        <v>156.1744060081042</v>
      </c>
      <c r="J199">
        <f t="shared" si="20"/>
        <v>666.43241068369616</v>
      </c>
      <c r="K199" s="27">
        <f t="shared" si="21"/>
        <v>-345.6749181319426</v>
      </c>
    </row>
    <row r="200" spans="1:11">
      <c r="A200" s="26">
        <v>150</v>
      </c>
      <c r="B200" s="82">
        <f t="shared" si="22"/>
        <v>0</v>
      </c>
      <c r="C200" s="58">
        <f t="shared" si="18"/>
        <v>156.29037528357509</v>
      </c>
      <c r="D200" s="83">
        <f t="shared" si="23"/>
        <v>666.66666666666663</v>
      </c>
      <c r="E200">
        <f t="shared" si="19"/>
        <v>0</v>
      </c>
      <c r="G200">
        <v>150</v>
      </c>
      <c r="H200" s="13">
        <f t="shared" si="24"/>
        <v>-7.7831728503952036E-4</v>
      </c>
      <c r="I200">
        <f t="shared" si="25"/>
        <v>156.17362769081916</v>
      </c>
      <c r="J200">
        <f t="shared" si="20"/>
        <v>666.43083502135369</v>
      </c>
      <c r="K200" s="27">
        <f t="shared" si="21"/>
        <v>-345.67328353260979</v>
      </c>
    </row>
    <row r="201" spans="1:11">
      <c r="A201" s="26">
        <v>151</v>
      </c>
      <c r="B201" s="82">
        <f t="shared" si="22"/>
        <v>0</v>
      </c>
      <c r="C201" s="58">
        <f t="shared" si="18"/>
        <v>156.29037528357509</v>
      </c>
      <c r="D201" s="83">
        <f t="shared" si="23"/>
        <v>666.66666666666663</v>
      </c>
      <c r="E201">
        <f t="shared" si="19"/>
        <v>0</v>
      </c>
      <c r="G201">
        <v>151</v>
      </c>
      <c r="H201" s="13">
        <f t="shared" si="24"/>
        <v>-7.7831728503952036E-4</v>
      </c>
      <c r="I201">
        <f t="shared" si="25"/>
        <v>156.17284937353412</v>
      </c>
      <c r="J201">
        <f t="shared" si="20"/>
        <v>666.4292593125183</v>
      </c>
      <c r="K201" s="27">
        <f t="shared" si="21"/>
        <v>-345.67164888890892</v>
      </c>
    </row>
    <row r="202" spans="1:11">
      <c r="A202" s="26">
        <v>152</v>
      </c>
      <c r="B202" s="82">
        <f t="shared" si="22"/>
        <v>0</v>
      </c>
      <c r="C202" s="58">
        <f t="shared" si="18"/>
        <v>156.29037528357509</v>
      </c>
      <c r="D202" s="83">
        <f t="shared" si="23"/>
        <v>666.66666666666663</v>
      </c>
      <c r="E202">
        <f t="shared" si="19"/>
        <v>0</v>
      </c>
      <c r="G202">
        <v>152</v>
      </c>
      <c r="H202" s="13">
        <f t="shared" si="24"/>
        <v>-7.7831728503952036E-4</v>
      </c>
      <c r="I202">
        <f t="shared" si="25"/>
        <v>156.17207105624908</v>
      </c>
      <c r="J202">
        <f t="shared" si="20"/>
        <v>666.42768355718658</v>
      </c>
      <c r="K202" s="27">
        <f t="shared" si="21"/>
        <v>-345.67001420083693</v>
      </c>
    </row>
    <row r="203" spans="1:11">
      <c r="A203" s="26">
        <v>153</v>
      </c>
      <c r="B203" s="82">
        <f t="shared" si="22"/>
        <v>0</v>
      </c>
      <c r="C203" s="58">
        <f t="shared" si="18"/>
        <v>156.29037528357509</v>
      </c>
      <c r="D203" s="83">
        <f t="shared" si="23"/>
        <v>666.66666666666663</v>
      </c>
      <c r="E203">
        <f t="shared" si="19"/>
        <v>0</v>
      </c>
      <c r="G203">
        <v>153</v>
      </c>
      <c r="H203" s="13">
        <f t="shared" si="24"/>
        <v>-7.7831728503952036E-4</v>
      </c>
      <c r="I203">
        <f t="shared" si="25"/>
        <v>156.17129273896404</v>
      </c>
      <c r="J203">
        <f t="shared" si="20"/>
        <v>666.42610775535547</v>
      </c>
      <c r="K203" s="27">
        <f t="shared" si="21"/>
        <v>-345.66837946839081</v>
      </c>
    </row>
    <row r="204" spans="1:11">
      <c r="A204" s="26">
        <v>154</v>
      </c>
      <c r="B204" s="82">
        <f t="shared" si="22"/>
        <v>0</v>
      </c>
      <c r="C204" s="58">
        <f t="shared" si="18"/>
        <v>156.29037528357509</v>
      </c>
      <c r="D204" s="83">
        <f t="shared" si="23"/>
        <v>666.66666666666663</v>
      </c>
      <c r="E204">
        <f t="shared" si="19"/>
        <v>0</v>
      </c>
      <c r="G204">
        <v>154</v>
      </c>
      <c r="H204" s="13">
        <f t="shared" si="24"/>
        <v>-7.7831728503952036E-4</v>
      </c>
      <c r="I204">
        <f t="shared" si="25"/>
        <v>156.170514421679</v>
      </c>
      <c r="J204">
        <f t="shared" si="20"/>
        <v>666.42453190702145</v>
      </c>
      <c r="K204" s="27">
        <f t="shared" si="21"/>
        <v>-345.66674469156743</v>
      </c>
    </row>
    <row r="205" spans="1:11">
      <c r="A205" s="26">
        <v>155</v>
      </c>
      <c r="B205" s="82">
        <f t="shared" si="22"/>
        <v>0</v>
      </c>
      <c r="C205" s="58">
        <f t="shared" si="18"/>
        <v>156.29037528357509</v>
      </c>
      <c r="D205" s="83">
        <f t="shared" si="23"/>
        <v>666.66666666666663</v>
      </c>
      <c r="E205">
        <f t="shared" si="19"/>
        <v>0</v>
      </c>
      <c r="G205">
        <v>155</v>
      </c>
      <c r="H205" s="13">
        <f t="shared" si="24"/>
        <v>-7.7831728503952036E-4</v>
      </c>
      <c r="I205">
        <f t="shared" si="25"/>
        <v>156.16973610439396</v>
      </c>
      <c r="J205">
        <f t="shared" si="20"/>
        <v>666.42295601218143</v>
      </c>
      <c r="K205" s="27">
        <f t="shared" si="21"/>
        <v>-345.66510987036366</v>
      </c>
    </row>
    <row r="206" spans="1:11">
      <c r="A206" s="26">
        <v>156</v>
      </c>
      <c r="B206" s="82">
        <f t="shared" si="22"/>
        <v>0</v>
      </c>
      <c r="C206" s="58">
        <f t="shared" si="18"/>
        <v>156.29037528357509</v>
      </c>
      <c r="D206" s="83">
        <f t="shared" si="23"/>
        <v>666.66666666666663</v>
      </c>
      <c r="E206">
        <f t="shared" si="19"/>
        <v>0</v>
      </c>
      <c r="G206">
        <v>156</v>
      </c>
      <c r="H206" s="13">
        <f t="shared" si="24"/>
        <v>-7.7831728503952036E-4</v>
      </c>
      <c r="I206">
        <f t="shared" si="25"/>
        <v>156.16895778710892</v>
      </c>
      <c r="J206">
        <f t="shared" si="20"/>
        <v>666.42138007083179</v>
      </c>
      <c r="K206" s="27">
        <f t="shared" si="21"/>
        <v>-345.66347500477644</v>
      </c>
    </row>
    <row r="207" spans="1:11">
      <c r="A207" s="26">
        <v>157</v>
      </c>
      <c r="B207" s="82">
        <f t="shared" si="22"/>
        <v>0</v>
      </c>
      <c r="C207" s="58">
        <f t="shared" si="18"/>
        <v>156.29037528357509</v>
      </c>
      <c r="D207" s="83">
        <f t="shared" si="23"/>
        <v>666.66666666666663</v>
      </c>
      <c r="E207">
        <f t="shared" si="19"/>
        <v>0</v>
      </c>
      <c r="G207">
        <v>157</v>
      </c>
      <c r="H207" s="13">
        <f t="shared" si="24"/>
        <v>-7.7831728503952036E-4</v>
      </c>
      <c r="I207">
        <f t="shared" si="25"/>
        <v>156.16817946982388</v>
      </c>
      <c r="J207">
        <f t="shared" si="20"/>
        <v>666.41980408296945</v>
      </c>
      <c r="K207" s="27">
        <f t="shared" si="21"/>
        <v>-345.66184009480259</v>
      </c>
    </row>
    <row r="208" spans="1:11">
      <c r="A208" s="26">
        <v>158</v>
      </c>
      <c r="B208" s="82">
        <f t="shared" si="22"/>
        <v>0</v>
      </c>
      <c r="C208" s="58">
        <f t="shared" ref="C208:C271" si="26">($C$37-$C$36)/2000+C207</f>
        <v>156.29037528357509</v>
      </c>
      <c r="D208" s="83">
        <f t="shared" si="23"/>
        <v>666.66666666666663</v>
      </c>
      <c r="E208">
        <f t="shared" si="19"/>
        <v>0</v>
      </c>
      <c r="G208">
        <v>158</v>
      </c>
      <c r="H208" s="13">
        <f t="shared" si="24"/>
        <v>-7.7831728503952036E-4</v>
      </c>
      <c r="I208">
        <f t="shared" si="25"/>
        <v>156.16740115253884</v>
      </c>
      <c r="J208">
        <f t="shared" si="20"/>
        <v>666.418228048591</v>
      </c>
      <c r="K208" s="27">
        <f t="shared" si="21"/>
        <v>-345.66020514043925</v>
      </c>
    </row>
    <row r="209" spans="1:11">
      <c r="A209" s="26">
        <v>159</v>
      </c>
      <c r="B209" s="82">
        <f t="shared" si="22"/>
        <v>0</v>
      </c>
      <c r="C209" s="58">
        <f t="shared" si="26"/>
        <v>156.29037528357509</v>
      </c>
      <c r="D209" s="83">
        <f t="shared" si="23"/>
        <v>666.66666666666663</v>
      </c>
      <c r="E209">
        <f t="shared" si="19"/>
        <v>0</v>
      </c>
      <c r="G209">
        <v>159</v>
      </c>
      <c r="H209" s="13">
        <f t="shared" si="24"/>
        <v>-7.7831728503952036E-4</v>
      </c>
      <c r="I209">
        <f t="shared" si="25"/>
        <v>156.1666228352538</v>
      </c>
      <c r="J209">
        <f t="shared" si="20"/>
        <v>666.41665196769316</v>
      </c>
      <c r="K209" s="27">
        <f t="shared" si="21"/>
        <v>-345.65857014168301</v>
      </c>
    </row>
    <row r="210" spans="1:11">
      <c r="A210" s="26">
        <v>160</v>
      </c>
      <c r="B210" s="82">
        <f t="shared" si="22"/>
        <v>0</v>
      </c>
      <c r="C210" s="58">
        <f t="shared" si="26"/>
        <v>156.29037528357509</v>
      </c>
      <c r="D210" s="83">
        <f t="shared" si="23"/>
        <v>666.66666666666663</v>
      </c>
      <c r="E210">
        <f t="shared" si="19"/>
        <v>0</v>
      </c>
      <c r="G210">
        <v>160</v>
      </c>
      <c r="H210" s="13">
        <f t="shared" si="24"/>
        <v>-7.7831728503952036E-4</v>
      </c>
      <c r="I210">
        <f t="shared" si="25"/>
        <v>156.16584451796876</v>
      </c>
      <c r="J210">
        <f t="shared" si="20"/>
        <v>666.41507584027261</v>
      </c>
      <c r="K210" s="27">
        <f t="shared" si="21"/>
        <v>-345.65693509853099</v>
      </c>
    </row>
    <row r="211" spans="1:11">
      <c r="A211" s="26">
        <v>161</v>
      </c>
      <c r="B211" s="82">
        <f t="shared" si="22"/>
        <v>0</v>
      </c>
      <c r="C211" s="58">
        <f t="shared" si="26"/>
        <v>156.29037528357509</v>
      </c>
      <c r="D211" s="83">
        <f t="shared" si="23"/>
        <v>666.66666666666663</v>
      </c>
      <c r="E211">
        <f t="shared" si="19"/>
        <v>0</v>
      </c>
      <c r="G211">
        <v>161</v>
      </c>
      <c r="H211" s="13">
        <f t="shared" si="24"/>
        <v>-7.7831728503952036E-4</v>
      </c>
      <c r="I211">
        <f t="shared" si="25"/>
        <v>156.16506620068373</v>
      </c>
      <c r="J211">
        <f t="shared" si="20"/>
        <v>666.41349966632606</v>
      </c>
      <c r="K211" s="27">
        <f t="shared" si="21"/>
        <v>-345.65530001098006</v>
      </c>
    </row>
    <row r="212" spans="1:11">
      <c r="A212" s="26">
        <v>162</v>
      </c>
      <c r="B212" s="82">
        <f t="shared" si="22"/>
        <v>0</v>
      </c>
      <c r="C212" s="58">
        <f t="shared" si="26"/>
        <v>156.29037528357509</v>
      </c>
      <c r="D212" s="83">
        <f t="shared" si="23"/>
        <v>666.66666666666663</v>
      </c>
      <c r="E212">
        <f t="shared" si="19"/>
        <v>0</v>
      </c>
      <c r="G212">
        <v>162</v>
      </c>
      <c r="H212" s="13">
        <f t="shared" si="24"/>
        <v>-7.7831728503952036E-4</v>
      </c>
      <c r="I212">
        <f t="shared" si="25"/>
        <v>156.16428788339869</v>
      </c>
      <c r="J212">
        <f t="shared" si="20"/>
        <v>666.41192344585011</v>
      </c>
      <c r="K212" s="27">
        <f t="shared" si="21"/>
        <v>-345.65366487902708</v>
      </c>
    </row>
    <row r="213" spans="1:11">
      <c r="A213" s="26">
        <v>163</v>
      </c>
      <c r="B213" s="82">
        <f t="shared" si="22"/>
        <v>0</v>
      </c>
      <c r="C213" s="58">
        <f t="shared" si="26"/>
        <v>156.29037528357509</v>
      </c>
      <c r="D213" s="83">
        <f t="shared" si="23"/>
        <v>666.66666666666663</v>
      </c>
      <c r="E213">
        <f t="shared" si="19"/>
        <v>0</v>
      </c>
      <c r="G213">
        <v>163</v>
      </c>
      <c r="H213" s="13">
        <f t="shared" si="24"/>
        <v>-7.7831728503952036E-4</v>
      </c>
      <c r="I213">
        <f t="shared" si="25"/>
        <v>156.16350956611365</v>
      </c>
      <c r="J213">
        <f t="shared" si="20"/>
        <v>666.41034717884168</v>
      </c>
      <c r="K213" s="27">
        <f t="shared" si="21"/>
        <v>-345.6520297026691</v>
      </c>
    </row>
    <row r="214" spans="1:11">
      <c r="A214" s="26">
        <v>164</v>
      </c>
      <c r="B214" s="82">
        <f t="shared" si="22"/>
        <v>0</v>
      </c>
      <c r="C214" s="58">
        <f t="shared" si="26"/>
        <v>156.29037528357509</v>
      </c>
      <c r="D214" s="83">
        <f t="shared" si="23"/>
        <v>666.66666666666663</v>
      </c>
      <c r="E214">
        <f t="shared" si="19"/>
        <v>0</v>
      </c>
      <c r="G214">
        <v>164</v>
      </c>
      <c r="H214" s="13">
        <f t="shared" si="24"/>
        <v>-7.7831728503952036E-4</v>
      </c>
      <c r="I214">
        <f t="shared" si="25"/>
        <v>156.16273124882861</v>
      </c>
      <c r="J214">
        <f t="shared" si="20"/>
        <v>666.40877086529713</v>
      </c>
      <c r="K214" s="27">
        <f t="shared" si="21"/>
        <v>-345.65039448190282</v>
      </c>
    </row>
    <row r="215" spans="1:11">
      <c r="A215" s="26">
        <v>165</v>
      </c>
      <c r="B215" s="82">
        <f t="shared" si="22"/>
        <v>0</v>
      </c>
      <c r="C215" s="58">
        <f t="shared" si="26"/>
        <v>156.29037528357509</v>
      </c>
      <c r="D215" s="83">
        <f t="shared" si="23"/>
        <v>666.66666666666663</v>
      </c>
      <c r="E215">
        <f t="shared" si="19"/>
        <v>0</v>
      </c>
      <c r="G215">
        <v>165</v>
      </c>
      <c r="H215" s="13">
        <f t="shared" si="24"/>
        <v>-7.7831728503952036E-4</v>
      </c>
      <c r="I215">
        <f t="shared" si="25"/>
        <v>156.16195293154357</v>
      </c>
      <c r="J215">
        <f t="shared" si="20"/>
        <v>666.4071945052134</v>
      </c>
      <c r="K215" s="27">
        <f t="shared" si="21"/>
        <v>-345.64875921672524</v>
      </c>
    </row>
    <row r="216" spans="1:11">
      <c r="A216" s="26">
        <v>166</v>
      </c>
      <c r="B216" s="82">
        <f t="shared" si="22"/>
        <v>0</v>
      </c>
      <c r="C216" s="58">
        <f t="shared" si="26"/>
        <v>156.29037528357509</v>
      </c>
      <c r="D216" s="83">
        <f t="shared" si="23"/>
        <v>666.66666666666663</v>
      </c>
      <c r="E216">
        <f t="shared" si="19"/>
        <v>0</v>
      </c>
      <c r="G216">
        <v>166</v>
      </c>
      <c r="H216" s="13">
        <f t="shared" si="24"/>
        <v>-7.7831728503952036E-4</v>
      </c>
      <c r="I216">
        <f t="shared" si="25"/>
        <v>156.16117461425853</v>
      </c>
      <c r="J216">
        <f t="shared" si="20"/>
        <v>666.40561809858707</v>
      </c>
      <c r="K216" s="27">
        <f t="shared" si="21"/>
        <v>-345.64712390713339</v>
      </c>
    </row>
    <row r="217" spans="1:11">
      <c r="A217" s="26">
        <v>167</v>
      </c>
      <c r="B217" s="82">
        <f t="shared" si="22"/>
        <v>0</v>
      </c>
      <c r="C217" s="58">
        <f t="shared" si="26"/>
        <v>156.29037528357509</v>
      </c>
      <c r="D217" s="83">
        <f t="shared" si="23"/>
        <v>666.66666666666663</v>
      </c>
      <c r="E217">
        <f t="shared" si="19"/>
        <v>0</v>
      </c>
      <c r="G217">
        <v>167</v>
      </c>
      <c r="H217" s="13">
        <f t="shared" si="24"/>
        <v>-7.7831728503952036E-4</v>
      </c>
      <c r="I217">
        <f t="shared" si="25"/>
        <v>156.16039629697349</v>
      </c>
      <c r="J217">
        <f t="shared" si="20"/>
        <v>666.40404164541496</v>
      </c>
      <c r="K217" s="27">
        <f t="shared" si="21"/>
        <v>-345.64548855312393</v>
      </c>
    </row>
    <row r="218" spans="1:11">
      <c r="A218" s="26">
        <v>168</v>
      </c>
      <c r="B218" s="82">
        <f t="shared" si="22"/>
        <v>0</v>
      </c>
      <c r="C218" s="58">
        <f t="shared" si="26"/>
        <v>156.29037528357509</v>
      </c>
      <c r="D218" s="83">
        <f t="shared" si="23"/>
        <v>666.66666666666663</v>
      </c>
      <c r="E218">
        <f t="shared" si="19"/>
        <v>0</v>
      </c>
      <c r="G218">
        <v>168</v>
      </c>
      <c r="H218" s="13">
        <f t="shared" si="24"/>
        <v>-7.7831728503952036E-4</v>
      </c>
      <c r="I218">
        <f t="shared" si="25"/>
        <v>156.15961797968845</v>
      </c>
      <c r="J218">
        <f t="shared" si="20"/>
        <v>666.40246514569344</v>
      </c>
      <c r="K218" s="27">
        <f t="shared" si="21"/>
        <v>-345.64385315469389</v>
      </c>
    </row>
    <row r="219" spans="1:11">
      <c r="A219" s="26">
        <v>169</v>
      </c>
      <c r="B219" s="82">
        <f t="shared" si="22"/>
        <v>0</v>
      </c>
      <c r="C219" s="58">
        <f t="shared" si="26"/>
        <v>156.29037528357509</v>
      </c>
      <c r="D219" s="83">
        <f t="shared" si="23"/>
        <v>666.66666666666663</v>
      </c>
      <c r="E219">
        <f t="shared" si="19"/>
        <v>0</v>
      </c>
      <c r="G219">
        <v>169</v>
      </c>
      <c r="H219" s="13">
        <f t="shared" si="24"/>
        <v>-7.7831728503952036E-4</v>
      </c>
      <c r="I219">
        <f t="shared" si="25"/>
        <v>156.15883966240341</v>
      </c>
      <c r="J219">
        <f t="shared" si="20"/>
        <v>666.40088859941955</v>
      </c>
      <c r="K219" s="27">
        <f t="shared" si="21"/>
        <v>-345.64221771184015</v>
      </c>
    </row>
    <row r="220" spans="1:11">
      <c r="A220" s="26">
        <v>170</v>
      </c>
      <c r="B220" s="82">
        <f t="shared" si="22"/>
        <v>0</v>
      </c>
      <c r="C220" s="58">
        <f t="shared" si="26"/>
        <v>156.29037528357509</v>
      </c>
      <c r="D220" s="83">
        <f t="shared" si="23"/>
        <v>666.66666666666663</v>
      </c>
      <c r="E220">
        <f t="shared" si="19"/>
        <v>0</v>
      </c>
      <c r="G220">
        <v>170</v>
      </c>
      <c r="H220" s="13">
        <f t="shared" si="24"/>
        <v>-7.7831728503952036E-4</v>
      </c>
      <c r="I220">
        <f t="shared" si="25"/>
        <v>156.15806134511837</v>
      </c>
      <c r="J220">
        <f t="shared" si="20"/>
        <v>666.39931200658975</v>
      </c>
      <c r="K220" s="27">
        <f t="shared" si="21"/>
        <v>-345.64058222455964</v>
      </c>
    </row>
    <row r="221" spans="1:11">
      <c r="A221" s="26">
        <v>171</v>
      </c>
      <c r="B221" s="82">
        <f t="shared" si="22"/>
        <v>0</v>
      </c>
      <c r="C221" s="58">
        <f t="shared" si="26"/>
        <v>156.29037528357509</v>
      </c>
      <c r="D221" s="83">
        <f t="shared" si="23"/>
        <v>666.66666666666663</v>
      </c>
      <c r="E221">
        <f t="shared" si="19"/>
        <v>0</v>
      </c>
      <c r="G221">
        <v>171</v>
      </c>
      <c r="H221" s="13">
        <f t="shared" si="24"/>
        <v>-7.7831728503952036E-4</v>
      </c>
      <c r="I221">
        <f t="shared" si="25"/>
        <v>156.15728302783333</v>
      </c>
      <c r="J221">
        <f t="shared" si="20"/>
        <v>666.39773536720077</v>
      </c>
      <c r="K221" s="27">
        <f t="shared" si="21"/>
        <v>-345.63894669284929</v>
      </c>
    </row>
    <row r="222" spans="1:11">
      <c r="A222" s="26">
        <v>172</v>
      </c>
      <c r="B222" s="82">
        <f t="shared" si="22"/>
        <v>0</v>
      </c>
      <c r="C222" s="58">
        <f t="shared" si="26"/>
        <v>156.29037528357509</v>
      </c>
      <c r="D222" s="83">
        <f t="shared" si="23"/>
        <v>666.66666666666663</v>
      </c>
      <c r="E222">
        <f t="shared" si="19"/>
        <v>0</v>
      </c>
      <c r="G222">
        <v>172</v>
      </c>
      <c r="H222" s="13">
        <f t="shared" si="24"/>
        <v>-7.7831728503952036E-4</v>
      </c>
      <c r="I222">
        <f t="shared" si="25"/>
        <v>156.15650471054829</v>
      </c>
      <c r="J222">
        <f t="shared" si="20"/>
        <v>666.39615868124929</v>
      </c>
      <c r="K222" s="27">
        <f t="shared" si="21"/>
        <v>-345.63731111670586</v>
      </c>
    </row>
    <row r="223" spans="1:11">
      <c r="A223" s="26">
        <v>173</v>
      </c>
      <c r="B223" s="82">
        <f t="shared" si="22"/>
        <v>0</v>
      </c>
      <c r="C223" s="58">
        <f t="shared" si="26"/>
        <v>156.29037528357509</v>
      </c>
      <c r="D223" s="83">
        <f t="shared" si="23"/>
        <v>666.66666666666663</v>
      </c>
      <c r="E223">
        <f t="shared" si="19"/>
        <v>0</v>
      </c>
      <c r="G223">
        <v>173</v>
      </c>
      <c r="H223" s="13">
        <f t="shared" si="24"/>
        <v>-7.7831728503952036E-4</v>
      </c>
      <c r="I223">
        <f t="shared" si="25"/>
        <v>156.15572639326325</v>
      </c>
      <c r="J223">
        <f t="shared" si="20"/>
        <v>666.39458194873214</v>
      </c>
      <c r="K223" s="27">
        <f t="shared" si="21"/>
        <v>-345.63567549612645</v>
      </c>
    </row>
    <row r="224" spans="1:11">
      <c r="A224" s="26">
        <v>174</v>
      </c>
      <c r="B224" s="82">
        <f t="shared" si="22"/>
        <v>0</v>
      </c>
      <c r="C224" s="58">
        <f t="shared" si="26"/>
        <v>156.29037528357509</v>
      </c>
      <c r="D224" s="83">
        <f t="shared" si="23"/>
        <v>666.66666666666663</v>
      </c>
      <c r="E224">
        <f t="shared" si="19"/>
        <v>0</v>
      </c>
      <c r="G224">
        <v>174</v>
      </c>
      <c r="H224" s="13">
        <f t="shared" si="24"/>
        <v>-7.7831728503952036E-4</v>
      </c>
      <c r="I224">
        <f t="shared" si="25"/>
        <v>156.15494807597821</v>
      </c>
      <c r="J224">
        <f t="shared" si="20"/>
        <v>666.39300516964579</v>
      </c>
      <c r="K224" s="27">
        <f t="shared" si="21"/>
        <v>-345.63403983110771</v>
      </c>
    </row>
    <row r="225" spans="1:11">
      <c r="A225" s="26">
        <v>175</v>
      </c>
      <c r="B225" s="82">
        <f t="shared" si="22"/>
        <v>0</v>
      </c>
      <c r="C225" s="58">
        <f t="shared" si="26"/>
        <v>156.29037528357509</v>
      </c>
      <c r="D225" s="83">
        <f t="shared" si="23"/>
        <v>666.66666666666663</v>
      </c>
      <c r="E225">
        <f t="shared" si="19"/>
        <v>0</v>
      </c>
      <c r="G225">
        <v>175</v>
      </c>
      <c r="H225" s="13">
        <f t="shared" si="24"/>
        <v>-7.7831728503952036E-4</v>
      </c>
      <c r="I225">
        <f t="shared" si="25"/>
        <v>156.15416975869317</v>
      </c>
      <c r="J225">
        <f t="shared" si="20"/>
        <v>666.39142834398695</v>
      </c>
      <c r="K225" s="27">
        <f t="shared" si="21"/>
        <v>-345.63240412164691</v>
      </c>
    </row>
    <row r="226" spans="1:11">
      <c r="A226" s="26">
        <v>176</v>
      </c>
      <c r="B226" s="82">
        <f t="shared" si="22"/>
        <v>0</v>
      </c>
      <c r="C226" s="58">
        <f t="shared" si="26"/>
        <v>156.29037528357509</v>
      </c>
      <c r="D226" s="83">
        <f t="shared" si="23"/>
        <v>666.66666666666663</v>
      </c>
      <c r="E226">
        <f t="shared" si="19"/>
        <v>0</v>
      </c>
      <c r="G226">
        <v>176</v>
      </c>
      <c r="H226" s="13">
        <f t="shared" si="24"/>
        <v>-7.7831728503952036E-4</v>
      </c>
      <c r="I226">
        <f t="shared" si="25"/>
        <v>156.15339144140813</v>
      </c>
      <c r="J226">
        <f t="shared" si="20"/>
        <v>666.38985147175254</v>
      </c>
      <c r="K226" s="27">
        <f t="shared" si="21"/>
        <v>-345.6307683677407</v>
      </c>
    </row>
    <row r="227" spans="1:11">
      <c r="A227" s="26">
        <v>177</v>
      </c>
      <c r="B227" s="82">
        <f t="shared" si="22"/>
        <v>0</v>
      </c>
      <c r="C227" s="58">
        <f t="shared" si="26"/>
        <v>156.29037528357509</v>
      </c>
      <c r="D227" s="83">
        <f t="shared" si="23"/>
        <v>666.66666666666663</v>
      </c>
      <c r="E227">
        <f t="shared" si="19"/>
        <v>0</v>
      </c>
      <c r="G227">
        <v>177</v>
      </c>
      <c r="H227" s="13">
        <f t="shared" si="24"/>
        <v>-7.7831728503952036E-4</v>
      </c>
      <c r="I227">
        <f t="shared" si="25"/>
        <v>156.15261312412309</v>
      </c>
      <c r="J227">
        <f t="shared" si="20"/>
        <v>666.38827455293892</v>
      </c>
      <c r="K227" s="27">
        <f t="shared" si="21"/>
        <v>-345.62913256938583</v>
      </c>
    </row>
    <row r="228" spans="1:11">
      <c r="A228" s="26">
        <v>178</v>
      </c>
      <c r="B228" s="82">
        <f t="shared" si="22"/>
        <v>0</v>
      </c>
      <c r="C228" s="58">
        <f t="shared" si="26"/>
        <v>156.29037528357509</v>
      </c>
      <c r="D228" s="83">
        <f t="shared" si="23"/>
        <v>666.66666666666663</v>
      </c>
      <c r="E228">
        <f t="shared" si="19"/>
        <v>0</v>
      </c>
      <c r="G228">
        <v>178</v>
      </c>
      <c r="H228" s="13">
        <f t="shared" si="24"/>
        <v>-7.7831728503952036E-4</v>
      </c>
      <c r="I228">
        <f t="shared" si="25"/>
        <v>156.15183480683805</v>
      </c>
      <c r="J228">
        <f t="shared" si="20"/>
        <v>666.38669758754293</v>
      </c>
      <c r="K228" s="27">
        <f t="shared" si="21"/>
        <v>-345.62749672657952</v>
      </c>
    </row>
    <row r="229" spans="1:11">
      <c r="A229" s="26">
        <v>179</v>
      </c>
      <c r="B229" s="82">
        <f t="shared" si="22"/>
        <v>0</v>
      </c>
      <c r="C229" s="58">
        <f t="shared" si="26"/>
        <v>156.29037528357509</v>
      </c>
      <c r="D229" s="83">
        <f t="shared" si="23"/>
        <v>666.66666666666663</v>
      </c>
      <c r="E229">
        <f t="shared" si="19"/>
        <v>0</v>
      </c>
      <c r="G229">
        <v>179</v>
      </c>
      <c r="H229" s="13">
        <f t="shared" si="24"/>
        <v>-7.7831728503952036E-4</v>
      </c>
      <c r="I229">
        <f t="shared" si="25"/>
        <v>156.15105648955301</v>
      </c>
      <c r="J229">
        <f t="shared" si="20"/>
        <v>666.38512057556125</v>
      </c>
      <c r="K229" s="27">
        <f t="shared" si="21"/>
        <v>-345.62586083931859</v>
      </c>
    </row>
    <row r="230" spans="1:11">
      <c r="A230" s="26">
        <v>180</v>
      </c>
      <c r="B230" s="82">
        <f t="shared" si="22"/>
        <v>0</v>
      </c>
      <c r="C230" s="58">
        <f t="shared" si="26"/>
        <v>156.29037528357509</v>
      </c>
      <c r="D230" s="83">
        <f t="shared" si="23"/>
        <v>666.66666666666663</v>
      </c>
      <c r="E230">
        <f t="shared" si="19"/>
        <v>0</v>
      </c>
      <c r="G230">
        <v>180</v>
      </c>
      <c r="H230" s="13">
        <f t="shared" si="24"/>
        <v>-7.7831728503952036E-4</v>
      </c>
      <c r="I230">
        <f t="shared" si="25"/>
        <v>156.15027817226797</v>
      </c>
      <c r="J230">
        <f t="shared" si="20"/>
        <v>666.38354351699058</v>
      </c>
      <c r="K230" s="27">
        <f t="shared" si="21"/>
        <v>-345.62422490759974</v>
      </c>
    </row>
    <row r="231" spans="1:11">
      <c r="A231" s="26">
        <v>181</v>
      </c>
      <c r="B231" s="82">
        <f t="shared" si="22"/>
        <v>0</v>
      </c>
      <c r="C231" s="58">
        <f t="shared" si="26"/>
        <v>156.29037528357509</v>
      </c>
      <c r="D231" s="83">
        <f t="shared" si="23"/>
        <v>666.66666666666663</v>
      </c>
      <c r="E231">
        <f t="shared" si="19"/>
        <v>0</v>
      </c>
      <c r="G231">
        <v>181</v>
      </c>
      <c r="H231" s="13">
        <f t="shared" si="24"/>
        <v>-7.7831728503952036E-4</v>
      </c>
      <c r="I231">
        <f t="shared" si="25"/>
        <v>156.14949985498293</v>
      </c>
      <c r="J231">
        <f t="shared" si="20"/>
        <v>666.38196641182753</v>
      </c>
      <c r="K231" s="27">
        <f t="shared" si="21"/>
        <v>-345.62258893142007</v>
      </c>
    </row>
    <row r="232" spans="1:11">
      <c r="A232" s="26">
        <v>182</v>
      </c>
      <c r="B232" s="82">
        <f t="shared" si="22"/>
        <v>0</v>
      </c>
      <c r="C232" s="58">
        <f t="shared" si="26"/>
        <v>156.29037528357509</v>
      </c>
      <c r="D232" s="83">
        <f t="shared" si="23"/>
        <v>666.66666666666663</v>
      </c>
      <c r="E232">
        <f t="shared" si="19"/>
        <v>0</v>
      </c>
      <c r="G232">
        <v>182</v>
      </c>
      <c r="H232" s="13">
        <f t="shared" si="24"/>
        <v>-7.7831728503952036E-4</v>
      </c>
      <c r="I232">
        <f t="shared" si="25"/>
        <v>156.1487215376979</v>
      </c>
      <c r="J232">
        <f t="shared" si="20"/>
        <v>666.3803892600688</v>
      </c>
      <c r="K232" s="27">
        <f t="shared" si="21"/>
        <v>-345.62095291077645</v>
      </c>
    </row>
    <row r="233" spans="1:11">
      <c r="A233" s="26">
        <v>183</v>
      </c>
      <c r="B233" s="82">
        <f t="shared" si="22"/>
        <v>0</v>
      </c>
      <c r="C233" s="58">
        <f t="shared" si="26"/>
        <v>156.29037528357509</v>
      </c>
      <c r="D233" s="83">
        <f t="shared" si="23"/>
        <v>666.66666666666663</v>
      </c>
      <c r="E233">
        <f t="shared" si="19"/>
        <v>0</v>
      </c>
      <c r="G233">
        <v>183</v>
      </c>
      <c r="H233" s="13">
        <f t="shared" si="24"/>
        <v>-7.7831728503952036E-4</v>
      </c>
      <c r="I233">
        <f t="shared" si="25"/>
        <v>156.14794322041286</v>
      </c>
      <c r="J233">
        <f t="shared" si="20"/>
        <v>666.37881206171119</v>
      </c>
      <c r="K233" s="27">
        <f t="shared" si="21"/>
        <v>-345.61931684566576</v>
      </c>
    </row>
    <row r="234" spans="1:11">
      <c r="A234" s="26">
        <v>184</v>
      </c>
      <c r="B234" s="82">
        <f t="shared" si="22"/>
        <v>0</v>
      </c>
      <c r="C234" s="58">
        <f t="shared" si="26"/>
        <v>156.29037528357509</v>
      </c>
      <c r="D234" s="83">
        <f t="shared" si="23"/>
        <v>666.66666666666663</v>
      </c>
      <c r="E234">
        <f t="shared" si="19"/>
        <v>0</v>
      </c>
      <c r="G234">
        <v>184</v>
      </c>
      <c r="H234" s="13">
        <f t="shared" si="24"/>
        <v>-7.7831728503952036E-4</v>
      </c>
      <c r="I234">
        <f t="shared" si="25"/>
        <v>156.14716490312782</v>
      </c>
      <c r="J234">
        <f t="shared" si="20"/>
        <v>666.37723481675107</v>
      </c>
      <c r="K234" s="27">
        <f t="shared" si="21"/>
        <v>-345.61768073608482</v>
      </c>
    </row>
    <row r="235" spans="1:11">
      <c r="A235" s="26">
        <v>185</v>
      </c>
      <c r="B235" s="82">
        <f t="shared" si="22"/>
        <v>0</v>
      </c>
      <c r="C235" s="58">
        <f t="shared" si="26"/>
        <v>156.29037528357509</v>
      </c>
      <c r="D235" s="83">
        <f t="shared" si="23"/>
        <v>666.66666666666663</v>
      </c>
      <c r="E235">
        <f t="shared" si="19"/>
        <v>0</v>
      </c>
      <c r="G235">
        <v>185</v>
      </c>
      <c r="H235" s="13">
        <f t="shared" si="24"/>
        <v>-7.7831728503952036E-4</v>
      </c>
      <c r="I235">
        <f t="shared" si="25"/>
        <v>156.14638658584278</v>
      </c>
      <c r="J235">
        <f t="shared" si="20"/>
        <v>666.37565752518549</v>
      </c>
      <c r="K235" s="27">
        <f t="shared" si="21"/>
        <v>-345.61604458203061</v>
      </c>
    </row>
    <row r="236" spans="1:11">
      <c r="A236" s="26">
        <v>186</v>
      </c>
      <c r="B236" s="82">
        <f t="shared" si="22"/>
        <v>0</v>
      </c>
      <c r="C236" s="58">
        <f t="shared" si="26"/>
        <v>156.29037528357509</v>
      </c>
      <c r="D236" s="83">
        <f t="shared" si="23"/>
        <v>666.66666666666663</v>
      </c>
      <c r="E236">
        <f t="shared" si="19"/>
        <v>0</v>
      </c>
      <c r="G236">
        <v>186</v>
      </c>
      <c r="H236" s="13">
        <f t="shared" si="24"/>
        <v>-7.7831728503952036E-4</v>
      </c>
      <c r="I236">
        <f t="shared" si="25"/>
        <v>156.14560826855774</v>
      </c>
      <c r="J236">
        <f t="shared" si="20"/>
        <v>666.37408018701092</v>
      </c>
      <c r="K236" s="27">
        <f t="shared" si="21"/>
        <v>-345.61440838350012</v>
      </c>
    </row>
    <row r="237" spans="1:11">
      <c r="A237" s="26">
        <v>187</v>
      </c>
      <c r="B237" s="82">
        <f t="shared" si="22"/>
        <v>0</v>
      </c>
      <c r="C237" s="58">
        <f t="shared" si="26"/>
        <v>156.29037528357509</v>
      </c>
      <c r="D237" s="83">
        <f t="shared" si="23"/>
        <v>666.66666666666663</v>
      </c>
      <c r="E237">
        <f t="shared" si="19"/>
        <v>0</v>
      </c>
      <c r="G237">
        <v>187</v>
      </c>
      <c r="H237" s="13">
        <f t="shared" si="24"/>
        <v>-7.7831728503952036E-4</v>
      </c>
      <c r="I237">
        <f t="shared" si="25"/>
        <v>156.1448299512727</v>
      </c>
      <c r="J237">
        <f t="shared" si="20"/>
        <v>666.37250280222406</v>
      </c>
      <c r="K237" s="27">
        <f t="shared" si="21"/>
        <v>-345.61277214048999</v>
      </c>
    </row>
    <row r="238" spans="1:11">
      <c r="A238" s="26">
        <v>188</v>
      </c>
      <c r="B238" s="82">
        <f t="shared" si="22"/>
        <v>0</v>
      </c>
      <c r="C238" s="58">
        <f t="shared" si="26"/>
        <v>156.29037528357509</v>
      </c>
      <c r="D238" s="83">
        <f t="shared" si="23"/>
        <v>666.66666666666663</v>
      </c>
      <c r="E238">
        <f t="shared" si="19"/>
        <v>0</v>
      </c>
      <c r="G238">
        <v>188</v>
      </c>
      <c r="H238" s="13">
        <f t="shared" si="24"/>
        <v>-7.7831728503952036E-4</v>
      </c>
      <c r="I238">
        <f t="shared" si="25"/>
        <v>156.14405163398766</v>
      </c>
      <c r="J238">
        <f t="shared" si="20"/>
        <v>666.37092537082162</v>
      </c>
      <c r="K238" s="27">
        <f t="shared" si="21"/>
        <v>-345.61113585299728</v>
      </c>
    </row>
    <row r="239" spans="1:11">
      <c r="A239" s="26">
        <v>189</v>
      </c>
      <c r="B239" s="82">
        <f t="shared" si="22"/>
        <v>0</v>
      </c>
      <c r="C239" s="58">
        <f t="shared" si="26"/>
        <v>156.29037528357509</v>
      </c>
      <c r="D239" s="83">
        <f t="shared" si="23"/>
        <v>666.66666666666663</v>
      </c>
      <c r="E239">
        <f t="shared" si="19"/>
        <v>0</v>
      </c>
      <c r="G239">
        <v>189</v>
      </c>
      <c r="H239" s="13">
        <f t="shared" si="24"/>
        <v>-7.7831728503952036E-4</v>
      </c>
      <c r="I239">
        <f t="shared" si="25"/>
        <v>156.14327331670262</v>
      </c>
      <c r="J239">
        <f t="shared" si="20"/>
        <v>666.36934789280019</v>
      </c>
      <c r="K239" s="27">
        <f t="shared" si="21"/>
        <v>-345.6094995210189</v>
      </c>
    </row>
    <row r="240" spans="1:11">
      <c r="A240" s="26">
        <v>190</v>
      </c>
      <c r="B240" s="82">
        <f t="shared" si="22"/>
        <v>0</v>
      </c>
      <c r="C240" s="58">
        <f t="shared" si="26"/>
        <v>156.29037528357509</v>
      </c>
      <c r="D240" s="83">
        <f t="shared" si="23"/>
        <v>666.66666666666663</v>
      </c>
      <c r="E240">
        <f t="shared" si="19"/>
        <v>0</v>
      </c>
      <c r="G240">
        <v>190</v>
      </c>
      <c r="H240" s="13">
        <f t="shared" si="24"/>
        <v>-7.7831728503952036E-4</v>
      </c>
      <c r="I240">
        <f t="shared" si="25"/>
        <v>156.14249499941758</v>
      </c>
      <c r="J240">
        <f t="shared" si="20"/>
        <v>666.36777036815647</v>
      </c>
      <c r="K240" s="27">
        <f t="shared" si="21"/>
        <v>-345.60786314455163</v>
      </c>
    </row>
    <row r="241" spans="1:11">
      <c r="A241" s="26">
        <v>191</v>
      </c>
      <c r="B241" s="82">
        <f t="shared" si="22"/>
        <v>0</v>
      </c>
      <c r="C241" s="58">
        <f t="shared" si="26"/>
        <v>156.29037528357509</v>
      </c>
      <c r="D241" s="83">
        <f t="shared" si="23"/>
        <v>666.66666666666663</v>
      </c>
      <c r="E241">
        <f t="shared" si="19"/>
        <v>0</v>
      </c>
      <c r="G241">
        <v>191</v>
      </c>
      <c r="H241" s="13">
        <f t="shared" si="24"/>
        <v>-7.7831728503952036E-4</v>
      </c>
      <c r="I241">
        <f t="shared" si="25"/>
        <v>156.14171668213254</v>
      </c>
      <c r="J241">
        <f t="shared" si="20"/>
        <v>666.36619279688728</v>
      </c>
      <c r="K241" s="27">
        <f t="shared" si="21"/>
        <v>-345.60622672359256</v>
      </c>
    </row>
    <row r="242" spans="1:11">
      <c r="A242" s="26">
        <v>192</v>
      </c>
      <c r="B242" s="82">
        <f t="shared" si="22"/>
        <v>0</v>
      </c>
      <c r="C242" s="58">
        <f t="shared" si="26"/>
        <v>156.29037528357509</v>
      </c>
      <c r="D242" s="83">
        <f t="shared" si="23"/>
        <v>666.66666666666663</v>
      </c>
      <c r="E242">
        <f t="shared" si="19"/>
        <v>0</v>
      </c>
      <c r="G242">
        <v>192</v>
      </c>
      <c r="H242" s="13">
        <f t="shared" si="24"/>
        <v>-7.7831728503952036E-4</v>
      </c>
      <c r="I242">
        <f t="shared" si="25"/>
        <v>156.1409383648475</v>
      </c>
      <c r="J242">
        <f t="shared" si="20"/>
        <v>666.3646151789892</v>
      </c>
      <c r="K242" s="27">
        <f t="shared" si="21"/>
        <v>-345.60459025813844</v>
      </c>
    </row>
    <row r="243" spans="1:11">
      <c r="A243" s="26">
        <v>193</v>
      </c>
      <c r="B243" s="82">
        <f t="shared" si="22"/>
        <v>0</v>
      </c>
      <c r="C243" s="58">
        <f t="shared" si="26"/>
        <v>156.29037528357509</v>
      </c>
      <c r="D243" s="83">
        <f t="shared" si="23"/>
        <v>666.66666666666663</v>
      </c>
      <c r="E243">
        <f t="shared" ref="E243:E306" si="27">((D243^2)+(D243*D244)+(D244^2))*B244/3</f>
        <v>0</v>
      </c>
      <c r="G243">
        <v>193</v>
      </c>
      <c r="H243" s="13">
        <f t="shared" si="24"/>
        <v>-7.7831728503952036E-4</v>
      </c>
      <c r="I243">
        <f t="shared" si="25"/>
        <v>156.14016004756246</v>
      </c>
      <c r="J243">
        <f t="shared" ref="J243:J306" si="28">IF($G$28&lt;$C$14,0,((($C$11^2)-((I243-$C$13)^2))^0.5)+$C$16)</f>
        <v>666.36303751445882</v>
      </c>
      <c r="K243" s="27">
        <f t="shared" ref="K243:K306" si="29">((J243^2)+(J243*J244)+(J244^2))*H244/3</f>
        <v>-345.60295374818617</v>
      </c>
    </row>
    <row r="244" spans="1:11">
      <c r="A244" s="26">
        <v>194</v>
      </c>
      <c r="B244" s="82">
        <f t="shared" ref="B244:B307" si="30">C244-C243</f>
        <v>0</v>
      </c>
      <c r="C244" s="58">
        <f t="shared" si="26"/>
        <v>156.29037528357509</v>
      </c>
      <c r="D244" s="83">
        <f t="shared" ref="D244:D307" si="31">IF($G$28&lt;$C$14,0,((($C$11^2)-((C244-$C$13)^2))^0.5)+$C$16)</f>
        <v>666.66666666666663</v>
      </c>
      <c r="E244">
        <f t="shared" si="27"/>
        <v>0</v>
      </c>
      <c r="G244">
        <v>194</v>
      </c>
      <c r="H244" s="13">
        <f t="shared" ref="H244:H307" si="32">I244-I243</f>
        <v>-7.7831728503952036E-4</v>
      </c>
      <c r="I244">
        <f t="shared" ref="I244:I307" si="33">($G$27-$C$14)/2000+I243</f>
        <v>156.13938173027742</v>
      </c>
      <c r="J244">
        <f t="shared" si="28"/>
        <v>666.36145980329297</v>
      </c>
      <c r="K244" s="27">
        <f t="shared" si="29"/>
        <v>-345.60131719373265</v>
      </c>
    </row>
    <row r="245" spans="1:11">
      <c r="A245" s="26">
        <v>195</v>
      </c>
      <c r="B245" s="82">
        <f t="shared" si="30"/>
        <v>0</v>
      </c>
      <c r="C245" s="58">
        <f t="shared" si="26"/>
        <v>156.29037528357509</v>
      </c>
      <c r="D245" s="83">
        <f t="shared" si="31"/>
        <v>666.66666666666663</v>
      </c>
      <c r="E245">
        <f t="shared" si="27"/>
        <v>0</v>
      </c>
      <c r="G245">
        <v>195</v>
      </c>
      <c r="H245" s="13">
        <f t="shared" si="32"/>
        <v>-7.7831728503952036E-4</v>
      </c>
      <c r="I245">
        <f t="shared" si="33"/>
        <v>156.13860341299238</v>
      </c>
      <c r="J245">
        <f t="shared" si="28"/>
        <v>666.35988204548823</v>
      </c>
      <c r="K245" s="27">
        <f t="shared" si="29"/>
        <v>-345.59968059477484</v>
      </c>
    </row>
    <row r="246" spans="1:11">
      <c r="A246" s="26">
        <v>196</v>
      </c>
      <c r="B246" s="82">
        <f t="shared" si="30"/>
        <v>0</v>
      </c>
      <c r="C246" s="58">
        <f t="shared" si="26"/>
        <v>156.29037528357509</v>
      </c>
      <c r="D246" s="83">
        <f t="shared" si="31"/>
        <v>666.66666666666663</v>
      </c>
      <c r="E246">
        <f t="shared" si="27"/>
        <v>0</v>
      </c>
      <c r="G246">
        <v>196</v>
      </c>
      <c r="H246" s="13">
        <f t="shared" si="32"/>
        <v>-7.7831728503952036E-4</v>
      </c>
      <c r="I246">
        <f t="shared" si="33"/>
        <v>156.13782509570734</v>
      </c>
      <c r="J246">
        <f t="shared" si="28"/>
        <v>666.3583042410412</v>
      </c>
      <c r="K246" s="27">
        <f t="shared" si="29"/>
        <v>-345.59804395130959</v>
      </c>
    </row>
    <row r="247" spans="1:11">
      <c r="A247" s="26">
        <v>197</v>
      </c>
      <c r="B247" s="82">
        <f t="shared" si="30"/>
        <v>0</v>
      </c>
      <c r="C247" s="58">
        <f t="shared" si="26"/>
        <v>156.29037528357509</v>
      </c>
      <c r="D247" s="83">
        <f t="shared" si="31"/>
        <v>666.66666666666663</v>
      </c>
      <c r="E247">
        <f t="shared" si="27"/>
        <v>0</v>
      </c>
      <c r="G247">
        <v>197</v>
      </c>
      <c r="H247" s="13">
        <f t="shared" si="32"/>
        <v>-7.7831728503952036E-4</v>
      </c>
      <c r="I247">
        <f t="shared" si="33"/>
        <v>156.1370467784223</v>
      </c>
      <c r="J247">
        <f t="shared" si="28"/>
        <v>666.35672638994879</v>
      </c>
      <c r="K247" s="27">
        <f t="shared" si="29"/>
        <v>-345.59640726333373</v>
      </c>
    </row>
    <row r="248" spans="1:11">
      <c r="A248" s="26">
        <v>198</v>
      </c>
      <c r="B248" s="82">
        <f t="shared" si="30"/>
        <v>0</v>
      </c>
      <c r="C248" s="58">
        <f t="shared" si="26"/>
        <v>156.29037528357509</v>
      </c>
      <c r="D248" s="83">
        <f t="shared" si="31"/>
        <v>666.66666666666663</v>
      </c>
      <c r="E248">
        <f t="shared" si="27"/>
        <v>0</v>
      </c>
      <c r="G248">
        <v>198</v>
      </c>
      <c r="H248" s="13">
        <f t="shared" si="32"/>
        <v>-7.7831728503952036E-4</v>
      </c>
      <c r="I248">
        <f t="shared" si="33"/>
        <v>156.13626846113726</v>
      </c>
      <c r="J248">
        <f t="shared" si="28"/>
        <v>666.35514849220738</v>
      </c>
      <c r="K248" s="27">
        <f t="shared" si="29"/>
        <v>-345.59477053084424</v>
      </c>
    </row>
    <row r="249" spans="1:11">
      <c r="A249" s="26">
        <v>199</v>
      </c>
      <c r="B249" s="82">
        <f t="shared" si="30"/>
        <v>0</v>
      </c>
      <c r="C249" s="58">
        <f t="shared" si="26"/>
        <v>156.29037528357509</v>
      </c>
      <c r="D249" s="83">
        <f t="shared" si="31"/>
        <v>666.66666666666663</v>
      </c>
      <c r="E249">
        <f t="shared" si="27"/>
        <v>0</v>
      </c>
      <c r="G249">
        <v>199</v>
      </c>
      <c r="H249" s="13">
        <f t="shared" si="32"/>
        <v>-7.7831728503952036E-4</v>
      </c>
      <c r="I249">
        <f t="shared" si="33"/>
        <v>156.13549014385222</v>
      </c>
      <c r="J249">
        <f t="shared" si="28"/>
        <v>666.35357054781389</v>
      </c>
      <c r="K249" s="27">
        <f t="shared" si="29"/>
        <v>-345.59313375383795</v>
      </c>
    </row>
    <row r="250" spans="1:11">
      <c r="A250" s="26">
        <v>200</v>
      </c>
      <c r="B250" s="82">
        <f t="shared" si="30"/>
        <v>0</v>
      </c>
      <c r="C250" s="58">
        <f t="shared" si="26"/>
        <v>156.29037528357509</v>
      </c>
      <c r="D250" s="83">
        <f t="shared" si="31"/>
        <v>666.66666666666663</v>
      </c>
      <c r="E250">
        <f t="shared" si="27"/>
        <v>0</v>
      </c>
      <c r="G250">
        <v>200</v>
      </c>
      <c r="H250" s="13">
        <f t="shared" si="32"/>
        <v>-7.7831728503952036E-4</v>
      </c>
      <c r="I250">
        <f t="shared" si="33"/>
        <v>156.13471182656718</v>
      </c>
      <c r="J250">
        <f t="shared" si="28"/>
        <v>666.3519925567648</v>
      </c>
      <c r="K250" s="27">
        <f t="shared" si="29"/>
        <v>-345.59149693231171</v>
      </c>
    </row>
    <row r="251" spans="1:11">
      <c r="A251" s="26">
        <v>201</v>
      </c>
      <c r="B251" s="82">
        <f t="shared" si="30"/>
        <v>0</v>
      </c>
      <c r="C251" s="58">
        <f t="shared" si="26"/>
        <v>156.29037528357509</v>
      </c>
      <c r="D251" s="83">
        <f t="shared" si="31"/>
        <v>666.66666666666663</v>
      </c>
      <c r="E251">
        <f t="shared" si="27"/>
        <v>0</v>
      </c>
      <c r="G251">
        <v>201</v>
      </c>
      <c r="H251" s="13">
        <f t="shared" si="32"/>
        <v>-7.7831728503952036E-4</v>
      </c>
      <c r="I251">
        <f t="shared" si="33"/>
        <v>156.13393350928214</v>
      </c>
      <c r="J251">
        <f t="shared" si="28"/>
        <v>666.35041451905681</v>
      </c>
      <c r="K251" s="27">
        <f t="shared" si="29"/>
        <v>-345.58986006626259</v>
      </c>
    </row>
    <row r="252" spans="1:11">
      <c r="A252" s="26">
        <v>202</v>
      </c>
      <c r="B252" s="82">
        <f t="shared" si="30"/>
        <v>0</v>
      </c>
      <c r="C252" s="58">
        <f t="shared" si="26"/>
        <v>156.29037528357509</v>
      </c>
      <c r="D252" s="83">
        <f t="shared" si="31"/>
        <v>666.66666666666663</v>
      </c>
      <c r="E252">
        <f t="shared" si="27"/>
        <v>0</v>
      </c>
      <c r="G252">
        <v>202</v>
      </c>
      <c r="H252" s="13">
        <f t="shared" si="32"/>
        <v>-7.7831728503952036E-4</v>
      </c>
      <c r="I252">
        <f t="shared" si="33"/>
        <v>156.1331551919971</v>
      </c>
      <c r="J252">
        <f t="shared" si="28"/>
        <v>666.34883643468675</v>
      </c>
      <c r="K252" s="27">
        <f t="shared" si="29"/>
        <v>-345.58822315568733</v>
      </c>
    </row>
    <row r="253" spans="1:11">
      <c r="A253" s="26">
        <v>203</v>
      </c>
      <c r="B253" s="82">
        <f t="shared" si="30"/>
        <v>0</v>
      </c>
      <c r="C253" s="58">
        <f t="shared" si="26"/>
        <v>156.29037528357509</v>
      </c>
      <c r="D253" s="83">
        <f t="shared" si="31"/>
        <v>666.66666666666663</v>
      </c>
      <c r="E253">
        <f t="shared" si="27"/>
        <v>0</v>
      </c>
      <c r="G253">
        <v>203</v>
      </c>
      <c r="H253" s="13">
        <f t="shared" si="32"/>
        <v>-7.7831728503952036E-4</v>
      </c>
      <c r="I253">
        <f t="shared" si="33"/>
        <v>156.13237687471207</v>
      </c>
      <c r="J253">
        <f t="shared" si="28"/>
        <v>666.3472583036513</v>
      </c>
      <c r="K253" s="27">
        <f t="shared" si="29"/>
        <v>-345.58658620058299</v>
      </c>
    </row>
    <row r="254" spans="1:11">
      <c r="A254" s="26">
        <v>204</v>
      </c>
      <c r="B254" s="82">
        <f t="shared" si="30"/>
        <v>0</v>
      </c>
      <c r="C254" s="58">
        <f t="shared" si="26"/>
        <v>156.29037528357509</v>
      </c>
      <c r="D254" s="83">
        <f t="shared" si="31"/>
        <v>666.66666666666663</v>
      </c>
      <c r="E254">
        <f t="shared" si="27"/>
        <v>0</v>
      </c>
      <c r="G254">
        <v>204</v>
      </c>
      <c r="H254" s="13">
        <f t="shared" si="32"/>
        <v>-7.7831728503952036E-4</v>
      </c>
      <c r="I254">
        <f t="shared" si="33"/>
        <v>156.13159855742703</v>
      </c>
      <c r="J254">
        <f t="shared" si="28"/>
        <v>666.34568012594684</v>
      </c>
      <c r="K254" s="27">
        <f t="shared" si="29"/>
        <v>-345.58494920094614</v>
      </c>
    </row>
    <row r="255" spans="1:11">
      <c r="A255" s="26">
        <v>205</v>
      </c>
      <c r="B255" s="82">
        <f t="shared" si="30"/>
        <v>0</v>
      </c>
      <c r="C255" s="58">
        <f t="shared" si="26"/>
        <v>156.29037528357509</v>
      </c>
      <c r="D255" s="83">
        <f t="shared" si="31"/>
        <v>666.66666666666663</v>
      </c>
      <c r="E255">
        <f t="shared" si="27"/>
        <v>0</v>
      </c>
      <c r="G255">
        <v>205</v>
      </c>
      <c r="H255" s="13">
        <f t="shared" si="32"/>
        <v>-7.7831728503952036E-4</v>
      </c>
      <c r="I255">
        <f t="shared" si="33"/>
        <v>156.13082024014199</v>
      </c>
      <c r="J255">
        <f t="shared" si="28"/>
        <v>666.3441019015703</v>
      </c>
      <c r="K255" s="27">
        <f t="shared" si="29"/>
        <v>-345.58331215677396</v>
      </c>
    </row>
    <row r="256" spans="1:11">
      <c r="A256" s="26">
        <v>206</v>
      </c>
      <c r="B256" s="82">
        <f t="shared" si="30"/>
        <v>0</v>
      </c>
      <c r="C256" s="58">
        <f t="shared" si="26"/>
        <v>156.29037528357509</v>
      </c>
      <c r="D256" s="83">
        <f t="shared" si="31"/>
        <v>666.66666666666663</v>
      </c>
      <c r="E256">
        <f t="shared" si="27"/>
        <v>0</v>
      </c>
      <c r="G256">
        <v>206</v>
      </c>
      <c r="H256" s="13">
        <f t="shared" si="32"/>
        <v>-7.7831728503952036E-4</v>
      </c>
      <c r="I256">
        <f t="shared" si="33"/>
        <v>156.13004192285695</v>
      </c>
      <c r="J256">
        <f t="shared" si="28"/>
        <v>666.34252363051826</v>
      </c>
      <c r="K256" s="27">
        <f t="shared" si="29"/>
        <v>-345.58167506806325</v>
      </c>
    </row>
    <row r="257" spans="1:11">
      <c r="A257" s="26">
        <v>207</v>
      </c>
      <c r="B257" s="82">
        <f t="shared" si="30"/>
        <v>0</v>
      </c>
      <c r="C257" s="58">
        <f t="shared" si="26"/>
        <v>156.29037528357509</v>
      </c>
      <c r="D257" s="83">
        <f t="shared" si="31"/>
        <v>666.66666666666663</v>
      </c>
      <c r="E257">
        <f t="shared" si="27"/>
        <v>0</v>
      </c>
      <c r="G257">
        <v>207</v>
      </c>
      <c r="H257" s="13">
        <f t="shared" si="32"/>
        <v>-7.7831728503952036E-4</v>
      </c>
      <c r="I257">
        <f t="shared" si="33"/>
        <v>156.12926360557191</v>
      </c>
      <c r="J257">
        <f t="shared" si="28"/>
        <v>666.34094531278731</v>
      </c>
      <c r="K257" s="27">
        <f t="shared" si="29"/>
        <v>-345.58003793481072</v>
      </c>
    </row>
    <row r="258" spans="1:11">
      <c r="A258" s="26">
        <v>208</v>
      </c>
      <c r="B258" s="82">
        <f t="shared" si="30"/>
        <v>0</v>
      </c>
      <c r="C258" s="58">
        <f t="shared" si="26"/>
        <v>156.29037528357509</v>
      </c>
      <c r="D258" s="83">
        <f t="shared" si="31"/>
        <v>666.66666666666663</v>
      </c>
      <c r="E258">
        <f t="shared" si="27"/>
        <v>0</v>
      </c>
      <c r="G258">
        <v>208</v>
      </c>
      <c r="H258" s="13">
        <f t="shared" si="32"/>
        <v>-7.7831728503952036E-4</v>
      </c>
      <c r="I258">
        <f t="shared" si="33"/>
        <v>156.12848528828687</v>
      </c>
      <c r="J258">
        <f t="shared" si="28"/>
        <v>666.33936694837428</v>
      </c>
      <c r="K258" s="27">
        <f t="shared" si="29"/>
        <v>-345.57840075701353</v>
      </c>
    </row>
    <row r="259" spans="1:11">
      <c r="A259" s="26">
        <v>209</v>
      </c>
      <c r="B259" s="82">
        <f t="shared" si="30"/>
        <v>0</v>
      </c>
      <c r="C259" s="58">
        <f t="shared" si="26"/>
        <v>156.29037528357509</v>
      </c>
      <c r="D259" s="83">
        <f t="shared" si="31"/>
        <v>666.66666666666663</v>
      </c>
      <c r="E259">
        <f t="shared" si="27"/>
        <v>0</v>
      </c>
      <c r="G259">
        <v>209</v>
      </c>
      <c r="H259" s="13">
        <f t="shared" si="32"/>
        <v>-7.7831728503952036E-4</v>
      </c>
      <c r="I259">
        <f t="shared" si="33"/>
        <v>156.12770697100183</v>
      </c>
      <c r="J259">
        <f t="shared" si="28"/>
        <v>666.33778853727574</v>
      </c>
      <c r="K259" s="27">
        <f t="shared" si="29"/>
        <v>-345.57676353466854</v>
      </c>
    </row>
    <row r="260" spans="1:11">
      <c r="A260" s="26">
        <v>210</v>
      </c>
      <c r="B260" s="82">
        <f t="shared" si="30"/>
        <v>0</v>
      </c>
      <c r="C260" s="58">
        <f t="shared" si="26"/>
        <v>156.29037528357509</v>
      </c>
      <c r="D260" s="83">
        <f t="shared" si="31"/>
        <v>666.66666666666663</v>
      </c>
      <c r="E260">
        <f t="shared" si="27"/>
        <v>0</v>
      </c>
      <c r="G260">
        <v>210</v>
      </c>
      <c r="H260" s="13">
        <f t="shared" si="32"/>
        <v>-7.7831728503952036E-4</v>
      </c>
      <c r="I260">
        <f t="shared" si="33"/>
        <v>156.12692865371679</v>
      </c>
      <c r="J260">
        <f t="shared" si="28"/>
        <v>666.33621007948841</v>
      </c>
      <c r="K260" s="27">
        <f t="shared" si="29"/>
        <v>-345.57512626777253</v>
      </c>
    </row>
    <row r="261" spans="1:11">
      <c r="A261" s="26">
        <v>211</v>
      </c>
      <c r="B261" s="82">
        <f t="shared" si="30"/>
        <v>0</v>
      </c>
      <c r="C261" s="58">
        <f t="shared" si="26"/>
        <v>156.29037528357509</v>
      </c>
      <c r="D261" s="83">
        <f t="shared" si="31"/>
        <v>666.66666666666663</v>
      </c>
      <c r="E261">
        <f t="shared" si="27"/>
        <v>0</v>
      </c>
      <c r="G261">
        <v>211</v>
      </c>
      <c r="H261" s="13">
        <f t="shared" si="32"/>
        <v>-7.7831728503952036E-4</v>
      </c>
      <c r="I261">
        <f t="shared" si="33"/>
        <v>156.12615033643175</v>
      </c>
      <c r="J261">
        <f t="shared" si="28"/>
        <v>666.33463157500898</v>
      </c>
      <c r="K261" s="27">
        <f t="shared" si="29"/>
        <v>-345.57348895632248</v>
      </c>
    </row>
    <row r="262" spans="1:11">
      <c r="A262" s="26">
        <v>212</v>
      </c>
      <c r="B262" s="82">
        <f t="shared" si="30"/>
        <v>0</v>
      </c>
      <c r="C262" s="58">
        <f t="shared" si="26"/>
        <v>156.29037528357509</v>
      </c>
      <c r="D262" s="83">
        <f t="shared" si="31"/>
        <v>666.66666666666663</v>
      </c>
      <c r="E262">
        <f t="shared" si="27"/>
        <v>0</v>
      </c>
      <c r="G262">
        <v>212</v>
      </c>
      <c r="H262" s="13">
        <f t="shared" si="32"/>
        <v>-7.7831728503952036E-4</v>
      </c>
      <c r="I262">
        <f t="shared" si="33"/>
        <v>156.12537201914671</v>
      </c>
      <c r="J262">
        <f t="shared" si="28"/>
        <v>666.33305302383394</v>
      </c>
      <c r="K262" s="27">
        <f t="shared" si="29"/>
        <v>-345.57185160031491</v>
      </c>
    </row>
    <row r="263" spans="1:11">
      <c r="A263" s="26">
        <v>213</v>
      </c>
      <c r="B263" s="82">
        <f t="shared" si="30"/>
        <v>0</v>
      </c>
      <c r="C263" s="58">
        <f t="shared" si="26"/>
        <v>156.29037528357509</v>
      </c>
      <c r="D263" s="83">
        <f t="shared" si="31"/>
        <v>666.66666666666663</v>
      </c>
      <c r="E263">
        <f t="shared" si="27"/>
        <v>0</v>
      </c>
      <c r="G263">
        <v>213</v>
      </c>
      <c r="H263" s="13">
        <f t="shared" si="32"/>
        <v>-7.7831728503952036E-4</v>
      </c>
      <c r="I263">
        <f t="shared" si="33"/>
        <v>156.12459370186167</v>
      </c>
      <c r="J263">
        <f t="shared" si="28"/>
        <v>666.3314744259601</v>
      </c>
      <c r="K263" s="27">
        <f t="shared" si="29"/>
        <v>-345.57021419974734</v>
      </c>
    </row>
    <row r="264" spans="1:11">
      <c r="A264" s="26">
        <v>214</v>
      </c>
      <c r="B264" s="82">
        <f t="shared" si="30"/>
        <v>0</v>
      </c>
      <c r="C264" s="58">
        <f t="shared" si="26"/>
        <v>156.29037528357509</v>
      </c>
      <c r="D264" s="83">
        <f t="shared" si="31"/>
        <v>666.66666666666663</v>
      </c>
      <c r="E264">
        <f t="shared" si="27"/>
        <v>0</v>
      </c>
      <c r="G264">
        <v>214</v>
      </c>
      <c r="H264" s="13">
        <f t="shared" si="32"/>
        <v>-7.7831728503952036E-4</v>
      </c>
      <c r="I264">
        <f t="shared" si="33"/>
        <v>156.12381538457663</v>
      </c>
      <c r="J264">
        <f t="shared" si="28"/>
        <v>666.32989578138415</v>
      </c>
      <c r="K264" s="27">
        <f t="shared" si="29"/>
        <v>-345.56857675461623</v>
      </c>
    </row>
    <row r="265" spans="1:11">
      <c r="A265" s="26">
        <v>215</v>
      </c>
      <c r="B265" s="82">
        <f t="shared" si="30"/>
        <v>0</v>
      </c>
      <c r="C265" s="58">
        <f t="shared" si="26"/>
        <v>156.29037528357509</v>
      </c>
      <c r="D265" s="83">
        <f t="shared" si="31"/>
        <v>666.66666666666663</v>
      </c>
      <c r="E265">
        <f t="shared" si="27"/>
        <v>0</v>
      </c>
      <c r="G265">
        <v>215</v>
      </c>
      <c r="H265" s="13">
        <f t="shared" si="32"/>
        <v>-7.7831728503952036E-4</v>
      </c>
      <c r="I265">
        <f t="shared" si="33"/>
        <v>156.12303706729159</v>
      </c>
      <c r="J265">
        <f t="shared" si="28"/>
        <v>666.3283170901027</v>
      </c>
      <c r="K265" s="27">
        <f t="shared" si="29"/>
        <v>-345.56693926491852</v>
      </c>
    </row>
    <row r="266" spans="1:11">
      <c r="A266" s="26">
        <v>216</v>
      </c>
      <c r="B266" s="82">
        <f t="shared" si="30"/>
        <v>0</v>
      </c>
      <c r="C266" s="58">
        <f t="shared" si="26"/>
        <v>156.29037528357509</v>
      </c>
      <c r="D266" s="83">
        <f t="shared" si="31"/>
        <v>666.66666666666663</v>
      </c>
      <c r="E266">
        <f t="shared" si="27"/>
        <v>0</v>
      </c>
      <c r="G266">
        <v>216</v>
      </c>
      <c r="H266" s="13">
        <f t="shared" si="32"/>
        <v>-7.7831728503952036E-4</v>
      </c>
      <c r="I266">
        <f t="shared" si="33"/>
        <v>156.12225875000655</v>
      </c>
      <c r="J266">
        <f t="shared" si="28"/>
        <v>666.32673835211244</v>
      </c>
      <c r="K266" s="27">
        <f t="shared" si="29"/>
        <v>-345.56530173065113</v>
      </c>
    </row>
    <row r="267" spans="1:11">
      <c r="A267" s="26">
        <v>217</v>
      </c>
      <c r="B267" s="82">
        <f t="shared" si="30"/>
        <v>0</v>
      </c>
      <c r="C267" s="58">
        <f t="shared" si="26"/>
        <v>156.29037528357509</v>
      </c>
      <c r="D267" s="83">
        <f t="shared" si="31"/>
        <v>666.66666666666663</v>
      </c>
      <c r="E267">
        <f t="shared" si="27"/>
        <v>0</v>
      </c>
      <c r="G267">
        <v>217</v>
      </c>
      <c r="H267" s="13">
        <f t="shared" si="32"/>
        <v>-7.7831728503952036E-4</v>
      </c>
      <c r="I267">
        <f t="shared" si="33"/>
        <v>156.12148043272151</v>
      </c>
      <c r="J267">
        <f t="shared" si="28"/>
        <v>666.32515956741008</v>
      </c>
      <c r="K267" s="27">
        <f t="shared" si="29"/>
        <v>-345.563664151811</v>
      </c>
    </row>
    <row r="268" spans="1:11">
      <c r="A268" s="26">
        <v>218</v>
      </c>
      <c r="B268" s="82">
        <f t="shared" si="30"/>
        <v>0</v>
      </c>
      <c r="C268" s="58">
        <f t="shared" si="26"/>
        <v>156.29037528357509</v>
      </c>
      <c r="D268" s="83">
        <f t="shared" si="31"/>
        <v>666.66666666666663</v>
      </c>
      <c r="E268">
        <f t="shared" si="27"/>
        <v>0</v>
      </c>
      <c r="G268">
        <v>218</v>
      </c>
      <c r="H268" s="13">
        <f t="shared" si="32"/>
        <v>-7.7831728503952036E-4</v>
      </c>
      <c r="I268">
        <f t="shared" si="33"/>
        <v>156.12070211543647</v>
      </c>
      <c r="J268">
        <f t="shared" si="28"/>
        <v>666.3235807359921</v>
      </c>
      <c r="K268" s="27">
        <f t="shared" si="29"/>
        <v>-345.56202652839494</v>
      </c>
    </row>
    <row r="269" spans="1:11">
      <c r="A269" s="26">
        <v>219</v>
      </c>
      <c r="B269" s="82">
        <f t="shared" si="30"/>
        <v>0</v>
      </c>
      <c r="C269" s="58">
        <f t="shared" si="26"/>
        <v>156.29037528357509</v>
      </c>
      <c r="D269" s="83">
        <f t="shared" si="31"/>
        <v>666.66666666666663</v>
      </c>
      <c r="E269">
        <f t="shared" si="27"/>
        <v>0</v>
      </c>
      <c r="G269">
        <v>219</v>
      </c>
      <c r="H269" s="13">
        <f t="shared" si="32"/>
        <v>-7.7831728503952036E-4</v>
      </c>
      <c r="I269">
        <f t="shared" si="33"/>
        <v>156.11992379815143</v>
      </c>
      <c r="J269">
        <f t="shared" si="28"/>
        <v>666.32200185785541</v>
      </c>
      <c r="K269" s="27">
        <f t="shared" si="29"/>
        <v>-345.56038886039988</v>
      </c>
    </row>
    <row r="270" spans="1:11">
      <c r="A270" s="26">
        <v>220</v>
      </c>
      <c r="B270" s="82">
        <f t="shared" si="30"/>
        <v>0</v>
      </c>
      <c r="C270" s="58">
        <f t="shared" si="26"/>
        <v>156.29037528357509</v>
      </c>
      <c r="D270" s="83">
        <f t="shared" si="31"/>
        <v>666.66666666666663</v>
      </c>
      <c r="E270">
        <f t="shared" si="27"/>
        <v>0</v>
      </c>
      <c r="G270">
        <v>220</v>
      </c>
      <c r="H270" s="13">
        <f t="shared" si="32"/>
        <v>-7.7831728503952036E-4</v>
      </c>
      <c r="I270">
        <f t="shared" si="33"/>
        <v>156.11914548086639</v>
      </c>
      <c r="J270">
        <f t="shared" si="28"/>
        <v>666.32042293299639</v>
      </c>
      <c r="K270" s="27">
        <f t="shared" si="29"/>
        <v>-345.55875114782253</v>
      </c>
    </row>
    <row r="271" spans="1:11">
      <c r="A271" s="26">
        <v>221</v>
      </c>
      <c r="B271" s="82">
        <f t="shared" si="30"/>
        <v>0</v>
      </c>
      <c r="C271" s="58">
        <f t="shared" si="26"/>
        <v>156.29037528357509</v>
      </c>
      <c r="D271" s="83">
        <f t="shared" si="31"/>
        <v>666.66666666666663</v>
      </c>
      <c r="E271">
        <f t="shared" si="27"/>
        <v>0</v>
      </c>
      <c r="G271">
        <v>221</v>
      </c>
      <c r="H271" s="13">
        <f t="shared" si="32"/>
        <v>-7.7831728503952036E-4</v>
      </c>
      <c r="I271">
        <f t="shared" si="33"/>
        <v>156.11836716358135</v>
      </c>
      <c r="J271">
        <f t="shared" si="28"/>
        <v>666.31884396141197</v>
      </c>
      <c r="K271" s="27">
        <f t="shared" si="29"/>
        <v>-345.55711339066016</v>
      </c>
    </row>
    <row r="272" spans="1:11">
      <c r="A272" s="26">
        <v>222</v>
      </c>
      <c r="B272" s="82">
        <f t="shared" si="30"/>
        <v>0</v>
      </c>
      <c r="C272" s="58">
        <f t="shared" ref="C272:C335" si="34">($C$37-$C$36)/2000+C271</f>
        <v>156.29037528357509</v>
      </c>
      <c r="D272" s="83">
        <f t="shared" si="31"/>
        <v>666.66666666666663</v>
      </c>
      <c r="E272">
        <f t="shared" si="27"/>
        <v>0</v>
      </c>
      <c r="G272">
        <v>222</v>
      </c>
      <c r="H272" s="13">
        <f t="shared" si="32"/>
        <v>-7.7831728503952036E-4</v>
      </c>
      <c r="I272">
        <f t="shared" si="33"/>
        <v>156.11758884629631</v>
      </c>
      <c r="J272">
        <f t="shared" si="28"/>
        <v>666.31726494309873</v>
      </c>
      <c r="K272" s="27">
        <f t="shared" si="29"/>
        <v>-345.5554755889093</v>
      </c>
    </row>
    <row r="273" spans="1:11">
      <c r="A273" s="26">
        <v>223</v>
      </c>
      <c r="B273" s="82">
        <f t="shared" si="30"/>
        <v>0</v>
      </c>
      <c r="C273" s="58">
        <f t="shared" si="34"/>
        <v>156.29037528357509</v>
      </c>
      <c r="D273" s="83">
        <f t="shared" si="31"/>
        <v>666.66666666666663</v>
      </c>
      <c r="E273">
        <f t="shared" si="27"/>
        <v>0</v>
      </c>
      <c r="G273">
        <v>223</v>
      </c>
      <c r="H273" s="13">
        <f t="shared" si="32"/>
        <v>-7.7831728503952036E-4</v>
      </c>
      <c r="I273">
        <f t="shared" si="33"/>
        <v>156.11681052901127</v>
      </c>
      <c r="J273">
        <f t="shared" si="28"/>
        <v>666.31568587805327</v>
      </c>
      <c r="K273" s="27">
        <f t="shared" si="29"/>
        <v>-345.55383774256694</v>
      </c>
    </row>
    <row r="274" spans="1:11">
      <c r="A274" s="26">
        <v>224</v>
      </c>
      <c r="B274" s="82">
        <f t="shared" si="30"/>
        <v>0</v>
      </c>
      <c r="C274" s="58">
        <f t="shared" si="34"/>
        <v>156.29037528357509</v>
      </c>
      <c r="D274" s="83">
        <f t="shared" si="31"/>
        <v>666.66666666666663</v>
      </c>
      <c r="E274">
        <f t="shared" si="27"/>
        <v>0</v>
      </c>
      <c r="G274">
        <v>224</v>
      </c>
      <c r="H274" s="13">
        <f t="shared" si="32"/>
        <v>-7.7831728503952036E-4</v>
      </c>
      <c r="I274">
        <f t="shared" si="33"/>
        <v>156.11603221172624</v>
      </c>
      <c r="J274">
        <f t="shared" si="28"/>
        <v>666.31410676627229</v>
      </c>
      <c r="K274" s="27">
        <f t="shared" si="29"/>
        <v>-345.55219985163006</v>
      </c>
    </row>
    <row r="275" spans="1:11">
      <c r="A275" s="26">
        <v>225</v>
      </c>
      <c r="B275" s="82">
        <f t="shared" si="30"/>
        <v>0</v>
      </c>
      <c r="C275" s="58">
        <f t="shared" si="34"/>
        <v>156.29037528357509</v>
      </c>
      <c r="D275" s="83">
        <f t="shared" si="31"/>
        <v>666.66666666666663</v>
      </c>
      <c r="E275">
        <f t="shared" si="27"/>
        <v>0</v>
      </c>
      <c r="G275">
        <v>225</v>
      </c>
      <c r="H275" s="13">
        <f t="shared" si="32"/>
        <v>-7.7831728503952036E-4</v>
      </c>
      <c r="I275">
        <f t="shared" si="33"/>
        <v>156.1152538944412</v>
      </c>
      <c r="J275">
        <f t="shared" si="28"/>
        <v>666.31252760775249</v>
      </c>
      <c r="K275" s="27">
        <f t="shared" si="29"/>
        <v>-345.55056191609538</v>
      </c>
    </row>
    <row r="276" spans="1:11">
      <c r="A276" s="26">
        <v>226</v>
      </c>
      <c r="B276" s="82">
        <f t="shared" si="30"/>
        <v>0</v>
      </c>
      <c r="C276" s="58">
        <f t="shared" si="34"/>
        <v>156.29037528357509</v>
      </c>
      <c r="D276" s="83">
        <f t="shared" si="31"/>
        <v>666.66666666666663</v>
      </c>
      <c r="E276">
        <f t="shared" si="27"/>
        <v>0</v>
      </c>
      <c r="G276">
        <v>226</v>
      </c>
      <c r="H276" s="13">
        <f t="shared" si="32"/>
        <v>-7.7831728503952036E-4</v>
      </c>
      <c r="I276">
        <f t="shared" si="33"/>
        <v>156.11447557715616</v>
      </c>
      <c r="J276">
        <f t="shared" si="28"/>
        <v>666.31094840249045</v>
      </c>
      <c r="K276" s="27">
        <f t="shared" si="29"/>
        <v>-345.54892393595975</v>
      </c>
    </row>
    <row r="277" spans="1:11">
      <c r="A277" s="26">
        <v>227</v>
      </c>
      <c r="B277" s="82">
        <f t="shared" si="30"/>
        <v>0</v>
      </c>
      <c r="C277" s="58">
        <f t="shared" si="34"/>
        <v>156.29037528357509</v>
      </c>
      <c r="D277" s="83">
        <f t="shared" si="31"/>
        <v>666.66666666666663</v>
      </c>
      <c r="E277">
        <f t="shared" si="27"/>
        <v>0</v>
      </c>
      <c r="G277">
        <v>227</v>
      </c>
      <c r="H277" s="13">
        <f t="shared" si="32"/>
        <v>-7.7831728503952036E-4</v>
      </c>
      <c r="I277">
        <f t="shared" si="33"/>
        <v>156.11369725987112</v>
      </c>
      <c r="J277">
        <f t="shared" si="28"/>
        <v>666.30936915048278</v>
      </c>
      <c r="K277" s="27">
        <f t="shared" si="29"/>
        <v>-345.54728591122034</v>
      </c>
    </row>
    <row r="278" spans="1:11">
      <c r="A278" s="26">
        <v>228</v>
      </c>
      <c r="B278" s="82">
        <f t="shared" si="30"/>
        <v>0</v>
      </c>
      <c r="C278" s="58">
        <f t="shared" si="34"/>
        <v>156.29037528357509</v>
      </c>
      <c r="D278" s="83">
        <f t="shared" si="31"/>
        <v>666.66666666666663</v>
      </c>
      <c r="E278">
        <f t="shared" si="27"/>
        <v>0</v>
      </c>
      <c r="G278">
        <v>228</v>
      </c>
      <c r="H278" s="13">
        <f t="shared" si="32"/>
        <v>-7.7831728503952036E-4</v>
      </c>
      <c r="I278">
        <f t="shared" si="33"/>
        <v>156.11291894258608</v>
      </c>
      <c r="J278">
        <f t="shared" si="28"/>
        <v>666.3077898517264</v>
      </c>
      <c r="K278" s="27">
        <f t="shared" si="29"/>
        <v>-345.54564784187374</v>
      </c>
    </row>
    <row r="279" spans="1:11">
      <c r="A279" s="26">
        <v>229</v>
      </c>
      <c r="B279" s="82">
        <f t="shared" si="30"/>
        <v>0</v>
      </c>
      <c r="C279" s="58">
        <f t="shared" si="34"/>
        <v>156.29037528357509</v>
      </c>
      <c r="D279" s="83">
        <f t="shared" si="31"/>
        <v>666.66666666666663</v>
      </c>
      <c r="E279">
        <f t="shared" si="27"/>
        <v>0</v>
      </c>
      <c r="G279">
        <v>229</v>
      </c>
      <c r="H279" s="13">
        <f t="shared" si="32"/>
        <v>-7.7831728503952036E-4</v>
      </c>
      <c r="I279">
        <f t="shared" si="33"/>
        <v>156.11214062530104</v>
      </c>
      <c r="J279">
        <f t="shared" si="28"/>
        <v>666.30621050621778</v>
      </c>
      <c r="K279" s="27">
        <f t="shared" si="29"/>
        <v>-345.544009727917</v>
      </c>
    </row>
    <row r="280" spans="1:11">
      <c r="A280" s="26">
        <v>230</v>
      </c>
      <c r="B280" s="82">
        <f t="shared" si="30"/>
        <v>0</v>
      </c>
      <c r="C280" s="58">
        <f t="shared" si="34"/>
        <v>156.29037528357509</v>
      </c>
      <c r="D280" s="83">
        <f t="shared" si="31"/>
        <v>666.66666666666663</v>
      </c>
      <c r="E280">
        <f t="shared" si="27"/>
        <v>0</v>
      </c>
      <c r="G280">
        <v>230</v>
      </c>
      <c r="H280" s="13">
        <f t="shared" si="32"/>
        <v>-7.7831728503952036E-4</v>
      </c>
      <c r="I280">
        <f t="shared" si="33"/>
        <v>156.111362308016</v>
      </c>
      <c r="J280">
        <f t="shared" si="28"/>
        <v>666.30463111395352</v>
      </c>
      <c r="K280" s="27">
        <f t="shared" si="29"/>
        <v>-345.54237156934693</v>
      </c>
    </row>
    <row r="281" spans="1:11">
      <c r="A281" s="26">
        <v>231</v>
      </c>
      <c r="B281" s="82">
        <f t="shared" si="30"/>
        <v>0</v>
      </c>
      <c r="C281" s="58">
        <f t="shared" si="34"/>
        <v>156.29037528357509</v>
      </c>
      <c r="D281" s="83">
        <f t="shared" si="31"/>
        <v>666.66666666666663</v>
      </c>
      <c r="E281">
        <f t="shared" si="27"/>
        <v>0</v>
      </c>
      <c r="G281">
        <v>231</v>
      </c>
      <c r="H281" s="13">
        <f t="shared" si="32"/>
        <v>-7.7831728503952036E-4</v>
      </c>
      <c r="I281">
        <f t="shared" si="33"/>
        <v>156.11058399073096</v>
      </c>
      <c r="J281">
        <f t="shared" si="28"/>
        <v>666.30305167493043</v>
      </c>
      <c r="K281" s="27">
        <f t="shared" si="29"/>
        <v>-345.54073336616028</v>
      </c>
    </row>
    <row r="282" spans="1:11">
      <c r="A282" s="26">
        <v>232</v>
      </c>
      <c r="B282" s="82">
        <f t="shared" si="30"/>
        <v>0</v>
      </c>
      <c r="C282" s="58">
        <f t="shared" si="34"/>
        <v>156.29037528357509</v>
      </c>
      <c r="D282" s="83">
        <f t="shared" si="31"/>
        <v>666.66666666666663</v>
      </c>
      <c r="E282">
        <f t="shared" si="27"/>
        <v>0</v>
      </c>
      <c r="G282">
        <v>232</v>
      </c>
      <c r="H282" s="13">
        <f t="shared" si="32"/>
        <v>-7.7831728503952036E-4</v>
      </c>
      <c r="I282">
        <f t="shared" si="33"/>
        <v>156.10980567344592</v>
      </c>
      <c r="J282">
        <f t="shared" si="28"/>
        <v>666.30147218914499</v>
      </c>
      <c r="K282" s="27">
        <f t="shared" si="29"/>
        <v>-345.53909511835417</v>
      </c>
    </row>
    <row r="283" spans="1:11">
      <c r="A283" s="26">
        <v>233</v>
      </c>
      <c r="B283" s="82">
        <f t="shared" si="30"/>
        <v>0</v>
      </c>
      <c r="C283" s="58">
        <f t="shared" si="34"/>
        <v>156.29037528357509</v>
      </c>
      <c r="D283" s="83">
        <f t="shared" si="31"/>
        <v>666.66666666666663</v>
      </c>
      <c r="E283">
        <f t="shared" si="27"/>
        <v>0</v>
      </c>
      <c r="G283">
        <v>233</v>
      </c>
      <c r="H283" s="13">
        <f t="shared" si="32"/>
        <v>-7.7831728503952036E-4</v>
      </c>
      <c r="I283">
        <f t="shared" si="33"/>
        <v>156.10902735616088</v>
      </c>
      <c r="J283">
        <f t="shared" si="28"/>
        <v>666.29989265659412</v>
      </c>
      <c r="K283" s="27">
        <f t="shared" si="29"/>
        <v>-345.5374568259254</v>
      </c>
    </row>
    <row r="284" spans="1:11">
      <c r="A284" s="26">
        <v>234</v>
      </c>
      <c r="B284" s="82">
        <f t="shared" si="30"/>
        <v>0</v>
      </c>
      <c r="C284" s="58">
        <f t="shared" si="34"/>
        <v>156.29037528357509</v>
      </c>
      <c r="D284" s="83">
        <f t="shared" si="31"/>
        <v>666.66666666666663</v>
      </c>
      <c r="E284">
        <f t="shared" si="27"/>
        <v>0</v>
      </c>
      <c r="G284">
        <v>234</v>
      </c>
      <c r="H284" s="13">
        <f t="shared" si="32"/>
        <v>-7.7831728503952036E-4</v>
      </c>
      <c r="I284">
        <f t="shared" si="33"/>
        <v>156.10824903887584</v>
      </c>
      <c r="J284">
        <f t="shared" si="28"/>
        <v>666.2983130772742</v>
      </c>
      <c r="K284" s="27">
        <f t="shared" si="29"/>
        <v>-345.5358184888708</v>
      </c>
    </row>
    <row r="285" spans="1:11">
      <c r="A285" s="26">
        <v>235</v>
      </c>
      <c r="B285" s="82">
        <f t="shared" si="30"/>
        <v>0</v>
      </c>
      <c r="C285" s="58">
        <f t="shared" si="34"/>
        <v>156.29037528357509</v>
      </c>
      <c r="D285" s="83">
        <f t="shared" si="31"/>
        <v>666.66666666666663</v>
      </c>
      <c r="E285">
        <f t="shared" si="27"/>
        <v>0</v>
      </c>
      <c r="G285">
        <v>235</v>
      </c>
      <c r="H285" s="13">
        <f t="shared" si="32"/>
        <v>-7.7831728503952036E-4</v>
      </c>
      <c r="I285">
        <f t="shared" si="33"/>
        <v>156.1074707215908</v>
      </c>
      <c r="J285">
        <f t="shared" si="28"/>
        <v>666.29673345118215</v>
      </c>
      <c r="K285" s="27">
        <f t="shared" si="29"/>
        <v>-345.53418010718724</v>
      </c>
    </row>
    <row r="286" spans="1:11">
      <c r="A286" s="26">
        <v>236</v>
      </c>
      <c r="B286" s="82">
        <f t="shared" si="30"/>
        <v>0</v>
      </c>
      <c r="C286" s="58">
        <f t="shared" si="34"/>
        <v>156.29037528357509</v>
      </c>
      <c r="D286" s="83">
        <f t="shared" si="31"/>
        <v>666.66666666666663</v>
      </c>
      <c r="E286">
        <f t="shared" si="27"/>
        <v>0</v>
      </c>
      <c r="G286">
        <v>236</v>
      </c>
      <c r="H286" s="13">
        <f t="shared" si="32"/>
        <v>-7.7831728503952036E-4</v>
      </c>
      <c r="I286">
        <f t="shared" si="33"/>
        <v>156.10669240430576</v>
      </c>
      <c r="J286">
        <f t="shared" si="28"/>
        <v>666.29515377831433</v>
      </c>
      <c r="K286" s="27">
        <f t="shared" si="29"/>
        <v>-345.53254168087165</v>
      </c>
    </row>
    <row r="287" spans="1:11">
      <c r="A287" s="26">
        <v>237</v>
      </c>
      <c r="B287" s="82">
        <f t="shared" si="30"/>
        <v>0</v>
      </c>
      <c r="C287" s="58">
        <f t="shared" si="34"/>
        <v>156.29037528357509</v>
      </c>
      <c r="D287" s="83">
        <f t="shared" si="31"/>
        <v>666.66666666666663</v>
      </c>
      <c r="E287">
        <f t="shared" si="27"/>
        <v>0</v>
      </c>
      <c r="G287">
        <v>237</v>
      </c>
      <c r="H287" s="13">
        <f t="shared" si="32"/>
        <v>-7.7831728503952036E-4</v>
      </c>
      <c r="I287">
        <f t="shared" si="33"/>
        <v>156.10591408702072</v>
      </c>
      <c r="J287">
        <f t="shared" si="28"/>
        <v>666.29357405866767</v>
      </c>
      <c r="K287" s="27">
        <f t="shared" si="29"/>
        <v>-345.53090320992095</v>
      </c>
    </row>
    <row r="288" spans="1:11">
      <c r="A288" s="26">
        <v>238</v>
      </c>
      <c r="B288" s="82">
        <f t="shared" si="30"/>
        <v>0</v>
      </c>
      <c r="C288" s="58">
        <f t="shared" si="34"/>
        <v>156.29037528357509</v>
      </c>
      <c r="D288" s="83">
        <f t="shared" si="31"/>
        <v>666.66666666666663</v>
      </c>
      <c r="E288">
        <f t="shared" si="27"/>
        <v>0</v>
      </c>
      <c r="G288">
        <v>238</v>
      </c>
      <c r="H288" s="13">
        <f t="shared" si="32"/>
        <v>-7.7831728503952036E-4</v>
      </c>
      <c r="I288">
        <f t="shared" si="33"/>
        <v>156.10513576973568</v>
      </c>
      <c r="J288">
        <f t="shared" si="28"/>
        <v>666.29199429223866</v>
      </c>
      <c r="K288" s="27">
        <f t="shared" si="29"/>
        <v>-345.52926469433174</v>
      </c>
    </row>
    <row r="289" spans="1:11">
      <c r="A289" s="26">
        <v>239</v>
      </c>
      <c r="B289" s="82">
        <f t="shared" si="30"/>
        <v>0</v>
      </c>
      <c r="C289" s="58">
        <f t="shared" si="34"/>
        <v>156.29037528357509</v>
      </c>
      <c r="D289" s="83">
        <f t="shared" si="31"/>
        <v>666.66666666666663</v>
      </c>
      <c r="E289">
        <f t="shared" si="27"/>
        <v>0</v>
      </c>
      <c r="G289">
        <v>239</v>
      </c>
      <c r="H289" s="13">
        <f t="shared" si="32"/>
        <v>-7.7831728503952036E-4</v>
      </c>
      <c r="I289">
        <f t="shared" si="33"/>
        <v>156.10435745245064</v>
      </c>
      <c r="J289">
        <f t="shared" si="28"/>
        <v>666.29041447902398</v>
      </c>
      <c r="K289" s="27">
        <f t="shared" si="29"/>
        <v>-345.52762613410124</v>
      </c>
    </row>
    <row r="290" spans="1:11">
      <c r="A290" s="26">
        <v>240</v>
      </c>
      <c r="B290" s="82">
        <f t="shared" si="30"/>
        <v>0</v>
      </c>
      <c r="C290" s="58">
        <f t="shared" si="34"/>
        <v>156.29037528357509</v>
      </c>
      <c r="D290" s="83">
        <f t="shared" si="31"/>
        <v>666.66666666666663</v>
      </c>
      <c r="E290">
        <f t="shared" si="27"/>
        <v>0</v>
      </c>
      <c r="G290">
        <v>240</v>
      </c>
      <c r="H290" s="13">
        <f t="shared" si="32"/>
        <v>-7.7831728503952036E-4</v>
      </c>
      <c r="I290">
        <f t="shared" si="33"/>
        <v>156.1035791351656</v>
      </c>
      <c r="J290">
        <f t="shared" si="28"/>
        <v>666.28883461902035</v>
      </c>
      <c r="K290" s="27">
        <f t="shared" si="29"/>
        <v>-345.52598752922614</v>
      </c>
    </row>
    <row r="291" spans="1:11">
      <c r="A291" s="26">
        <v>241</v>
      </c>
      <c r="B291" s="82">
        <f t="shared" si="30"/>
        <v>0</v>
      </c>
      <c r="C291" s="58">
        <f t="shared" si="34"/>
        <v>156.29037528357509</v>
      </c>
      <c r="D291" s="83">
        <f t="shared" si="31"/>
        <v>666.66666666666663</v>
      </c>
      <c r="E291">
        <f t="shared" si="27"/>
        <v>0</v>
      </c>
      <c r="G291">
        <v>241</v>
      </c>
      <c r="H291" s="13">
        <f t="shared" si="32"/>
        <v>-7.7831728503952036E-4</v>
      </c>
      <c r="I291">
        <f t="shared" si="33"/>
        <v>156.10280081788056</v>
      </c>
      <c r="J291">
        <f t="shared" si="28"/>
        <v>666.28725471222435</v>
      </c>
      <c r="K291" s="27">
        <f t="shared" si="29"/>
        <v>-345.52434887970338</v>
      </c>
    </row>
    <row r="292" spans="1:11">
      <c r="A292" s="26">
        <v>242</v>
      </c>
      <c r="B292" s="82">
        <f t="shared" si="30"/>
        <v>0</v>
      </c>
      <c r="C292" s="58">
        <f t="shared" si="34"/>
        <v>156.29037528357509</v>
      </c>
      <c r="D292" s="83">
        <f t="shared" si="31"/>
        <v>666.66666666666663</v>
      </c>
      <c r="E292">
        <f t="shared" si="27"/>
        <v>0</v>
      </c>
      <c r="G292">
        <v>242</v>
      </c>
      <c r="H292" s="13">
        <f t="shared" si="32"/>
        <v>-7.7831728503952036E-4</v>
      </c>
      <c r="I292">
        <f t="shared" si="33"/>
        <v>156.10202250059552</v>
      </c>
      <c r="J292">
        <f t="shared" si="28"/>
        <v>666.28567475863269</v>
      </c>
      <c r="K292" s="27">
        <f t="shared" si="29"/>
        <v>-345.52271018552983</v>
      </c>
    </row>
    <row r="293" spans="1:11">
      <c r="A293" s="26">
        <v>243</v>
      </c>
      <c r="B293" s="82">
        <f t="shared" si="30"/>
        <v>0</v>
      </c>
      <c r="C293" s="58">
        <f t="shared" si="34"/>
        <v>156.29037528357509</v>
      </c>
      <c r="D293" s="83">
        <f t="shared" si="31"/>
        <v>666.66666666666663</v>
      </c>
      <c r="E293">
        <f t="shared" si="27"/>
        <v>0</v>
      </c>
      <c r="G293">
        <v>243</v>
      </c>
      <c r="H293" s="13">
        <f t="shared" si="32"/>
        <v>-7.7831728503952036E-4</v>
      </c>
      <c r="I293">
        <f t="shared" si="33"/>
        <v>156.10124418331048</v>
      </c>
      <c r="J293">
        <f t="shared" si="28"/>
        <v>666.28409475824196</v>
      </c>
      <c r="K293" s="27">
        <f t="shared" si="29"/>
        <v>-345.52107144670236</v>
      </c>
    </row>
    <row r="294" spans="1:11">
      <c r="A294" s="26">
        <v>244</v>
      </c>
      <c r="B294" s="82">
        <f t="shared" si="30"/>
        <v>0</v>
      </c>
      <c r="C294" s="58">
        <f t="shared" si="34"/>
        <v>156.29037528357509</v>
      </c>
      <c r="D294" s="83">
        <f t="shared" si="31"/>
        <v>666.66666666666663</v>
      </c>
      <c r="E294">
        <f t="shared" si="27"/>
        <v>0</v>
      </c>
      <c r="G294">
        <v>244</v>
      </c>
      <c r="H294" s="13">
        <f t="shared" si="32"/>
        <v>-7.7831728503952036E-4</v>
      </c>
      <c r="I294">
        <f t="shared" si="33"/>
        <v>156.10046586602544</v>
      </c>
      <c r="J294">
        <f t="shared" si="28"/>
        <v>666.28251471104898</v>
      </c>
      <c r="K294" s="27">
        <f t="shared" si="29"/>
        <v>-345.51943266321786</v>
      </c>
    </row>
    <row r="295" spans="1:11">
      <c r="A295" s="26">
        <v>245</v>
      </c>
      <c r="B295" s="82">
        <f t="shared" si="30"/>
        <v>0</v>
      </c>
      <c r="C295" s="58">
        <f t="shared" si="34"/>
        <v>156.29037528357509</v>
      </c>
      <c r="D295" s="83">
        <f t="shared" si="31"/>
        <v>666.66666666666663</v>
      </c>
      <c r="E295">
        <f t="shared" si="27"/>
        <v>0</v>
      </c>
      <c r="G295">
        <v>245</v>
      </c>
      <c r="H295" s="13">
        <f t="shared" si="32"/>
        <v>-7.7831728503952036E-4</v>
      </c>
      <c r="I295">
        <f t="shared" si="33"/>
        <v>156.09968754874041</v>
      </c>
      <c r="J295">
        <f t="shared" si="28"/>
        <v>666.28093461705021</v>
      </c>
      <c r="K295" s="27">
        <f t="shared" si="29"/>
        <v>-345.51779383507318</v>
      </c>
    </row>
    <row r="296" spans="1:11">
      <c r="A296" s="26">
        <v>246</v>
      </c>
      <c r="B296" s="82">
        <f t="shared" si="30"/>
        <v>0</v>
      </c>
      <c r="C296" s="58">
        <f t="shared" si="34"/>
        <v>156.29037528357509</v>
      </c>
      <c r="D296" s="83">
        <f t="shared" si="31"/>
        <v>666.66666666666663</v>
      </c>
      <c r="E296">
        <f t="shared" si="27"/>
        <v>0</v>
      </c>
      <c r="G296">
        <v>246</v>
      </c>
      <c r="H296" s="13">
        <f t="shared" si="32"/>
        <v>-7.7831728503952036E-4</v>
      </c>
      <c r="I296">
        <f t="shared" si="33"/>
        <v>156.09890923145537</v>
      </c>
      <c r="J296">
        <f t="shared" si="28"/>
        <v>666.27935447624236</v>
      </c>
      <c r="K296" s="27">
        <f t="shared" si="29"/>
        <v>-345.51615496226515</v>
      </c>
    </row>
    <row r="297" spans="1:11">
      <c r="A297" s="26">
        <v>247</v>
      </c>
      <c r="B297" s="82">
        <f t="shared" si="30"/>
        <v>0</v>
      </c>
      <c r="C297" s="58">
        <f t="shared" si="34"/>
        <v>156.29037528357509</v>
      </c>
      <c r="D297" s="83">
        <f t="shared" si="31"/>
        <v>666.66666666666663</v>
      </c>
      <c r="E297">
        <f t="shared" si="27"/>
        <v>0</v>
      </c>
      <c r="G297">
        <v>247</v>
      </c>
      <c r="H297" s="13">
        <f t="shared" si="32"/>
        <v>-7.7831728503952036E-4</v>
      </c>
      <c r="I297">
        <f t="shared" si="33"/>
        <v>156.09813091417033</v>
      </c>
      <c r="J297">
        <f t="shared" si="28"/>
        <v>666.27777428862214</v>
      </c>
      <c r="K297" s="27">
        <f t="shared" si="29"/>
        <v>-345.5145160447907</v>
      </c>
    </row>
    <row r="298" spans="1:11">
      <c r="A298" s="26">
        <v>248</v>
      </c>
      <c r="B298" s="82">
        <f t="shared" si="30"/>
        <v>0</v>
      </c>
      <c r="C298" s="58">
        <f t="shared" si="34"/>
        <v>156.29037528357509</v>
      </c>
      <c r="D298" s="83">
        <f t="shared" si="31"/>
        <v>666.66666666666663</v>
      </c>
      <c r="E298">
        <f t="shared" si="27"/>
        <v>0</v>
      </c>
      <c r="G298">
        <v>248</v>
      </c>
      <c r="H298" s="13">
        <f t="shared" si="32"/>
        <v>-7.7831728503952036E-4</v>
      </c>
      <c r="I298">
        <f t="shared" si="33"/>
        <v>156.09735259688529</v>
      </c>
      <c r="J298">
        <f t="shared" si="28"/>
        <v>666.27619405418602</v>
      </c>
      <c r="K298" s="27">
        <f t="shared" si="29"/>
        <v>-345.51287708264664</v>
      </c>
    </row>
    <row r="299" spans="1:11">
      <c r="A299" s="26">
        <v>249</v>
      </c>
      <c r="B299" s="82">
        <f t="shared" si="30"/>
        <v>0</v>
      </c>
      <c r="C299" s="58">
        <f t="shared" si="34"/>
        <v>156.29037528357509</v>
      </c>
      <c r="D299" s="83">
        <f t="shared" si="31"/>
        <v>666.66666666666663</v>
      </c>
      <c r="E299">
        <f t="shared" si="27"/>
        <v>0</v>
      </c>
      <c r="G299">
        <v>249</v>
      </c>
      <c r="H299" s="13">
        <f t="shared" si="32"/>
        <v>-7.7831728503952036E-4</v>
      </c>
      <c r="I299">
        <f t="shared" si="33"/>
        <v>156.09657427960025</v>
      </c>
      <c r="J299">
        <f t="shared" si="28"/>
        <v>666.27461377293093</v>
      </c>
      <c r="K299" s="27">
        <f t="shared" si="29"/>
        <v>-345.51123807583002</v>
      </c>
    </row>
    <row r="300" spans="1:11">
      <c r="A300" s="26">
        <v>250</v>
      </c>
      <c r="B300" s="82">
        <f t="shared" si="30"/>
        <v>0</v>
      </c>
      <c r="C300" s="58">
        <f t="shared" si="34"/>
        <v>156.29037528357509</v>
      </c>
      <c r="D300" s="83">
        <f t="shared" si="31"/>
        <v>666.66666666666663</v>
      </c>
      <c r="E300">
        <f t="shared" si="27"/>
        <v>0</v>
      </c>
      <c r="G300">
        <v>250</v>
      </c>
      <c r="H300" s="13">
        <f t="shared" si="32"/>
        <v>-7.7831728503952036E-4</v>
      </c>
      <c r="I300">
        <f t="shared" si="33"/>
        <v>156.09579596231521</v>
      </c>
      <c r="J300">
        <f t="shared" si="28"/>
        <v>666.27303344485335</v>
      </c>
      <c r="K300" s="27">
        <f t="shared" si="29"/>
        <v>-345.50959902433743</v>
      </c>
    </row>
    <row r="301" spans="1:11">
      <c r="A301" s="26">
        <v>251</v>
      </c>
      <c r="B301" s="82">
        <f t="shared" si="30"/>
        <v>0</v>
      </c>
      <c r="C301" s="58">
        <f t="shared" si="34"/>
        <v>156.29037528357509</v>
      </c>
      <c r="D301" s="83">
        <f t="shared" si="31"/>
        <v>666.66666666666663</v>
      </c>
      <c r="E301">
        <f t="shared" si="27"/>
        <v>0</v>
      </c>
      <c r="G301">
        <v>251</v>
      </c>
      <c r="H301" s="13">
        <f t="shared" si="32"/>
        <v>-7.7831728503952036E-4</v>
      </c>
      <c r="I301">
        <f t="shared" si="33"/>
        <v>156.09501764503017</v>
      </c>
      <c r="J301">
        <f t="shared" si="28"/>
        <v>666.27145306994987</v>
      </c>
      <c r="K301" s="27">
        <f t="shared" si="29"/>
        <v>-345.50795992816592</v>
      </c>
    </row>
    <row r="302" spans="1:11">
      <c r="A302" s="26">
        <v>252</v>
      </c>
      <c r="B302" s="82">
        <f t="shared" si="30"/>
        <v>0</v>
      </c>
      <c r="C302" s="58">
        <f t="shared" si="34"/>
        <v>156.29037528357509</v>
      </c>
      <c r="D302" s="83">
        <f t="shared" si="31"/>
        <v>666.66666666666663</v>
      </c>
      <c r="E302">
        <f t="shared" si="27"/>
        <v>0</v>
      </c>
      <c r="G302">
        <v>252</v>
      </c>
      <c r="H302" s="13">
        <f t="shared" si="32"/>
        <v>-7.7831728503952036E-4</v>
      </c>
      <c r="I302">
        <f t="shared" si="33"/>
        <v>156.09423932774513</v>
      </c>
      <c r="J302">
        <f t="shared" si="28"/>
        <v>666.2698726482173</v>
      </c>
      <c r="K302" s="27">
        <f t="shared" si="29"/>
        <v>-345.5063207873124</v>
      </c>
    </row>
    <row r="303" spans="1:11">
      <c r="A303" s="26">
        <v>253</v>
      </c>
      <c r="B303" s="82">
        <f t="shared" si="30"/>
        <v>0</v>
      </c>
      <c r="C303" s="58">
        <f t="shared" si="34"/>
        <v>156.29037528357509</v>
      </c>
      <c r="D303" s="83">
        <f t="shared" si="31"/>
        <v>666.66666666666663</v>
      </c>
      <c r="E303">
        <f t="shared" si="27"/>
        <v>0</v>
      </c>
      <c r="G303">
        <v>253</v>
      </c>
      <c r="H303" s="13">
        <f t="shared" si="32"/>
        <v>-7.7831728503952036E-4</v>
      </c>
      <c r="I303">
        <f t="shared" si="33"/>
        <v>156.09346101046009</v>
      </c>
      <c r="J303">
        <f t="shared" si="28"/>
        <v>666.26829217965224</v>
      </c>
      <c r="K303" s="27">
        <f t="shared" si="29"/>
        <v>-345.50468160177365</v>
      </c>
    </row>
    <row r="304" spans="1:11">
      <c r="A304" s="26">
        <v>254</v>
      </c>
      <c r="B304" s="82">
        <f t="shared" si="30"/>
        <v>0</v>
      </c>
      <c r="C304" s="58">
        <f t="shared" si="34"/>
        <v>156.29037528357509</v>
      </c>
      <c r="D304" s="83">
        <f t="shared" si="31"/>
        <v>666.66666666666663</v>
      </c>
      <c r="E304">
        <f t="shared" si="27"/>
        <v>0</v>
      </c>
      <c r="G304">
        <v>254</v>
      </c>
      <c r="H304" s="13">
        <f t="shared" si="32"/>
        <v>-7.7831728503952036E-4</v>
      </c>
      <c r="I304">
        <f t="shared" si="33"/>
        <v>156.09268269317505</v>
      </c>
      <c r="J304">
        <f t="shared" si="28"/>
        <v>666.26671166425126</v>
      </c>
      <c r="K304" s="27">
        <f t="shared" si="29"/>
        <v>-345.50304237154654</v>
      </c>
    </row>
    <row r="305" spans="1:11">
      <c r="A305" s="26">
        <v>255</v>
      </c>
      <c r="B305" s="82">
        <f t="shared" si="30"/>
        <v>0</v>
      </c>
      <c r="C305" s="58">
        <f t="shared" si="34"/>
        <v>156.29037528357509</v>
      </c>
      <c r="D305" s="83">
        <f t="shared" si="31"/>
        <v>666.66666666666663</v>
      </c>
      <c r="E305">
        <f t="shared" si="27"/>
        <v>0</v>
      </c>
      <c r="G305">
        <v>255</v>
      </c>
      <c r="H305" s="13">
        <f t="shared" si="32"/>
        <v>-7.7831728503952036E-4</v>
      </c>
      <c r="I305">
        <f t="shared" si="33"/>
        <v>156.09190437589001</v>
      </c>
      <c r="J305">
        <f t="shared" si="28"/>
        <v>666.26513110201108</v>
      </c>
      <c r="K305" s="27">
        <f t="shared" si="29"/>
        <v>-345.50140309662805</v>
      </c>
    </row>
    <row r="306" spans="1:11">
      <c r="A306" s="26">
        <v>256</v>
      </c>
      <c r="B306" s="82">
        <f t="shared" si="30"/>
        <v>0</v>
      </c>
      <c r="C306" s="58">
        <f t="shared" si="34"/>
        <v>156.29037528357509</v>
      </c>
      <c r="D306" s="83">
        <f t="shared" si="31"/>
        <v>666.66666666666663</v>
      </c>
      <c r="E306">
        <f t="shared" si="27"/>
        <v>0</v>
      </c>
      <c r="G306">
        <v>256</v>
      </c>
      <c r="H306" s="13">
        <f t="shared" si="32"/>
        <v>-7.7831728503952036E-4</v>
      </c>
      <c r="I306">
        <f t="shared" si="33"/>
        <v>156.09112605860497</v>
      </c>
      <c r="J306">
        <f t="shared" si="28"/>
        <v>666.2635504929284</v>
      </c>
      <c r="K306" s="27">
        <f t="shared" si="29"/>
        <v>-345.49976377701483</v>
      </c>
    </row>
    <row r="307" spans="1:11">
      <c r="A307" s="26">
        <v>257</v>
      </c>
      <c r="B307" s="82">
        <f t="shared" si="30"/>
        <v>0</v>
      </c>
      <c r="C307" s="58">
        <f t="shared" si="34"/>
        <v>156.29037528357509</v>
      </c>
      <c r="D307" s="83">
        <f t="shared" si="31"/>
        <v>666.66666666666663</v>
      </c>
      <c r="E307">
        <f t="shared" ref="E307:E370" si="35">((D307^2)+(D307*D308)+(D308^2))*B308/3</f>
        <v>0</v>
      </c>
      <c r="G307">
        <v>257</v>
      </c>
      <c r="H307" s="13">
        <f t="shared" si="32"/>
        <v>-7.7831728503952036E-4</v>
      </c>
      <c r="I307">
        <f t="shared" si="33"/>
        <v>156.09034774131993</v>
      </c>
      <c r="J307">
        <f t="shared" ref="J307:J370" si="36">IF($G$28&lt;$C$14,0,((($C$11^2)-((I307-$C$13)^2))^0.5)+$C$16)</f>
        <v>666.2619698369997</v>
      </c>
      <c r="K307" s="27">
        <f t="shared" ref="K307:K370" si="37">((J307^2)+(J307*J308)+(J308^2))*H308/3</f>
        <v>-345.49812441270404</v>
      </c>
    </row>
    <row r="308" spans="1:11">
      <c r="A308" s="26">
        <v>258</v>
      </c>
      <c r="B308" s="82">
        <f t="shared" ref="B308:B371" si="38">C308-C307</f>
        <v>0</v>
      </c>
      <c r="C308" s="58">
        <f t="shared" si="34"/>
        <v>156.29037528357509</v>
      </c>
      <c r="D308" s="83">
        <f t="shared" ref="D308:D371" si="39">IF($G$28&lt;$C$14,0,((($C$11^2)-((C308-$C$13)^2))^0.5)+$C$16)</f>
        <v>666.66666666666663</v>
      </c>
      <c r="E308">
        <f t="shared" si="35"/>
        <v>0</v>
      </c>
      <c r="G308">
        <v>258</v>
      </c>
      <c r="H308" s="13">
        <f t="shared" ref="H308:H371" si="40">I308-I307</f>
        <v>-7.7831728503952036E-4</v>
      </c>
      <c r="I308">
        <f t="shared" ref="I308:I371" si="41">($G$27-$C$14)/2000+I307</f>
        <v>156.08956942403489</v>
      </c>
      <c r="J308">
        <f t="shared" si="36"/>
        <v>666.26038913422178</v>
      </c>
      <c r="K308" s="27">
        <f t="shared" si="37"/>
        <v>-345.49648500369227</v>
      </c>
    </row>
    <row r="309" spans="1:11">
      <c r="A309" s="26">
        <v>259</v>
      </c>
      <c r="B309" s="82">
        <f t="shared" si="38"/>
        <v>0</v>
      </c>
      <c r="C309" s="58">
        <f t="shared" si="34"/>
        <v>156.29037528357509</v>
      </c>
      <c r="D309" s="83">
        <f t="shared" si="39"/>
        <v>666.66666666666663</v>
      </c>
      <c r="E309">
        <f t="shared" si="35"/>
        <v>0</v>
      </c>
      <c r="G309">
        <v>259</v>
      </c>
      <c r="H309" s="13">
        <f t="shared" si="40"/>
        <v>-7.7831728503952036E-4</v>
      </c>
      <c r="I309">
        <f t="shared" si="41"/>
        <v>156.08879110674985</v>
      </c>
      <c r="J309">
        <f t="shared" si="36"/>
        <v>666.25880838459125</v>
      </c>
      <c r="K309" s="27">
        <f t="shared" si="37"/>
        <v>-345.49484554997656</v>
      </c>
    </row>
    <row r="310" spans="1:11">
      <c r="A310" s="26">
        <v>260</v>
      </c>
      <c r="B310" s="82">
        <f t="shared" si="38"/>
        <v>0</v>
      </c>
      <c r="C310" s="58">
        <f t="shared" si="34"/>
        <v>156.29037528357509</v>
      </c>
      <c r="D310" s="83">
        <f t="shared" si="39"/>
        <v>666.66666666666663</v>
      </c>
      <c r="E310">
        <f t="shared" si="35"/>
        <v>0</v>
      </c>
      <c r="G310">
        <v>260</v>
      </c>
      <c r="H310" s="13">
        <f t="shared" si="40"/>
        <v>-7.7831728503952036E-4</v>
      </c>
      <c r="I310">
        <f t="shared" si="41"/>
        <v>156.08801278946481</v>
      </c>
      <c r="J310">
        <f t="shared" si="36"/>
        <v>666.25722758810468</v>
      </c>
      <c r="K310" s="27">
        <f t="shared" si="37"/>
        <v>-345.49320605155373</v>
      </c>
    </row>
    <row r="311" spans="1:11">
      <c r="A311" s="26">
        <v>261</v>
      </c>
      <c r="B311" s="82">
        <f t="shared" si="38"/>
        <v>0</v>
      </c>
      <c r="C311" s="58">
        <f t="shared" si="34"/>
        <v>156.29037528357509</v>
      </c>
      <c r="D311" s="83">
        <f t="shared" si="39"/>
        <v>666.66666666666663</v>
      </c>
      <c r="E311">
        <f t="shared" si="35"/>
        <v>0</v>
      </c>
      <c r="G311">
        <v>261</v>
      </c>
      <c r="H311" s="13">
        <f t="shared" si="40"/>
        <v>-7.7831728503952036E-4</v>
      </c>
      <c r="I311">
        <f t="shared" si="41"/>
        <v>156.08723447217977</v>
      </c>
      <c r="J311">
        <f t="shared" si="36"/>
        <v>666.25564674475891</v>
      </c>
      <c r="K311" s="27">
        <f t="shared" si="37"/>
        <v>-345.49156650842065</v>
      </c>
    </row>
    <row r="312" spans="1:11">
      <c r="A312" s="26">
        <v>262</v>
      </c>
      <c r="B312" s="82">
        <f t="shared" si="38"/>
        <v>0</v>
      </c>
      <c r="C312" s="58">
        <f t="shared" si="34"/>
        <v>156.29037528357509</v>
      </c>
      <c r="D312" s="83">
        <f t="shared" si="39"/>
        <v>666.66666666666663</v>
      </c>
      <c r="E312">
        <f t="shared" si="35"/>
        <v>0</v>
      </c>
      <c r="G312">
        <v>262</v>
      </c>
      <c r="H312" s="13">
        <f t="shared" si="40"/>
        <v>-7.7831728503952036E-4</v>
      </c>
      <c r="I312">
        <f t="shared" si="41"/>
        <v>156.08645615489473</v>
      </c>
      <c r="J312">
        <f t="shared" si="36"/>
        <v>666.25406585455028</v>
      </c>
      <c r="K312" s="27">
        <f t="shared" si="37"/>
        <v>-345.48992692057413</v>
      </c>
    </row>
    <row r="313" spans="1:11">
      <c r="A313" s="26">
        <v>263</v>
      </c>
      <c r="B313" s="82">
        <f t="shared" si="38"/>
        <v>0</v>
      </c>
      <c r="C313" s="58">
        <f t="shared" si="34"/>
        <v>156.29037528357509</v>
      </c>
      <c r="D313" s="83">
        <f t="shared" si="39"/>
        <v>666.66666666666663</v>
      </c>
      <c r="E313">
        <f t="shared" si="35"/>
        <v>0</v>
      </c>
      <c r="G313">
        <v>263</v>
      </c>
      <c r="H313" s="13">
        <f t="shared" si="40"/>
        <v>-7.7831728503952036E-4</v>
      </c>
      <c r="I313">
        <f t="shared" si="41"/>
        <v>156.08567783760969</v>
      </c>
      <c r="J313">
        <f t="shared" si="36"/>
        <v>666.25248491747573</v>
      </c>
      <c r="K313" s="27">
        <f t="shared" si="37"/>
        <v>-345.48828728801118</v>
      </c>
    </row>
    <row r="314" spans="1:11">
      <c r="A314" s="26">
        <v>264</v>
      </c>
      <c r="B314" s="82">
        <f t="shared" si="38"/>
        <v>0</v>
      </c>
      <c r="C314" s="58">
        <f t="shared" si="34"/>
        <v>156.29037528357509</v>
      </c>
      <c r="D314" s="83">
        <f t="shared" si="39"/>
        <v>666.66666666666663</v>
      </c>
      <c r="E314">
        <f t="shared" si="35"/>
        <v>0</v>
      </c>
      <c r="G314">
        <v>264</v>
      </c>
      <c r="H314" s="13">
        <f t="shared" si="40"/>
        <v>-7.7831728503952036E-4</v>
      </c>
      <c r="I314">
        <f t="shared" si="41"/>
        <v>156.08489952032465</v>
      </c>
      <c r="J314">
        <f t="shared" si="36"/>
        <v>666.25090393353173</v>
      </c>
      <c r="K314" s="27">
        <f t="shared" si="37"/>
        <v>-345.48664761072843</v>
      </c>
    </row>
    <row r="315" spans="1:11">
      <c r="A315" s="26">
        <v>265</v>
      </c>
      <c r="B315" s="82">
        <f t="shared" si="38"/>
        <v>0</v>
      </c>
      <c r="C315" s="58">
        <f t="shared" si="34"/>
        <v>156.29037528357509</v>
      </c>
      <c r="D315" s="83">
        <f t="shared" si="39"/>
        <v>666.66666666666663</v>
      </c>
      <c r="E315">
        <f t="shared" si="35"/>
        <v>0</v>
      </c>
      <c r="G315">
        <v>265</v>
      </c>
      <c r="H315" s="13">
        <f t="shared" si="40"/>
        <v>-7.7831728503952036E-4</v>
      </c>
      <c r="I315">
        <f t="shared" si="41"/>
        <v>156.08412120303962</v>
      </c>
      <c r="J315">
        <f t="shared" si="36"/>
        <v>666.24932290271499</v>
      </c>
      <c r="K315" s="27">
        <f t="shared" si="37"/>
        <v>-345.48500788872303</v>
      </c>
    </row>
    <row r="316" spans="1:11">
      <c r="A316" s="26">
        <v>266</v>
      </c>
      <c r="B316" s="82">
        <f t="shared" si="38"/>
        <v>0</v>
      </c>
      <c r="C316" s="58">
        <f t="shared" si="34"/>
        <v>156.29037528357509</v>
      </c>
      <c r="D316" s="83">
        <f t="shared" si="39"/>
        <v>666.66666666666663</v>
      </c>
      <c r="E316">
        <f t="shared" si="35"/>
        <v>0</v>
      </c>
      <c r="G316">
        <v>266</v>
      </c>
      <c r="H316" s="13">
        <f t="shared" si="40"/>
        <v>-7.7831728503952036E-4</v>
      </c>
      <c r="I316">
        <f t="shared" si="41"/>
        <v>156.08334288575458</v>
      </c>
      <c r="J316">
        <f t="shared" si="36"/>
        <v>666.24774182502222</v>
      </c>
      <c r="K316" s="27">
        <f t="shared" si="37"/>
        <v>-345.48336812199176</v>
      </c>
    </row>
    <row r="317" spans="1:11">
      <c r="A317" s="26">
        <v>267</v>
      </c>
      <c r="B317" s="82">
        <f t="shared" si="38"/>
        <v>0</v>
      </c>
      <c r="C317" s="58">
        <f t="shared" si="34"/>
        <v>156.29037528357509</v>
      </c>
      <c r="D317" s="83">
        <f t="shared" si="39"/>
        <v>666.66666666666663</v>
      </c>
      <c r="E317">
        <f t="shared" si="35"/>
        <v>0</v>
      </c>
      <c r="G317">
        <v>267</v>
      </c>
      <c r="H317" s="13">
        <f t="shared" si="40"/>
        <v>-7.7831728503952036E-4</v>
      </c>
      <c r="I317">
        <f t="shared" si="41"/>
        <v>156.08256456846954</v>
      </c>
      <c r="J317">
        <f t="shared" si="36"/>
        <v>666.24616070044988</v>
      </c>
      <c r="K317" s="27">
        <f t="shared" si="37"/>
        <v>-345.48172831053125</v>
      </c>
    </row>
    <row r="318" spans="1:11">
      <c r="A318" s="26">
        <v>268</v>
      </c>
      <c r="B318" s="82">
        <f t="shared" si="38"/>
        <v>0</v>
      </c>
      <c r="C318" s="58">
        <f t="shared" si="34"/>
        <v>156.29037528357509</v>
      </c>
      <c r="D318" s="83">
        <f t="shared" si="39"/>
        <v>666.66666666666663</v>
      </c>
      <c r="E318">
        <f t="shared" si="35"/>
        <v>0</v>
      </c>
      <c r="G318">
        <v>268</v>
      </c>
      <c r="H318" s="13">
        <f t="shared" si="40"/>
        <v>-7.7831728503952036E-4</v>
      </c>
      <c r="I318">
        <f t="shared" si="41"/>
        <v>156.0817862511845</v>
      </c>
      <c r="J318">
        <f t="shared" si="36"/>
        <v>666.24457952899479</v>
      </c>
      <c r="K318" s="27">
        <f t="shared" si="37"/>
        <v>-345.48008845433873</v>
      </c>
    </row>
    <row r="319" spans="1:11">
      <c r="A319" s="26">
        <v>269</v>
      </c>
      <c r="B319" s="82">
        <f t="shared" si="38"/>
        <v>0</v>
      </c>
      <c r="C319" s="58">
        <f t="shared" si="34"/>
        <v>156.29037528357509</v>
      </c>
      <c r="D319" s="83">
        <f t="shared" si="39"/>
        <v>666.66666666666663</v>
      </c>
      <c r="E319">
        <f t="shared" si="35"/>
        <v>0</v>
      </c>
      <c r="G319">
        <v>269</v>
      </c>
      <c r="H319" s="13">
        <f t="shared" si="40"/>
        <v>-7.7831728503952036E-4</v>
      </c>
      <c r="I319">
        <f t="shared" si="41"/>
        <v>156.08100793389946</v>
      </c>
      <c r="J319">
        <f t="shared" si="36"/>
        <v>666.24299831065343</v>
      </c>
      <c r="K319" s="27">
        <f t="shared" si="37"/>
        <v>-345.47844855341077</v>
      </c>
    </row>
    <row r="320" spans="1:11">
      <c r="A320" s="26">
        <v>270</v>
      </c>
      <c r="B320" s="82">
        <f t="shared" si="38"/>
        <v>0</v>
      </c>
      <c r="C320" s="58">
        <f t="shared" si="34"/>
        <v>156.29037528357509</v>
      </c>
      <c r="D320" s="83">
        <f t="shared" si="39"/>
        <v>666.66666666666663</v>
      </c>
      <c r="E320">
        <f t="shared" si="35"/>
        <v>0</v>
      </c>
      <c r="G320">
        <v>270</v>
      </c>
      <c r="H320" s="13">
        <f t="shared" si="40"/>
        <v>-7.7831728503952036E-4</v>
      </c>
      <c r="I320">
        <f t="shared" si="41"/>
        <v>156.08022961661442</v>
      </c>
      <c r="J320">
        <f t="shared" si="36"/>
        <v>666.24141704542262</v>
      </c>
      <c r="K320" s="27">
        <f t="shared" si="37"/>
        <v>-345.47680860774432</v>
      </c>
    </row>
    <row r="321" spans="1:11">
      <c r="A321" s="26">
        <v>271</v>
      </c>
      <c r="B321" s="82">
        <f t="shared" si="38"/>
        <v>0</v>
      </c>
      <c r="C321" s="58">
        <f t="shared" si="34"/>
        <v>156.29037528357509</v>
      </c>
      <c r="D321" s="83">
        <f t="shared" si="39"/>
        <v>666.66666666666663</v>
      </c>
      <c r="E321">
        <f t="shared" si="35"/>
        <v>0</v>
      </c>
      <c r="G321">
        <v>271</v>
      </c>
      <c r="H321" s="13">
        <f t="shared" si="40"/>
        <v>-7.7831728503952036E-4</v>
      </c>
      <c r="I321">
        <f t="shared" si="41"/>
        <v>156.07945129932938</v>
      </c>
      <c r="J321">
        <f t="shared" si="36"/>
        <v>666.23983573329883</v>
      </c>
      <c r="K321" s="27">
        <f t="shared" si="37"/>
        <v>-345.47516861733624</v>
      </c>
    </row>
    <row r="322" spans="1:11">
      <c r="A322" s="26">
        <v>272</v>
      </c>
      <c r="B322" s="82">
        <f t="shared" si="38"/>
        <v>0</v>
      </c>
      <c r="C322" s="58">
        <f t="shared" si="34"/>
        <v>156.29037528357509</v>
      </c>
      <c r="D322" s="83">
        <f t="shared" si="39"/>
        <v>666.66666666666663</v>
      </c>
      <c r="E322">
        <f t="shared" si="35"/>
        <v>0</v>
      </c>
      <c r="G322">
        <v>272</v>
      </c>
      <c r="H322" s="13">
        <f t="shared" si="40"/>
        <v>-7.7831728503952036E-4</v>
      </c>
      <c r="I322">
        <f t="shared" si="41"/>
        <v>156.07867298204434</v>
      </c>
      <c r="J322">
        <f t="shared" si="36"/>
        <v>666.23825437427888</v>
      </c>
      <c r="K322" s="27">
        <f t="shared" si="37"/>
        <v>-345.47352858218346</v>
      </c>
    </row>
    <row r="323" spans="1:11">
      <c r="A323" s="26">
        <v>273</v>
      </c>
      <c r="B323" s="82">
        <f t="shared" si="38"/>
        <v>0</v>
      </c>
      <c r="C323" s="58">
        <f t="shared" si="34"/>
        <v>156.29037528357509</v>
      </c>
      <c r="D323" s="83">
        <f t="shared" si="39"/>
        <v>666.66666666666663</v>
      </c>
      <c r="E323">
        <f t="shared" si="35"/>
        <v>0</v>
      </c>
      <c r="G323">
        <v>273</v>
      </c>
      <c r="H323" s="13">
        <f t="shared" si="40"/>
        <v>-7.7831728503952036E-4</v>
      </c>
      <c r="I323">
        <f t="shared" si="41"/>
        <v>156.0778946647593</v>
      </c>
      <c r="J323">
        <f t="shared" si="36"/>
        <v>666.23667296835924</v>
      </c>
      <c r="K323" s="27">
        <f t="shared" si="37"/>
        <v>-345.47188850228287</v>
      </c>
    </row>
    <row r="324" spans="1:11">
      <c r="A324" s="26">
        <v>274</v>
      </c>
      <c r="B324" s="82">
        <f t="shared" si="38"/>
        <v>0</v>
      </c>
      <c r="C324" s="58">
        <f t="shared" si="34"/>
        <v>156.29037528357509</v>
      </c>
      <c r="D324" s="83">
        <f t="shared" si="39"/>
        <v>666.66666666666663</v>
      </c>
      <c r="E324">
        <f t="shared" si="35"/>
        <v>0</v>
      </c>
      <c r="G324">
        <v>274</v>
      </c>
      <c r="H324" s="13">
        <f t="shared" si="40"/>
        <v>-7.7831728503952036E-4</v>
      </c>
      <c r="I324">
        <f t="shared" si="41"/>
        <v>156.07711634747426</v>
      </c>
      <c r="J324">
        <f t="shared" si="36"/>
        <v>666.23509151553674</v>
      </c>
      <c r="K324" s="27">
        <f t="shared" si="37"/>
        <v>-345.47024837763121</v>
      </c>
    </row>
    <row r="325" spans="1:11">
      <c r="A325" s="26">
        <v>275</v>
      </c>
      <c r="B325" s="82">
        <f t="shared" si="38"/>
        <v>0</v>
      </c>
      <c r="C325" s="58">
        <f t="shared" si="34"/>
        <v>156.29037528357509</v>
      </c>
      <c r="D325" s="83">
        <f t="shared" si="39"/>
        <v>666.66666666666663</v>
      </c>
      <c r="E325">
        <f t="shared" si="35"/>
        <v>0</v>
      </c>
      <c r="G325">
        <v>275</v>
      </c>
      <c r="H325" s="13">
        <f t="shared" si="40"/>
        <v>-7.7831728503952036E-4</v>
      </c>
      <c r="I325">
        <f t="shared" si="41"/>
        <v>156.07633803018922</v>
      </c>
      <c r="J325">
        <f t="shared" si="36"/>
        <v>666.23351001580784</v>
      </c>
      <c r="K325" s="27">
        <f t="shared" si="37"/>
        <v>-345.46860820822548</v>
      </c>
    </row>
    <row r="326" spans="1:11">
      <c r="A326" s="26">
        <v>276</v>
      </c>
      <c r="B326" s="82">
        <f t="shared" si="38"/>
        <v>0</v>
      </c>
      <c r="C326" s="58">
        <f t="shared" si="34"/>
        <v>156.29037528357509</v>
      </c>
      <c r="D326" s="83">
        <f t="shared" si="39"/>
        <v>666.66666666666663</v>
      </c>
      <c r="E326">
        <f t="shared" si="35"/>
        <v>0</v>
      </c>
      <c r="G326">
        <v>276</v>
      </c>
      <c r="H326" s="13">
        <f t="shared" si="40"/>
        <v>-7.7831728503952036E-4</v>
      </c>
      <c r="I326">
        <f t="shared" si="41"/>
        <v>156.07555971290418</v>
      </c>
      <c r="J326">
        <f t="shared" si="36"/>
        <v>666.23192846916925</v>
      </c>
      <c r="K326" s="27">
        <f t="shared" si="37"/>
        <v>-345.46696799406237</v>
      </c>
    </row>
    <row r="327" spans="1:11">
      <c r="A327" s="26">
        <v>277</v>
      </c>
      <c r="B327" s="82">
        <f t="shared" si="38"/>
        <v>0</v>
      </c>
      <c r="C327" s="58">
        <f t="shared" si="34"/>
        <v>156.29037528357509</v>
      </c>
      <c r="D327" s="83">
        <f t="shared" si="39"/>
        <v>666.66666666666663</v>
      </c>
      <c r="E327">
        <f t="shared" si="35"/>
        <v>0</v>
      </c>
      <c r="G327">
        <v>277</v>
      </c>
      <c r="H327" s="13">
        <f t="shared" si="40"/>
        <v>-7.7831728503952036E-4</v>
      </c>
      <c r="I327">
        <f t="shared" si="41"/>
        <v>156.07478139561914</v>
      </c>
      <c r="J327">
        <f t="shared" si="36"/>
        <v>666.23034687561767</v>
      </c>
      <c r="K327" s="27">
        <f t="shared" si="37"/>
        <v>-345.46532773513894</v>
      </c>
    </row>
    <row r="328" spans="1:11">
      <c r="A328" s="26">
        <v>278</v>
      </c>
      <c r="B328" s="82">
        <f t="shared" si="38"/>
        <v>0</v>
      </c>
      <c r="C328" s="58">
        <f t="shared" si="34"/>
        <v>156.29037528357509</v>
      </c>
      <c r="D328" s="83">
        <f t="shared" si="39"/>
        <v>666.66666666666663</v>
      </c>
      <c r="E328">
        <f t="shared" si="35"/>
        <v>0</v>
      </c>
      <c r="G328">
        <v>278</v>
      </c>
      <c r="H328" s="13">
        <f t="shared" si="40"/>
        <v>-7.7831728503952036E-4</v>
      </c>
      <c r="I328">
        <f t="shared" si="41"/>
        <v>156.0740030783341</v>
      </c>
      <c r="J328">
        <f t="shared" si="36"/>
        <v>666.22876523514958</v>
      </c>
      <c r="K328" s="27">
        <f t="shared" si="37"/>
        <v>-345.46368743145177</v>
      </c>
    </row>
    <row r="329" spans="1:11">
      <c r="A329" s="26">
        <v>279</v>
      </c>
      <c r="B329" s="82">
        <f t="shared" si="38"/>
        <v>0</v>
      </c>
      <c r="C329" s="58">
        <f t="shared" si="34"/>
        <v>156.29037528357509</v>
      </c>
      <c r="D329" s="83">
        <f t="shared" si="39"/>
        <v>666.66666666666663</v>
      </c>
      <c r="E329">
        <f t="shared" si="35"/>
        <v>0</v>
      </c>
      <c r="G329">
        <v>279</v>
      </c>
      <c r="H329" s="13">
        <f t="shared" si="40"/>
        <v>-7.7831728503952036E-4</v>
      </c>
      <c r="I329">
        <f t="shared" si="41"/>
        <v>156.07322476104906</v>
      </c>
      <c r="J329">
        <f t="shared" si="36"/>
        <v>666.2271835477618</v>
      </c>
      <c r="K329" s="27">
        <f t="shared" si="37"/>
        <v>-345.46204708299791</v>
      </c>
    </row>
    <row r="330" spans="1:11">
      <c r="A330" s="26">
        <v>280</v>
      </c>
      <c r="B330" s="82">
        <f t="shared" si="38"/>
        <v>0</v>
      </c>
      <c r="C330" s="58">
        <f t="shared" si="34"/>
        <v>156.29037528357509</v>
      </c>
      <c r="D330" s="83">
        <f t="shared" si="39"/>
        <v>666.66666666666663</v>
      </c>
      <c r="E330">
        <f t="shared" si="35"/>
        <v>0</v>
      </c>
      <c r="G330">
        <v>280</v>
      </c>
      <c r="H330" s="13">
        <f t="shared" si="40"/>
        <v>-7.7831728503952036E-4</v>
      </c>
      <c r="I330">
        <f t="shared" si="41"/>
        <v>156.07244644376402</v>
      </c>
      <c r="J330">
        <f t="shared" si="36"/>
        <v>666.22560181345079</v>
      </c>
      <c r="K330" s="27">
        <f t="shared" si="37"/>
        <v>-345.46040668977429</v>
      </c>
    </row>
    <row r="331" spans="1:11">
      <c r="A331" s="26">
        <v>281</v>
      </c>
      <c r="B331" s="82">
        <f t="shared" si="38"/>
        <v>0</v>
      </c>
      <c r="C331" s="58">
        <f t="shared" si="34"/>
        <v>156.29037528357509</v>
      </c>
      <c r="D331" s="83">
        <f t="shared" si="39"/>
        <v>666.66666666666663</v>
      </c>
      <c r="E331">
        <f t="shared" si="35"/>
        <v>0</v>
      </c>
      <c r="G331">
        <v>281</v>
      </c>
      <c r="H331" s="13">
        <f t="shared" si="40"/>
        <v>-7.7831728503952036E-4</v>
      </c>
      <c r="I331">
        <f t="shared" si="41"/>
        <v>156.07166812647898</v>
      </c>
      <c r="J331">
        <f t="shared" si="36"/>
        <v>666.22402003221339</v>
      </c>
      <c r="K331" s="27">
        <f t="shared" si="37"/>
        <v>-345.45876625177766</v>
      </c>
    </row>
    <row r="332" spans="1:11">
      <c r="A332" s="26">
        <v>282</v>
      </c>
      <c r="B332" s="82">
        <f t="shared" si="38"/>
        <v>0</v>
      </c>
      <c r="C332" s="58">
        <f t="shared" si="34"/>
        <v>156.29037528357509</v>
      </c>
      <c r="D332" s="83">
        <f t="shared" si="39"/>
        <v>666.66666666666663</v>
      </c>
      <c r="E332">
        <f t="shared" si="35"/>
        <v>0</v>
      </c>
      <c r="G332">
        <v>282</v>
      </c>
      <c r="H332" s="13">
        <f t="shared" si="40"/>
        <v>-7.7831728503952036E-4</v>
      </c>
      <c r="I332">
        <f t="shared" si="41"/>
        <v>156.07088980919394</v>
      </c>
      <c r="J332">
        <f t="shared" si="36"/>
        <v>666.22243820404606</v>
      </c>
      <c r="K332" s="27">
        <f t="shared" si="37"/>
        <v>-345.4571257690049</v>
      </c>
    </row>
    <row r="333" spans="1:11">
      <c r="A333" s="26">
        <v>283</v>
      </c>
      <c r="B333" s="82">
        <f t="shared" si="38"/>
        <v>0</v>
      </c>
      <c r="C333" s="58">
        <f t="shared" si="34"/>
        <v>156.29037528357509</v>
      </c>
      <c r="D333" s="83">
        <f t="shared" si="39"/>
        <v>666.66666666666663</v>
      </c>
      <c r="E333">
        <f t="shared" si="35"/>
        <v>0</v>
      </c>
      <c r="G333">
        <v>283</v>
      </c>
      <c r="H333" s="13">
        <f t="shared" si="40"/>
        <v>-7.7831728503952036E-4</v>
      </c>
      <c r="I333">
        <f t="shared" si="41"/>
        <v>156.0701114919089</v>
      </c>
      <c r="J333">
        <f t="shared" si="36"/>
        <v>666.2208563289455</v>
      </c>
      <c r="K333" s="27">
        <f t="shared" si="37"/>
        <v>-345.45548524145283</v>
      </c>
    </row>
    <row r="334" spans="1:11">
      <c r="A334" s="26">
        <v>284</v>
      </c>
      <c r="B334" s="82">
        <f t="shared" si="38"/>
        <v>0</v>
      </c>
      <c r="C334" s="58">
        <f t="shared" si="34"/>
        <v>156.29037528357509</v>
      </c>
      <c r="D334" s="83">
        <f t="shared" si="39"/>
        <v>666.66666666666663</v>
      </c>
      <c r="E334">
        <f t="shared" si="35"/>
        <v>0</v>
      </c>
      <c r="G334">
        <v>284</v>
      </c>
      <c r="H334" s="13">
        <f t="shared" si="40"/>
        <v>-7.7831728503952036E-4</v>
      </c>
      <c r="I334">
        <f t="shared" si="41"/>
        <v>156.06933317462386</v>
      </c>
      <c r="J334">
        <f t="shared" si="36"/>
        <v>666.21927440690843</v>
      </c>
      <c r="K334" s="27">
        <f t="shared" si="37"/>
        <v>-345.45384466911838</v>
      </c>
    </row>
    <row r="335" spans="1:11">
      <c r="A335" s="26">
        <v>285</v>
      </c>
      <c r="B335" s="82">
        <f t="shared" si="38"/>
        <v>0</v>
      </c>
      <c r="C335" s="58">
        <f t="shared" si="34"/>
        <v>156.29037528357509</v>
      </c>
      <c r="D335" s="83">
        <f t="shared" si="39"/>
        <v>666.66666666666663</v>
      </c>
      <c r="E335">
        <f t="shared" si="35"/>
        <v>0</v>
      </c>
      <c r="G335">
        <v>285</v>
      </c>
      <c r="H335" s="13">
        <f t="shared" si="40"/>
        <v>-7.7831728503952036E-4</v>
      </c>
      <c r="I335">
        <f t="shared" si="41"/>
        <v>156.06855485733882</v>
      </c>
      <c r="J335">
        <f t="shared" si="36"/>
        <v>666.21769243793142</v>
      </c>
      <c r="K335" s="27">
        <f t="shared" si="37"/>
        <v>-345.45220405199848</v>
      </c>
    </row>
    <row r="336" spans="1:11">
      <c r="A336" s="26">
        <v>286</v>
      </c>
      <c r="B336" s="82">
        <f t="shared" si="38"/>
        <v>0</v>
      </c>
      <c r="C336" s="58">
        <f t="shared" ref="C336:C399" si="42">($C$37-$C$36)/2000+C335</f>
        <v>156.29037528357509</v>
      </c>
      <c r="D336" s="83">
        <f t="shared" si="39"/>
        <v>666.66666666666663</v>
      </c>
      <c r="E336">
        <f t="shared" si="35"/>
        <v>0</v>
      </c>
      <c r="G336">
        <v>286</v>
      </c>
      <c r="H336" s="13">
        <f t="shared" si="40"/>
        <v>-7.7831728503952036E-4</v>
      </c>
      <c r="I336">
        <f t="shared" si="41"/>
        <v>156.06777654005379</v>
      </c>
      <c r="J336">
        <f t="shared" si="36"/>
        <v>666.21611042201107</v>
      </c>
      <c r="K336" s="27">
        <f t="shared" si="37"/>
        <v>-345.45056339008983</v>
      </c>
    </row>
    <row r="337" spans="1:11">
      <c r="A337" s="26">
        <v>287</v>
      </c>
      <c r="B337" s="82">
        <f t="shared" si="38"/>
        <v>0</v>
      </c>
      <c r="C337" s="58">
        <f t="shared" si="42"/>
        <v>156.29037528357509</v>
      </c>
      <c r="D337" s="83">
        <f t="shared" si="39"/>
        <v>666.66666666666663</v>
      </c>
      <c r="E337">
        <f t="shared" si="35"/>
        <v>0</v>
      </c>
      <c r="G337">
        <v>287</v>
      </c>
      <c r="H337" s="13">
        <f t="shared" si="40"/>
        <v>-7.7831728503952036E-4</v>
      </c>
      <c r="I337">
        <f t="shared" si="41"/>
        <v>156.06699822276875</v>
      </c>
      <c r="J337">
        <f t="shared" si="36"/>
        <v>666.21452835914397</v>
      </c>
      <c r="K337" s="27">
        <f t="shared" si="37"/>
        <v>-345.4489226833893</v>
      </c>
    </row>
    <row r="338" spans="1:11">
      <c r="A338" s="26">
        <v>288</v>
      </c>
      <c r="B338" s="82">
        <f t="shared" si="38"/>
        <v>0</v>
      </c>
      <c r="C338" s="58">
        <f t="shared" si="42"/>
        <v>156.29037528357509</v>
      </c>
      <c r="D338" s="83">
        <f t="shared" si="39"/>
        <v>666.66666666666663</v>
      </c>
      <c r="E338">
        <f t="shared" si="35"/>
        <v>0</v>
      </c>
      <c r="G338">
        <v>288</v>
      </c>
      <c r="H338" s="13">
        <f t="shared" si="40"/>
        <v>-7.7831728503952036E-4</v>
      </c>
      <c r="I338">
        <f t="shared" si="41"/>
        <v>156.06621990548371</v>
      </c>
      <c r="J338">
        <f t="shared" si="36"/>
        <v>666.21294624932693</v>
      </c>
      <c r="K338" s="27">
        <f t="shared" si="37"/>
        <v>-345.44728193189371</v>
      </c>
    </row>
    <row r="339" spans="1:11">
      <c r="A339" s="26">
        <v>289</v>
      </c>
      <c r="B339" s="82">
        <f t="shared" si="38"/>
        <v>0</v>
      </c>
      <c r="C339" s="58">
        <f t="shared" si="42"/>
        <v>156.29037528357509</v>
      </c>
      <c r="D339" s="83">
        <f t="shared" si="39"/>
        <v>666.66666666666663</v>
      </c>
      <c r="E339">
        <f t="shared" si="35"/>
        <v>0</v>
      </c>
      <c r="G339">
        <v>289</v>
      </c>
      <c r="H339" s="13">
        <f t="shared" si="40"/>
        <v>-7.7831728503952036E-4</v>
      </c>
      <c r="I339">
        <f t="shared" si="41"/>
        <v>156.06544158819867</v>
      </c>
      <c r="J339">
        <f t="shared" si="36"/>
        <v>666.21136409255632</v>
      </c>
      <c r="K339" s="27">
        <f t="shared" si="37"/>
        <v>-345.4456411356</v>
      </c>
    </row>
    <row r="340" spans="1:11">
      <c r="A340" s="26">
        <v>290</v>
      </c>
      <c r="B340" s="82">
        <f t="shared" si="38"/>
        <v>0</v>
      </c>
      <c r="C340" s="58">
        <f t="shared" si="42"/>
        <v>156.29037528357509</v>
      </c>
      <c r="D340" s="83">
        <f t="shared" si="39"/>
        <v>666.66666666666663</v>
      </c>
      <c r="E340">
        <f t="shared" si="35"/>
        <v>0</v>
      </c>
      <c r="G340">
        <v>290</v>
      </c>
      <c r="H340" s="13">
        <f t="shared" si="40"/>
        <v>-7.7831728503952036E-4</v>
      </c>
      <c r="I340">
        <f t="shared" si="41"/>
        <v>156.06466327091363</v>
      </c>
      <c r="J340">
        <f t="shared" si="36"/>
        <v>666.20978188882907</v>
      </c>
      <c r="K340" s="27">
        <f t="shared" si="37"/>
        <v>-345.44400029450509</v>
      </c>
    </row>
    <row r="341" spans="1:11">
      <c r="A341" s="26">
        <v>291</v>
      </c>
      <c r="B341" s="82">
        <f t="shared" si="38"/>
        <v>0</v>
      </c>
      <c r="C341" s="58">
        <f t="shared" si="42"/>
        <v>156.29037528357509</v>
      </c>
      <c r="D341" s="83">
        <f t="shared" si="39"/>
        <v>666.66666666666663</v>
      </c>
      <c r="E341">
        <f t="shared" si="35"/>
        <v>0</v>
      </c>
      <c r="G341">
        <v>291</v>
      </c>
      <c r="H341" s="13">
        <f t="shared" si="40"/>
        <v>-7.7831728503952036E-4</v>
      </c>
      <c r="I341">
        <f t="shared" si="41"/>
        <v>156.06388495362859</v>
      </c>
      <c r="J341">
        <f t="shared" si="36"/>
        <v>666.20819963814165</v>
      </c>
      <c r="K341" s="27">
        <f t="shared" si="37"/>
        <v>-345.4423594086058</v>
      </c>
    </row>
    <row r="342" spans="1:11">
      <c r="A342" s="26">
        <v>292</v>
      </c>
      <c r="B342" s="82">
        <f t="shared" si="38"/>
        <v>0</v>
      </c>
      <c r="C342" s="58">
        <f t="shared" si="42"/>
        <v>156.29037528357509</v>
      </c>
      <c r="D342" s="83">
        <f t="shared" si="39"/>
        <v>666.66666666666663</v>
      </c>
      <c r="E342">
        <f t="shared" si="35"/>
        <v>0</v>
      </c>
      <c r="G342">
        <v>292</v>
      </c>
      <c r="H342" s="13">
        <f t="shared" si="40"/>
        <v>-7.7831728503952036E-4</v>
      </c>
      <c r="I342">
        <f t="shared" si="41"/>
        <v>156.06310663634355</v>
      </c>
      <c r="J342">
        <f t="shared" si="36"/>
        <v>666.20661734049077</v>
      </c>
      <c r="K342" s="27">
        <f t="shared" si="37"/>
        <v>-345.44071847789888</v>
      </c>
    </row>
    <row r="343" spans="1:11">
      <c r="A343" s="26">
        <v>293</v>
      </c>
      <c r="B343" s="82">
        <f t="shared" si="38"/>
        <v>0</v>
      </c>
      <c r="C343" s="58">
        <f t="shared" si="42"/>
        <v>156.29037528357509</v>
      </c>
      <c r="D343" s="83">
        <f t="shared" si="39"/>
        <v>666.66666666666663</v>
      </c>
      <c r="E343">
        <f t="shared" si="35"/>
        <v>0</v>
      </c>
      <c r="G343">
        <v>293</v>
      </c>
      <c r="H343" s="13">
        <f t="shared" si="40"/>
        <v>-7.7831728503952036E-4</v>
      </c>
      <c r="I343">
        <f t="shared" si="41"/>
        <v>156.06232831905851</v>
      </c>
      <c r="J343">
        <f t="shared" si="36"/>
        <v>666.20503499587289</v>
      </c>
      <c r="K343" s="27">
        <f t="shared" si="37"/>
        <v>-345.43907750238128</v>
      </c>
    </row>
    <row r="344" spans="1:11">
      <c r="A344" s="26">
        <v>294</v>
      </c>
      <c r="B344" s="82">
        <f t="shared" si="38"/>
        <v>0</v>
      </c>
      <c r="C344" s="58">
        <f t="shared" si="42"/>
        <v>156.29037528357509</v>
      </c>
      <c r="D344" s="83">
        <f t="shared" si="39"/>
        <v>666.66666666666663</v>
      </c>
      <c r="E344">
        <f t="shared" si="35"/>
        <v>0</v>
      </c>
      <c r="G344">
        <v>294</v>
      </c>
      <c r="H344" s="13">
        <f t="shared" si="40"/>
        <v>-7.7831728503952036E-4</v>
      </c>
      <c r="I344">
        <f t="shared" si="41"/>
        <v>156.06155000177347</v>
      </c>
      <c r="J344">
        <f t="shared" si="36"/>
        <v>666.20345260428496</v>
      </c>
      <c r="K344" s="27">
        <f t="shared" si="37"/>
        <v>-345.43743648204992</v>
      </c>
    </row>
    <row r="345" spans="1:11">
      <c r="A345" s="26">
        <v>295</v>
      </c>
      <c r="B345" s="82">
        <f t="shared" si="38"/>
        <v>0</v>
      </c>
      <c r="C345" s="58">
        <f t="shared" si="42"/>
        <v>156.29037528357509</v>
      </c>
      <c r="D345" s="83">
        <f t="shared" si="39"/>
        <v>666.66666666666663</v>
      </c>
      <c r="E345">
        <f t="shared" si="35"/>
        <v>0</v>
      </c>
      <c r="G345">
        <v>295</v>
      </c>
      <c r="H345" s="13">
        <f t="shared" si="40"/>
        <v>-7.7831728503952036E-4</v>
      </c>
      <c r="I345">
        <f t="shared" si="41"/>
        <v>156.06077168448843</v>
      </c>
      <c r="J345">
        <f t="shared" si="36"/>
        <v>666.20187016572322</v>
      </c>
      <c r="K345" s="27">
        <f t="shared" si="37"/>
        <v>-345.4357954169015</v>
      </c>
    </row>
    <row r="346" spans="1:11">
      <c r="A346" s="26">
        <v>296</v>
      </c>
      <c r="B346" s="82">
        <f t="shared" si="38"/>
        <v>0</v>
      </c>
      <c r="C346" s="58">
        <f t="shared" si="42"/>
        <v>156.29037528357509</v>
      </c>
      <c r="D346" s="83">
        <f t="shared" si="39"/>
        <v>666.66666666666663</v>
      </c>
      <c r="E346">
        <f t="shared" si="35"/>
        <v>0</v>
      </c>
      <c r="G346">
        <v>296</v>
      </c>
      <c r="H346" s="13">
        <f t="shared" si="40"/>
        <v>-7.7831728503952036E-4</v>
      </c>
      <c r="I346">
        <f t="shared" si="41"/>
        <v>156.05999336720339</v>
      </c>
      <c r="J346">
        <f t="shared" si="36"/>
        <v>666.2002876801846</v>
      </c>
      <c r="K346" s="27">
        <f t="shared" si="37"/>
        <v>-345.4341543069329</v>
      </c>
    </row>
    <row r="347" spans="1:11">
      <c r="A347" s="26">
        <v>297</v>
      </c>
      <c r="B347" s="82">
        <f t="shared" si="38"/>
        <v>0</v>
      </c>
      <c r="C347" s="58">
        <f t="shared" si="42"/>
        <v>156.29037528357509</v>
      </c>
      <c r="D347" s="83">
        <f t="shared" si="39"/>
        <v>666.66666666666663</v>
      </c>
      <c r="E347">
        <f t="shared" si="35"/>
        <v>0</v>
      </c>
      <c r="G347">
        <v>297</v>
      </c>
      <c r="H347" s="13">
        <f t="shared" si="40"/>
        <v>-7.7831728503952036E-4</v>
      </c>
      <c r="I347">
        <f t="shared" si="41"/>
        <v>156.05921504991835</v>
      </c>
      <c r="J347">
        <f t="shared" si="36"/>
        <v>666.19870514766558</v>
      </c>
      <c r="K347" s="27">
        <f t="shared" si="37"/>
        <v>-345.4325131521411</v>
      </c>
    </row>
    <row r="348" spans="1:11">
      <c r="A348" s="26">
        <v>298</v>
      </c>
      <c r="B348" s="82">
        <f t="shared" si="38"/>
        <v>0</v>
      </c>
      <c r="C348" s="58">
        <f t="shared" si="42"/>
        <v>156.29037528357509</v>
      </c>
      <c r="D348" s="83">
        <f t="shared" si="39"/>
        <v>666.66666666666663</v>
      </c>
      <c r="E348">
        <f t="shared" si="35"/>
        <v>0</v>
      </c>
      <c r="G348">
        <v>298</v>
      </c>
      <c r="H348" s="13">
        <f t="shared" si="40"/>
        <v>-7.7831728503952036E-4</v>
      </c>
      <c r="I348">
        <f t="shared" si="41"/>
        <v>156.05843673263331</v>
      </c>
      <c r="J348">
        <f t="shared" si="36"/>
        <v>666.19712256816297</v>
      </c>
      <c r="K348" s="27">
        <f t="shared" si="37"/>
        <v>-345.43087195252275</v>
      </c>
    </row>
    <row r="349" spans="1:11">
      <c r="A349" s="26">
        <v>299</v>
      </c>
      <c r="B349" s="82">
        <f t="shared" si="38"/>
        <v>0</v>
      </c>
      <c r="C349" s="58">
        <f t="shared" si="42"/>
        <v>156.29037528357509</v>
      </c>
      <c r="D349" s="83">
        <f t="shared" si="39"/>
        <v>666.66666666666663</v>
      </c>
      <c r="E349">
        <f t="shared" si="35"/>
        <v>0</v>
      </c>
      <c r="G349">
        <v>299</v>
      </c>
      <c r="H349" s="13">
        <f t="shared" si="40"/>
        <v>-7.7831728503952036E-4</v>
      </c>
      <c r="I349">
        <f t="shared" si="41"/>
        <v>156.05765841534827</v>
      </c>
      <c r="J349">
        <f t="shared" si="36"/>
        <v>666.19553994167313</v>
      </c>
      <c r="K349" s="27">
        <f t="shared" si="37"/>
        <v>-345.42923070807484</v>
      </c>
    </row>
    <row r="350" spans="1:11">
      <c r="A350" s="26">
        <v>300</v>
      </c>
      <c r="B350" s="82">
        <f t="shared" si="38"/>
        <v>0</v>
      </c>
      <c r="C350" s="58">
        <f t="shared" si="42"/>
        <v>156.29037528357509</v>
      </c>
      <c r="D350" s="83">
        <f t="shared" si="39"/>
        <v>666.66666666666663</v>
      </c>
      <c r="E350">
        <f t="shared" si="35"/>
        <v>0</v>
      </c>
      <c r="G350">
        <v>300</v>
      </c>
      <c r="H350" s="13">
        <f t="shared" si="40"/>
        <v>-7.7831728503952036E-4</v>
      </c>
      <c r="I350">
        <f t="shared" si="41"/>
        <v>156.05688009806323</v>
      </c>
      <c r="J350">
        <f t="shared" si="36"/>
        <v>666.19395726819289</v>
      </c>
      <c r="K350" s="27">
        <f t="shared" si="37"/>
        <v>-345.42758941879418</v>
      </c>
    </row>
    <row r="351" spans="1:11">
      <c r="A351" s="26">
        <v>301</v>
      </c>
      <c r="B351" s="82">
        <f t="shared" si="38"/>
        <v>0</v>
      </c>
      <c r="C351" s="58">
        <f t="shared" si="42"/>
        <v>156.29037528357509</v>
      </c>
      <c r="D351" s="83">
        <f t="shared" si="39"/>
        <v>666.66666666666663</v>
      </c>
      <c r="E351">
        <f t="shared" si="35"/>
        <v>0</v>
      </c>
      <c r="G351">
        <v>301</v>
      </c>
      <c r="H351" s="13">
        <f t="shared" si="40"/>
        <v>-7.7831728503952036E-4</v>
      </c>
      <c r="I351">
        <f t="shared" si="41"/>
        <v>156.05610178077819</v>
      </c>
      <c r="J351">
        <f t="shared" si="36"/>
        <v>666.19237454771883</v>
      </c>
      <c r="K351" s="27">
        <f t="shared" si="37"/>
        <v>-345.42594808467766</v>
      </c>
    </row>
    <row r="352" spans="1:11">
      <c r="A352" s="26">
        <v>302</v>
      </c>
      <c r="B352" s="82">
        <f t="shared" si="38"/>
        <v>0</v>
      </c>
      <c r="C352" s="58">
        <f t="shared" si="42"/>
        <v>156.29037528357509</v>
      </c>
      <c r="D352" s="83">
        <f t="shared" si="39"/>
        <v>666.66666666666663</v>
      </c>
      <c r="E352">
        <f t="shared" si="35"/>
        <v>0</v>
      </c>
      <c r="G352">
        <v>302</v>
      </c>
      <c r="H352" s="13">
        <f t="shared" si="40"/>
        <v>-7.7831728503952036E-4</v>
      </c>
      <c r="I352">
        <f t="shared" si="41"/>
        <v>156.05532346349315</v>
      </c>
      <c r="J352">
        <f t="shared" si="36"/>
        <v>666.19079178024754</v>
      </c>
      <c r="K352" s="27">
        <f t="shared" si="37"/>
        <v>-345.42430670572213</v>
      </c>
    </row>
    <row r="353" spans="1:11">
      <c r="A353" s="26">
        <v>303</v>
      </c>
      <c r="B353" s="82">
        <f t="shared" si="38"/>
        <v>0</v>
      </c>
      <c r="C353" s="58">
        <f t="shared" si="42"/>
        <v>156.29037528357509</v>
      </c>
      <c r="D353" s="83">
        <f t="shared" si="39"/>
        <v>666.66666666666663</v>
      </c>
      <c r="E353">
        <f t="shared" si="35"/>
        <v>0</v>
      </c>
      <c r="G353">
        <v>303</v>
      </c>
      <c r="H353" s="13">
        <f t="shared" si="40"/>
        <v>-7.7831728503952036E-4</v>
      </c>
      <c r="I353">
        <f t="shared" si="41"/>
        <v>156.05454514620811</v>
      </c>
      <c r="J353">
        <f t="shared" si="36"/>
        <v>666.18920896577561</v>
      </c>
      <c r="K353" s="27">
        <f t="shared" si="37"/>
        <v>-345.42266528192437</v>
      </c>
    </row>
    <row r="354" spans="1:11">
      <c r="A354" s="26">
        <v>304</v>
      </c>
      <c r="B354" s="82">
        <f t="shared" si="38"/>
        <v>0</v>
      </c>
      <c r="C354" s="58">
        <f t="shared" si="42"/>
        <v>156.29037528357509</v>
      </c>
      <c r="D354" s="83">
        <f t="shared" si="39"/>
        <v>666.66666666666663</v>
      </c>
      <c r="E354">
        <f t="shared" si="35"/>
        <v>0</v>
      </c>
      <c r="G354">
        <v>304</v>
      </c>
      <c r="H354" s="13">
        <f t="shared" si="40"/>
        <v>-7.7831728503952036E-4</v>
      </c>
      <c r="I354">
        <f t="shared" si="41"/>
        <v>156.05376682892307</v>
      </c>
      <c r="J354">
        <f t="shared" si="36"/>
        <v>666.18762610429985</v>
      </c>
      <c r="K354" s="27">
        <f t="shared" si="37"/>
        <v>-345.42102381328141</v>
      </c>
    </row>
    <row r="355" spans="1:11">
      <c r="A355" s="26">
        <v>305</v>
      </c>
      <c r="B355" s="82">
        <f t="shared" si="38"/>
        <v>0</v>
      </c>
      <c r="C355" s="58">
        <f t="shared" si="42"/>
        <v>156.29037528357509</v>
      </c>
      <c r="D355" s="83">
        <f t="shared" si="39"/>
        <v>666.66666666666663</v>
      </c>
      <c r="E355">
        <f t="shared" si="35"/>
        <v>0</v>
      </c>
      <c r="G355">
        <v>305</v>
      </c>
      <c r="H355" s="13">
        <f t="shared" si="40"/>
        <v>-7.7831728503952036E-4</v>
      </c>
      <c r="I355">
        <f t="shared" si="41"/>
        <v>156.05298851163803</v>
      </c>
      <c r="J355">
        <f t="shared" si="36"/>
        <v>666.18604319581675</v>
      </c>
      <c r="K355" s="27">
        <f t="shared" si="37"/>
        <v>-345.4193822997899</v>
      </c>
    </row>
    <row r="356" spans="1:11">
      <c r="A356" s="26">
        <v>306</v>
      </c>
      <c r="B356" s="82">
        <f t="shared" si="38"/>
        <v>0</v>
      </c>
      <c r="C356" s="58">
        <f t="shared" si="42"/>
        <v>156.29037528357509</v>
      </c>
      <c r="D356" s="83">
        <f t="shared" si="39"/>
        <v>666.66666666666663</v>
      </c>
      <c r="E356">
        <f t="shared" si="35"/>
        <v>0</v>
      </c>
      <c r="G356">
        <v>306</v>
      </c>
      <c r="H356" s="13">
        <f t="shared" si="40"/>
        <v>-7.7831728503952036E-4</v>
      </c>
      <c r="I356">
        <f t="shared" si="41"/>
        <v>156.05221019435299</v>
      </c>
      <c r="J356">
        <f t="shared" si="36"/>
        <v>666.18446024032301</v>
      </c>
      <c r="K356" s="27">
        <f t="shared" si="37"/>
        <v>-345.41774074144678</v>
      </c>
    </row>
    <row r="357" spans="1:11">
      <c r="A357" s="26">
        <v>307</v>
      </c>
      <c r="B357" s="82">
        <f t="shared" si="38"/>
        <v>0</v>
      </c>
      <c r="C357" s="58">
        <f t="shared" si="42"/>
        <v>156.29037528357509</v>
      </c>
      <c r="D357" s="83">
        <f t="shared" si="39"/>
        <v>666.66666666666663</v>
      </c>
      <c r="E357">
        <f t="shared" si="35"/>
        <v>0</v>
      </c>
      <c r="G357">
        <v>307</v>
      </c>
      <c r="H357" s="13">
        <f t="shared" si="40"/>
        <v>-7.7831728503952036E-4</v>
      </c>
      <c r="I357">
        <f t="shared" si="41"/>
        <v>156.05143187706796</v>
      </c>
      <c r="J357">
        <f t="shared" si="36"/>
        <v>666.18287723781509</v>
      </c>
      <c r="K357" s="27">
        <f t="shared" si="37"/>
        <v>-345.41609913824874</v>
      </c>
    </row>
    <row r="358" spans="1:11">
      <c r="A358" s="26">
        <v>308</v>
      </c>
      <c r="B358" s="82">
        <f t="shared" si="38"/>
        <v>0</v>
      </c>
      <c r="C358" s="58">
        <f t="shared" si="42"/>
        <v>156.29037528357509</v>
      </c>
      <c r="D358" s="83">
        <f t="shared" si="39"/>
        <v>666.66666666666663</v>
      </c>
      <c r="E358">
        <f t="shared" si="35"/>
        <v>0</v>
      </c>
      <c r="G358">
        <v>308</v>
      </c>
      <c r="H358" s="13">
        <f t="shared" si="40"/>
        <v>-7.7831728503952036E-4</v>
      </c>
      <c r="I358">
        <f t="shared" si="41"/>
        <v>156.05065355978292</v>
      </c>
      <c r="J358">
        <f t="shared" si="36"/>
        <v>666.18129418828971</v>
      </c>
      <c r="K358" s="27">
        <f t="shared" si="37"/>
        <v>-345.41445749019294</v>
      </c>
    </row>
    <row r="359" spans="1:11">
      <c r="A359" s="26">
        <v>309</v>
      </c>
      <c r="B359" s="82">
        <f t="shared" si="38"/>
        <v>0</v>
      </c>
      <c r="C359" s="58">
        <f t="shared" si="42"/>
        <v>156.29037528357509</v>
      </c>
      <c r="D359" s="83">
        <f t="shared" si="39"/>
        <v>666.66666666666663</v>
      </c>
      <c r="E359">
        <f t="shared" si="35"/>
        <v>0</v>
      </c>
      <c r="G359">
        <v>309</v>
      </c>
      <c r="H359" s="13">
        <f t="shared" si="40"/>
        <v>-7.7831728503952036E-4</v>
      </c>
      <c r="I359">
        <f t="shared" si="41"/>
        <v>156.04987524249788</v>
      </c>
      <c r="J359">
        <f t="shared" si="36"/>
        <v>666.17971109174368</v>
      </c>
      <c r="K359" s="27">
        <f t="shared" si="37"/>
        <v>-345.4128157972761</v>
      </c>
    </row>
    <row r="360" spans="1:11">
      <c r="A360" s="26">
        <v>310</v>
      </c>
      <c r="B360" s="82">
        <f t="shared" si="38"/>
        <v>0</v>
      </c>
      <c r="C360" s="58">
        <f t="shared" si="42"/>
        <v>156.29037528357509</v>
      </c>
      <c r="D360" s="83">
        <f t="shared" si="39"/>
        <v>666.66666666666663</v>
      </c>
      <c r="E360">
        <f t="shared" si="35"/>
        <v>0</v>
      </c>
      <c r="G360">
        <v>310</v>
      </c>
      <c r="H360" s="13">
        <f t="shared" si="40"/>
        <v>-7.7831728503952036E-4</v>
      </c>
      <c r="I360">
        <f t="shared" si="41"/>
        <v>156.04909692521284</v>
      </c>
      <c r="J360">
        <f t="shared" si="36"/>
        <v>666.17812794817337</v>
      </c>
      <c r="K360" s="27">
        <f t="shared" si="37"/>
        <v>-345.4111740594949</v>
      </c>
    </row>
    <row r="361" spans="1:11">
      <c r="A361" s="26">
        <v>311</v>
      </c>
      <c r="B361" s="82">
        <f t="shared" si="38"/>
        <v>0</v>
      </c>
      <c r="C361" s="58">
        <f t="shared" si="42"/>
        <v>156.29037528357509</v>
      </c>
      <c r="D361" s="83">
        <f t="shared" si="39"/>
        <v>666.66666666666663</v>
      </c>
      <c r="E361">
        <f t="shared" si="35"/>
        <v>0</v>
      </c>
      <c r="G361">
        <v>311</v>
      </c>
      <c r="H361" s="13">
        <f t="shared" si="40"/>
        <v>-7.7831728503952036E-4</v>
      </c>
      <c r="I361">
        <f t="shared" si="41"/>
        <v>156.0483186079278</v>
      </c>
      <c r="J361">
        <f t="shared" si="36"/>
        <v>666.17654475757558</v>
      </c>
      <c r="K361" s="27">
        <f t="shared" si="37"/>
        <v>-345.40953227684628</v>
      </c>
    </row>
    <row r="362" spans="1:11">
      <c r="A362" s="26">
        <v>312</v>
      </c>
      <c r="B362" s="82">
        <f t="shared" si="38"/>
        <v>0</v>
      </c>
      <c r="C362" s="58">
        <f t="shared" si="42"/>
        <v>156.29037528357509</v>
      </c>
      <c r="D362" s="83">
        <f t="shared" si="39"/>
        <v>666.66666666666663</v>
      </c>
      <c r="E362">
        <f t="shared" si="35"/>
        <v>0</v>
      </c>
      <c r="G362">
        <v>312</v>
      </c>
      <c r="H362" s="13">
        <f t="shared" si="40"/>
        <v>-7.7831728503952036E-4</v>
      </c>
      <c r="I362">
        <f t="shared" si="41"/>
        <v>156.04754029064276</v>
      </c>
      <c r="J362">
        <f t="shared" si="36"/>
        <v>666.17496151994669</v>
      </c>
      <c r="K362" s="27">
        <f t="shared" si="37"/>
        <v>-345.40789044932723</v>
      </c>
    </row>
    <row r="363" spans="1:11">
      <c r="A363" s="26">
        <v>313</v>
      </c>
      <c r="B363" s="82">
        <f t="shared" si="38"/>
        <v>0</v>
      </c>
      <c r="C363" s="58">
        <f t="shared" si="42"/>
        <v>156.29037528357509</v>
      </c>
      <c r="D363" s="83">
        <f t="shared" si="39"/>
        <v>666.66666666666663</v>
      </c>
      <c r="E363">
        <f t="shared" si="35"/>
        <v>0</v>
      </c>
      <c r="G363">
        <v>313</v>
      </c>
      <c r="H363" s="13">
        <f t="shared" si="40"/>
        <v>-7.7831728503952036E-4</v>
      </c>
      <c r="I363">
        <f t="shared" si="41"/>
        <v>156.04676197335772</v>
      </c>
      <c r="J363">
        <f t="shared" si="36"/>
        <v>666.17337823528362</v>
      </c>
      <c r="K363" s="27">
        <f t="shared" si="37"/>
        <v>-345.40624857693439</v>
      </c>
    </row>
    <row r="364" spans="1:11">
      <c r="A364" s="26">
        <v>314</v>
      </c>
      <c r="B364" s="82">
        <f t="shared" si="38"/>
        <v>0</v>
      </c>
      <c r="C364" s="58">
        <f t="shared" si="42"/>
        <v>156.29037528357509</v>
      </c>
      <c r="D364" s="83">
        <f t="shared" si="39"/>
        <v>666.66666666666663</v>
      </c>
      <c r="E364">
        <f t="shared" si="35"/>
        <v>0</v>
      </c>
      <c r="G364">
        <v>314</v>
      </c>
      <c r="H364" s="13">
        <f t="shared" si="40"/>
        <v>-7.7831728503952036E-4</v>
      </c>
      <c r="I364">
        <f t="shared" si="41"/>
        <v>156.04598365607268</v>
      </c>
      <c r="J364">
        <f t="shared" si="36"/>
        <v>666.17179490358285</v>
      </c>
      <c r="K364" s="27">
        <f t="shared" si="37"/>
        <v>-345.40460665966475</v>
      </c>
    </row>
    <row r="365" spans="1:11">
      <c r="A365" s="26">
        <v>315</v>
      </c>
      <c r="B365" s="82">
        <f t="shared" si="38"/>
        <v>0</v>
      </c>
      <c r="C365" s="58">
        <f t="shared" si="42"/>
        <v>156.29037528357509</v>
      </c>
      <c r="D365" s="83">
        <f t="shared" si="39"/>
        <v>666.66666666666663</v>
      </c>
      <c r="E365">
        <f t="shared" si="35"/>
        <v>0</v>
      </c>
      <c r="G365">
        <v>315</v>
      </c>
      <c r="H365" s="13">
        <f t="shared" si="40"/>
        <v>-7.7831728503952036E-4</v>
      </c>
      <c r="I365">
        <f t="shared" si="41"/>
        <v>156.04520533878764</v>
      </c>
      <c r="J365">
        <f t="shared" si="36"/>
        <v>666.17021152484097</v>
      </c>
      <c r="K365" s="27">
        <f t="shared" si="37"/>
        <v>-345.40296469751507</v>
      </c>
    </row>
    <row r="366" spans="1:11">
      <c r="A366" s="26">
        <v>316</v>
      </c>
      <c r="B366" s="82">
        <f t="shared" si="38"/>
        <v>0</v>
      </c>
      <c r="C366" s="58">
        <f t="shared" si="42"/>
        <v>156.29037528357509</v>
      </c>
      <c r="D366" s="83">
        <f t="shared" si="39"/>
        <v>666.66666666666663</v>
      </c>
      <c r="E366">
        <f t="shared" si="35"/>
        <v>0</v>
      </c>
      <c r="G366">
        <v>316</v>
      </c>
      <c r="H366" s="13">
        <f t="shared" si="40"/>
        <v>-7.7831728503952036E-4</v>
      </c>
      <c r="I366">
        <f t="shared" si="41"/>
        <v>156.0444270215026</v>
      </c>
      <c r="J366">
        <f t="shared" si="36"/>
        <v>666.16862809905467</v>
      </c>
      <c r="K366" s="27">
        <f t="shared" si="37"/>
        <v>-345.40132269048235</v>
      </c>
    </row>
    <row r="367" spans="1:11">
      <c r="A367" s="26">
        <v>317</v>
      </c>
      <c r="B367" s="82">
        <f t="shared" si="38"/>
        <v>0</v>
      </c>
      <c r="C367" s="58">
        <f t="shared" si="42"/>
        <v>156.29037528357509</v>
      </c>
      <c r="D367" s="83">
        <f t="shared" si="39"/>
        <v>666.66666666666663</v>
      </c>
      <c r="E367">
        <f t="shared" si="35"/>
        <v>0</v>
      </c>
      <c r="G367">
        <v>317</v>
      </c>
      <c r="H367" s="13">
        <f t="shared" si="40"/>
        <v>-7.7831728503952036E-4</v>
      </c>
      <c r="I367">
        <f t="shared" si="41"/>
        <v>156.04364870421756</v>
      </c>
      <c r="J367">
        <f t="shared" si="36"/>
        <v>666.16704462622056</v>
      </c>
      <c r="K367" s="27">
        <f t="shared" si="37"/>
        <v>-345.39968063856327</v>
      </c>
    </row>
    <row r="368" spans="1:11">
      <c r="A368" s="26">
        <v>318</v>
      </c>
      <c r="B368" s="82">
        <f t="shared" si="38"/>
        <v>0</v>
      </c>
      <c r="C368" s="58">
        <f t="shared" si="42"/>
        <v>156.29037528357509</v>
      </c>
      <c r="D368" s="83">
        <f t="shared" si="39"/>
        <v>666.66666666666663</v>
      </c>
      <c r="E368">
        <f t="shared" si="35"/>
        <v>0</v>
      </c>
      <c r="G368">
        <v>318</v>
      </c>
      <c r="H368" s="13">
        <f t="shared" si="40"/>
        <v>-7.7831728503952036E-4</v>
      </c>
      <c r="I368">
        <f t="shared" si="41"/>
        <v>156.04287038693252</v>
      </c>
      <c r="J368">
        <f t="shared" si="36"/>
        <v>666.16546110633533</v>
      </c>
      <c r="K368" s="27">
        <f t="shared" si="37"/>
        <v>-345.39803854175472</v>
      </c>
    </row>
    <row r="369" spans="1:11">
      <c r="A369" s="26">
        <v>319</v>
      </c>
      <c r="B369" s="82">
        <f t="shared" si="38"/>
        <v>0</v>
      </c>
      <c r="C369" s="58">
        <f t="shared" si="42"/>
        <v>156.29037528357509</v>
      </c>
      <c r="D369" s="83">
        <f t="shared" si="39"/>
        <v>666.66666666666663</v>
      </c>
      <c r="E369">
        <f t="shared" si="35"/>
        <v>0</v>
      </c>
      <c r="G369">
        <v>319</v>
      </c>
      <c r="H369" s="13">
        <f t="shared" si="40"/>
        <v>-7.7831728503952036E-4</v>
      </c>
      <c r="I369">
        <f t="shared" si="41"/>
        <v>156.04209206964748</v>
      </c>
      <c r="J369">
        <f t="shared" si="36"/>
        <v>666.16387753939546</v>
      </c>
      <c r="K369" s="27">
        <f t="shared" si="37"/>
        <v>-345.39639640005362</v>
      </c>
    </row>
    <row r="370" spans="1:11">
      <c r="A370" s="26">
        <v>320</v>
      </c>
      <c r="B370" s="82">
        <f t="shared" si="38"/>
        <v>0</v>
      </c>
      <c r="C370" s="58">
        <f t="shared" si="42"/>
        <v>156.29037528357509</v>
      </c>
      <c r="D370" s="83">
        <f t="shared" si="39"/>
        <v>666.66666666666663</v>
      </c>
      <c r="E370">
        <f t="shared" si="35"/>
        <v>0</v>
      </c>
      <c r="G370">
        <v>320</v>
      </c>
      <c r="H370" s="13">
        <f t="shared" si="40"/>
        <v>-7.7831728503952036E-4</v>
      </c>
      <c r="I370">
        <f t="shared" si="41"/>
        <v>156.04131375236244</v>
      </c>
      <c r="J370">
        <f t="shared" si="36"/>
        <v>666.16229392539765</v>
      </c>
      <c r="K370" s="27">
        <f t="shared" si="37"/>
        <v>-345.39475421345668</v>
      </c>
    </row>
    <row r="371" spans="1:11">
      <c r="A371" s="26">
        <v>321</v>
      </c>
      <c r="B371" s="82">
        <f t="shared" si="38"/>
        <v>0</v>
      </c>
      <c r="C371" s="58">
        <f t="shared" si="42"/>
        <v>156.29037528357509</v>
      </c>
      <c r="D371" s="83">
        <f t="shared" si="39"/>
        <v>666.66666666666663</v>
      </c>
      <c r="E371">
        <f t="shared" ref="E371:E434" si="43">((D371^2)+(D371*D372)+(D372^2))*B372/3</f>
        <v>0</v>
      </c>
      <c r="G371">
        <v>321</v>
      </c>
      <c r="H371" s="13">
        <f t="shared" si="40"/>
        <v>-7.7831728503952036E-4</v>
      </c>
      <c r="I371">
        <f t="shared" si="41"/>
        <v>156.0405354350774</v>
      </c>
      <c r="J371">
        <f t="shared" ref="J371:J434" si="44">IF($G$28&lt;$C$14,0,((($C$11^2)-((I371-$C$13)^2))^0.5)+$C$16)</f>
        <v>666.16071026433849</v>
      </c>
      <c r="K371" s="27">
        <f t="shared" ref="K371:K434" si="45">((J371^2)+(J371*J372)+(J372^2))*H372/3</f>
        <v>-345.39311198196077</v>
      </c>
    </row>
    <row r="372" spans="1:11">
      <c r="A372" s="26">
        <v>322</v>
      </c>
      <c r="B372" s="82">
        <f t="shared" ref="B372:B435" si="46">C372-C371</f>
        <v>0</v>
      </c>
      <c r="C372" s="58">
        <f t="shared" si="42"/>
        <v>156.29037528357509</v>
      </c>
      <c r="D372" s="83">
        <f t="shared" ref="D372:D435" si="47">IF($G$28&lt;$C$14,0,((($C$11^2)-((C372-$C$13)^2))^0.5)+$C$16)</f>
        <v>666.66666666666663</v>
      </c>
      <c r="E372">
        <f t="shared" si="43"/>
        <v>0</v>
      </c>
      <c r="G372">
        <v>322</v>
      </c>
      <c r="H372" s="13">
        <f t="shared" ref="H372:H435" si="48">I372-I371</f>
        <v>-7.7831728503952036E-4</v>
      </c>
      <c r="I372">
        <f t="shared" ref="I372:I435" si="49">($G$27-$C$14)/2000+I371</f>
        <v>156.03975711779236</v>
      </c>
      <c r="J372">
        <f t="shared" si="44"/>
        <v>666.15912655621457</v>
      </c>
      <c r="K372" s="27">
        <f t="shared" si="45"/>
        <v>-345.39146970556277</v>
      </c>
    </row>
    <row r="373" spans="1:11">
      <c r="A373" s="26">
        <v>323</v>
      </c>
      <c r="B373" s="82">
        <f t="shared" si="46"/>
        <v>0</v>
      </c>
      <c r="C373" s="58">
        <f t="shared" si="42"/>
        <v>156.29037528357509</v>
      </c>
      <c r="D373" s="83">
        <f t="shared" si="47"/>
        <v>666.66666666666663</v>
      </c>
      <c r="E373">
        <f t="shared" si="43"/>
        <v>0</v>
      </c>
      <c r="G373">
        <v>323</v>
      </c>
      <c r="H373" s="13">
        <f t="shared" si="48"/>
        <v>-7.7831728503952036E-4</v>
      </c>
      <c r="I373">
        <f t="shared" si="49"/>
        <v>156.03897880050732</v>
      </c>
      <c r="J373">
        <f t="shared" si="44"/>
        <v>666.1575428010226</v>
      </c>
      <c r="K373" s="27">
        <f t="shared" si="45"/>
        <v>-345.38982738425949</v>
      </c>
    </row>
    <row r="374" spans="1:11">
      <c r="A374" s="26">
        <v>324</v>
      </c>
      <c r="B374" s="82">
        <f t="shared" si="46"/>
        <v>0</v>
      </c>
      <c r="C374" s="58">
        <f t="shared" si="42"/>
        <v>156.29037528357509</v>
      </c>
      <c r="D374" s="83">
        <f t="shared" si="47"/>
        <v>666.66666666666663</v>
      </c>
      <c r="E374">
        <f t="shared" si="43"/>
        <v>0</v>
      </c>
      <c r="G374">
        <v>324</v>
      </c>
      <c r="H374" s="13">
        <f t="shared" si="48"/>
        <v>-7.7831728503952036E-4</v>
      </c>
      <c r="I374">
        <f t="shared" si="49"/>
        <v>156.03820048322228</v>
      </c>
      <c r="J374">
        <f t="shared" si="44"/>
        <v>666.15595899875916</v>
      </c>
      <c r="K374" s="27">
        <f t="shared" si="45"/>
        <v>-345.38818501804803</v>
      </c>
    </row>
    <row r="375" spans="1:11">
      <c r="A375" s="26">
        <v>325</v>
      </c>
      <c r="B375" s="82">
        <f t="shared" si="46"/>
        <v>0</v>
      </c>
      <c r="C375" s="58">
        <f t="shared" si="42"/>
        <v>156.29037528357509</v>
      </c>
      <c r="D375" s="83">
        <f t="shared" si="47"/>
        <v>666.66666666666663</v>
      </c>
      <c r="E375">
        <f t="shared" si="43"/>
        <v>0</v>
      </c>
      <c r="G375">
        <v>325</v>
      </c>
      <c r="H375" s="13">
        <f t="shared" si="48"/>
        <v>-7.7831728503952036E-4</v>
      </c>
      <c r="I375">
        <f t="shared" si="49"/>
        <v>156.03742216593724</v>
      </c>
      <c r="J375">
        <f t="shared" si="44"/>
        <v>666.15437514942096</v>
      </c>
      <c r="K375" s="27">
        <f t="shared" si="45"/>
        <v>-345.38654260692488</v>
      </c>
    </row>
    <row r="376" spans="1:11">
      <c r="A376" s="26">
        <v>326</v>
      </c>
      <c r="B376" s="82">
        <f t="shared" si="46"/>
        <v>0</v>
      </c>
      <c r="C376" s="58">
        <f t="shared" si="42"/>
        <v>156.29037528357509</v>
      </c>
      <c r="D376" s="83">
        <f t="shared" si="47"/>
        <v>666.66666666666663</v>
      </c>
      <c r="E376">
        <f t="shared" si="43"/>
        <v>0</v>
      </c>
      <c r="G376">
        <v>326</v>
      </c>
      <c r="H376" s="13">
        <f t="shared" si="48"/>
        <v>-7.7831728503952036E-4</v>
      </c>
      <c r="I376">
        <f t="shared" si="49"/>
        <v>156.0366438486522</v>
      </c>
      <c r="J376">
        <f t="shared" si="44"/>
        <v>666.15279125300447</v>
      </c>
      <c r="K376" s="27">
        <f t="shared" si="45"/>
        <v>-345.38490015088706</v>
      </c>
    </row>
    <row r="377" spans="1:11">
      <c r="A377" s="26">
        <v>327</v>
      </c>
      <c r="B377" s="82">
        <f t="shared" si="46"/>
        <v>0</v>
      </c>
      <c r="C377" s="58">
        <f t="shared" si="42"/>
        <v>156.29037528357509</v>
      </c>
      <c r="D377" s="83">
        <f t="shared" si="47"/>
        <v>666.66666666666663</v>
      </c>
      <c r="E377">
        <f t="shared" si="43"/>
        <v>0</v>
      </c>
      <c r="G377">
        <v>327</v>
      </c>
      <c r="H377" s="13">
        <f t="shared" si="48"/>
        <v>-7.7831728503952036E-4</v>
      </c>
      <c r="I377">
        <f t="shared" si="49"/>
        <v>156.03586553136716</v>
      </c>
      <c r="J377">
        <f t="shared" si="44"/>
        <v>666.15120730950639</v>
      </c>
      <c r="K377" s="27">
        <f t="shared" si="45"/>
        <v>-345.38325764993129</v>
      </c>
    </row>
    <row r="378" spans="1:11">
      <c r="A378" s="26">
        <v>328</v>
      </c>
      <c r="B378" s="82">
        <f t="shared" si="46"/>
        <v>0</v>
      </c>
      <c r="C378" s="58">
        <f t="shared" si="42"/>
        <v>156.29037528357509</v>
      </c>
      <c r="D378" s="83">
        <f t="shared" si="47"/>
        <v>666.66666666666663</v>
      </c>
      <c r="E378">
        <f t="shared" si="43"/>
        <v>0</v>
      </c>
      <c r="G378">
        <v>328</v>
      </c>
      <c r="H378" s="13">
        <f t="shared" si="48"/>
        <v>-7.7831728503952036E-4</v>
      </c>
      <c r="I378">
        <f t="shared" si="49"/>
        <v>156.03508721408213</v>
      </c>
      <c r="J378">
        <f t="shared" si="44"/>
        <v>666.1496233189232</v>
      </c>
      <c r="K378" s="27">
        <f t="shared" si="45"/>
        <v>-345.38161510405456</v>
      </c>
    </row>
    <row r="379" spans="1:11">
      <c r="A379" s="26">
        <v>329</v>
      </c>
      <c r="B379" s="82">
        <f t="shared" si="46"/>
        <v>0</v>
      </c>
      <c r="C379" s="58">
        <f t="shared" si="42"/>
        <v>156.29037528357509</v>
      </c>
      <c r="D379" s="83">
        <f t="shared" si="47"/>
        <v>666.66666666666663</v>
      </c>
      <c r="E379">
        <f t="shared" si="43"/>
        <v>0</v>
      </c>
      <c r="G379">
        <v>329</v>
      </c>
      <c r="H379" s="13">
        <f t="shared" si="48"/>
        <v>-7.7831728503952036E-4</v>
      </c>
      <c r="I379">
        <f t="shared" si="49"/>
        <v>156.03430889679709</v>
      </c>
      <c r="J379">
        <f t="shared" si="44"/>
        <v>666.14803928125173</v>
      </c>
      <c r="K379" s="27">
        <f t="shared" si="45"/>
        <v>-345.37997251325351</v>
      </c>
    </row>
    <row r="380" spans="1:11">
      <c r="A380" s="26">
        <v>330</v>
      </c>
      <c r="B380" s="82">
        <f t="shared" si="46"/>
        <v>0</v>
      </c>
      <c r="C380" s="58">
        <f t="shared" si="42"/>
        <v>156.29037528357509</v>
      </c>
      <c r="D380" s="83">
        <f t="shared" si="47"/>
        <v>666.66666666666663</v>
      </c>
      <c r="E380">
        <f t="shared" si="43"/>
        <v>0</v>
      </c>
      <c r="G380">
        <v>330</v>
      </c>
      <c r="H380" s="13">
        <f t="shared" si="48"/>
        <v>-7.7831728503952036E-4</v>
      </c>
      <c r="I380">
        <f t="shared" si="49"/>
        <v>156.03353057951205</v>
      </c>
      <c r="J380">
        <f t="shared" si="44"/>
        <v>666.14645519648843</v>
      </c>
      <c r="K380" s="27">
        <f t="shared" si="45"/>
        <v>-345.37832987752518</v>
      </c>
    </row>
    <row r="381" spans="1:11">
      <c r="A381" s="26">
        <v>331</v>
      </c>
      <c r="B381" s="82">
        <f t="shared" si="46"/>
        <v>0</v>
      </c>
      <c r="C381" s="58">
        <f t="shared" si="42"/>
        <v>156.29037528357509</v>
      </c>
      <c r="D381" s="83">
        <f t="shared" si="47"/>
        <v>666.66666666666663</v>
      </c>
      <c r="E381">
        <f t="shared" si="43"/>
        <v>0</v>
      </c>
      <c r="G381">
        <v>331</v>
      </c>
      <c r="H381" s="13">
        <f t="shared" si="48"/>
        <v>-7.7831728503952036E-4</v>
      </c>
      <c r="I381">
        <f t="shared" si="49"/>
        <v>156.03275226222701</v>
      </c>
      <c r="J381">
        <f t="shared" si="44"/>
        <v>666.14487106463002</v>
      </c>
      <c r="K381" s="27">
        <f t="shared" si="45"/>
        <v>-345.37668719686638</v>
      </c>
    </row>
    <row r="382" spans="1:11">
      <c r="A382" s="26">
        <v>332</v>
      </c>
      <c r="B382" s="82">
        <f t="shared" si="46"/>
        <v>0</v>
      </c>
      <c r="C382" s="58">
        <f t="shared" si="42"/>
        <v>156.29037528357509</v>
      </c>
      <c r="D382" s="83">
        <f t="shared" si="47"/>
        <v>666.66666666666663</v>
      </c>
      <c r="E382">
        <f t="shared" si="43"/>
        <v>0</v>
      </c>
      <c r="G382">
        <v>332</v>
      </c>
      <c r="H382" s="13">
        <f t="shared" si="48"/>
        <v>-7.7831728503952036E-4</v>
      </c>
      <c r="I382">
        <f t="shared" si="49"/>
        <v>156.03197394494197</v>
      </c>
      <c r="J382">
        <f t="shared" si="44"/>
        <v>666.14328688567309</v>
      </c>
      <c r="K382" s="27">
        <f t="shared" si="45"/>
        <v>-345.37504447127384</v>
      </c>
    </row>
    <row r="383" spans="1:11">
      <c r="A383" s="26">
        <v>333</v>
      </c>
      <c r="B383" s="82">
        <f t="shared" si="46"/>
        <v>0</v>
      </c>
      <c r="C383" s="58">
        <f t="shared" si="42"/>
        <v>156.29037528357509</v>
      </c>
      <c r="D383" s="83">
        <f t="shared" si="47"/>
        <v>666.66666666666663</v>
      </c>
      <c r="E383">
        <f t="shared" si="43"/>
        <v>0</v>
      </c>
      <c r="G383">
        <v>333</v>
      </c>
      <c r="H383" s="13">
        <f t="shared" si="48"/>
        <v>-7.7831728503952036E-4</v>
      </c>
      <c r="I383">
        <f t="shared" si="49"/>
        <v>156.03119562765693</v>
      </c>
      <c r="J383">
        <f t="shared" si="44"/>
        <v>666.14170265961423</v>
      </c>
      <c r="K383" s="27">
        <f t="shared" si="45"/>
        <v>-345.37340170074452</v>
      </c>
    </row>
    <row r="384" spans="1:11">
      <c r="A384" s="26">
        <v>334</v>
      </c>
      <c r="B384" s="82">
        <f t="shared" si="46"/>
        <v>0</v>
      </c>
      <c r="C384" s="58">
        <f t="shared" si="42"/>
        <v>156.29037528357509</v>
      </c>
      <c r="D384" s="83">
        <f t="shared" si="47"/>
        <v>666.66666666666663</v>
      </c>
      <c r="E384">
        <f t="shared" si="43"/>
        <v>0</v>
      </c>
      <c r="G384">
        <v>334</v>
      </c>
      <c r="H384" s="13">
        <f t="shared" si="48"/>
        <v>-7.7831728503952036E-4</v>
      </c>
      <c r="I384">
        <f t="shared" si="49"/>
        <v>156.03041731037189</v>
      </c>
      <c r="J384">
        <f t="shared" si="44"/>
        <v>666.14011838645013</v>
      </c>
      <c r="K384" s="27">
        <f t="shared" si="45"/>
        <v>-345.37175888527514</v>
      </c>
    </row>
    <row r="385" spans="1:11">
      <c r="A385" s="26">
        <v>335</v>
      </c>
      <c r="B385" s="82">
        <f t="shared" si="46"/>
        <v>0</v>
      </c>
      <c r="C385" s="58">
        <f t="shared" si="42"/>
        <v>156.29037528357509</v>
      </c>
      <c r="D385" s="83">
        <f t="shared" si="47"/>
        <v>666.66666666666663</v>
      </c>
      <c r="E385">
        <f t="shared" si="43"/>
        <v>0</v>
      </c>
      <c r="G385">
        <v>335</v>
      </c>
      <c r="H385" s="13">
        <f t="shared" si="48"/>
        <v>-7.7831728503952036E-4</v>
      </c>
      <c r="I385">
        <f t="shared" si="49"/>
        <v>156.02963899308685</v>
      </c>
      <c r="J385">
        <f t="shared" si="44"/>
        <v>666.13853406617727</v>
      </c>
      <c r="K385" s="27">
        <f t="shared" si="45"/>
        <v>-345.37011602486263</v>
      </c>
    </row>
    <row r="386" spans="1:11">
      <c r="A386" s="26">
        <v>336</v>
      </c>
      <c r="B386" s="82">
        <f t="shared" si="46"/>
        <v>0</v>
      </c>
      <c r="C386" s="58">
        <f t="shared" si="42"/>
        <v>156.29037528357509</v>
      </c>
      <c r="D386" s="83">
        <f t="shared" si="47"/>
        <v>666.66666666666663</v>
      </c>
      <c r="E386">
        <f t="shared" si="43"/>
        <v>0</v>
      </c>
      <c r="G386">
        <v>336</v>
      </c>
      <c r="H386" s="13">
        <f t="shared" si="48"/>
        <v>-7.7831728503952036E-4</v>
      </c>
      <c r="I386">
        <f t="shared" si="49"/>
        <v>156.02886067580181</v>
      </c>
      <c r="J386">
        <f t="shared" si="44"/>
        <v>666.13694969879236</v>
      </c>
      <c r="K386" s="27">
        <f t="shared" si="45"/>
        <v>-345.36847311950373</v>
      </c>
    </row>
    <row r="387" spans="1:11">
      <c r="A387" s="26">
        <v>337</v>
      </c>
      <c r="B387" s="82">
        <f t="shared" si="46"/>
        <v>0</v>
      </c>
      <c r="C387" s="58">
        <f t="shared" si="42"/>
        <v>156.29037528357509</v>
      </c>
      <c r="D387" s="83">
        <f t="shared" si="47"/>
        <v>666.66666666666663</v>
      </c>
      <c r="E387">
        <f t="shared" si="43"/>
        <v>0</v>
      </c>
      <c r="G387">
        <v>337</v>
      </c>
      <c r="H387" s="13">
        <f t="shared" si="48"/>
        <v>-7.7831728503952036E-4</v>
      </c>
      <c r="I387">
        <f t="shared" si="49"/>
        <v>156.02808235851677</v>
      </c>
      <c r="J387">
        <f t="shared" si="44"/>
        <v>666.13536528429199</v>
      </c>
      <c r="K387" s="27">
        <f t="shared" si="45"/>
        <v>-345.36683016919551</v>
      </c>
    </row>
    <row r="388" spans="1:11">
      <c r="A388" s="26">
        <v>338</v>
      </c>
      <c r="B388" s="82">
        <f t="shared" si="46"/>
        <v>0</v>
      </c>
      <c r="C388" s="58">
        <f t="shared" si="42"/>
        <v>156.29037528357509</v>
      </c>
      <c r="D388" s="83">
        <f t="shared" si="47"/>
        <v>666.66666666666663</v>
      </c>
      <c r="E388">
        <f t="shared" si="43"/>
        <v>0</v>
      </c>
      <c r="G388">
        <v>338</v>
      </c>
      <c r="H388" s="13">
        <f t="shared" si="48"/>
        <v>-7.7831728503952036E-4</v>
      </c>
      <c r="I388">
        <f t="shared" si="49"/>
        <v>156.02730404123173</v>
      </c>
      <c r="J388">
        <f t="shared" si="44"/>
        <v>666.13378082267275</v>
      </c>
      <c r="K388" s="27">
        <f t="shared" si="45"/>
        <v>-345.36518717393443</v>
      </c>
    </row>
    <row r="389" spans="1:11">
      <c r="A389" s="26">
        <v>339</v>
      </c>
      <c r="B389" s="82">
        <f t="shared" si="46"/>
        <v>0</v>
      </c>
      <c r="C389" s="58">
        <f t="shared" si="42"/>
        <v>156.29037528357509</v>
      </c>
      <c r="D389" s="83">
        <f t="shared" si="47"/>
        <v>666.66666666666663</v>
      </c>
      <c r="E389">
        <f t="shared" si="43"/>
        <v>0</v>
      </c>
      <c r="G389">
        <v>339</v>
      </c>
      <c r="H389" s="13">
        <f t="shared" si="48"/>
        <v>-7.7831728503952036E-4</v>
      </c>
      <c r="I389">
        <f t="shared" si="49"/>
        <v>156.02652572394669</v>
      </c>
      <c r="J389">
        <f t="shared" si="44"/>
        <v>666.13219631393133</v>
      </c>
      <c r="K389" s="27">
        <f t="shared" si="45"/>
        <v>-345.36354413371765</v>
      </c>
    </row>
    <row r="390" spans="1:11">
      <c r="A390" s="26">
        <v>340</v>
      </c>
      <c r="B390" s="82">
        <f t="shared" si="46"/>
        <v>0</v>
      </c>
      <c r="C390" s="58">
        <f t="shared" si="42"/>
        <v>156.29037528357509</v>
      </c>
      <c r="D390" s="83">
        <f t="shared" si="47"/>
        <v>666.66666666666663</v>
      </c>
      <c r="E390">
        <f t="shared" si="43"/>
        <v>0</v>
      </c>
      <c r="G390">
        <v>340</v>
      </c>
      <c r="H390" s="13">
        <f t="shared" si="48"/>
        <v>-7.7831728503952036E-4</v>
      </c>
      <c r="I390">
        <f t="shared" si="49"/>
        <v>156.02574740666165</v>
      </c>
      <c r="J390">
        <f t="shared" si="44"/>
        <v>666.13061175806433</v>
      </c>
      <c r="K390" s="27">
        <f t="shared" si="45"/>
        <v>-345.36190104854199</v>
      </c>
    </row>
    <row r="391" spans="1:11">
      <c r="A391" s="26">
        <v>341</v>
      </c>
      <c r="B391" s="82">
        <f t="shared" si="46"/>
        <v>0</v>
      </c>
      <c r="C391" s="58">
        <f t="shared" si="42"/>
        <v>156.29037528357509</v>
      </c>
      <c r="D391" s="83">
        <f t="shared" si="47"/>
        <v>666.66666666666663</v>
      </c>
      <c r="E391">
        <f t="shared" si="43"/>
        <v>0</v>
      </c>
      <c r="G391">
        <v>341</v>
      </c>
      <c r="H391" s="13">
        <f t="shared" si="48"/>
        <v>-7.7831728503952036E-4</v>
      </c>
      <c r="I391">
        <f t="shared" si="49"/>
        <v>156.02496908937661</v>
      </c>
      <c r="J391">
        <f t="shared" si="44"/>
        <v>666.12902715506823</v>
      </c>
      <c r="K391" s="27">
        <f t="shared" si="45"/>
        <v>-345.3602579184041</v>
      </c>
    </row>
    <row r="392" spans="1:11">
      <c r="A392" s="26">
        <v>342</v>
      </c>
      <c r="B392" s="82">
        <f t="shared" si="46"/>
        <v>0</v>
      </c>
      <c r="C392" s="58">
        <f t="shared" si="42"/>
        <v>156.29037528357509</v>
      </c>
      <c r="D392" s="83">
        <f t="shared" si="47"/>
        <v>666.66666666666663</v>
      </c>
      <c r="E392">
        <f t="shared" si="43"/>
        <v>0</v>
      </c>
      <c r="G392">
        <v>342</v>
      </c>
      <c r="H392" s="13">
        <f t="shared" si="48"/>
        <v>-7.7831728503952036E-4</v>
      </c>
      <c r="I392">
        <f t="shared" si="49"/>
        <v>156.02419077209157</v>
      </c>
      <c r="J392">
        <f t="shared" si="44"/>
        <v>666.12744250493984</v>
      </c>
      <c r="K392" s="27">
        <f t="shared" si="45"/>
        <v>-345.3586147433009</v>
      </c>
    </row>
    <row r="393" spans="1:11">
      <c r="A393" s="26">
        <v>343</v>
      </c>
      <c r="B393" s="82">
        <f t="shared" si="46"/>
        <v>0</v>
      </c>
      <c r="C393" s="58">
        <f t="shared" si="42"/>
        <v>156.29037528357509</v>
      </c>
      <c r="D393" s="83">
        <f t="shared" si="47"/>
        <v>666.66666666666663</v>
      </c>
      <c r="E393">
        <f t="shared" si="43"/>
        <v>0</v>
      </c>
      <c r="G393">
        <v>343</v>
      </c>
      <c r="H393" s="13">
        <f t="shared" si="48"/>
        <v>-7.7831728503952036E-4</v>
      </c>
      <c r="I393">
        <f t="shared" si="49"/>
        <v>156.02341245480653</v>
      </c>
      <c r="J393">
        <f t="shared" si="44"/>
        <v>666.12585780767563</v>
      </c>
      <c r="K393" s="27">
        <f t="shared" si="45"/>
        <v>-345.35697152322922</v>
      </c>
    </row>
    <row r="394" spans="1:11">
      <c r="A394" s="26">
        <v>344</v>
      </c>
      <c r="B394" s="82">
        <f t="shared" si="46"/>
        <v>0</v>
      </c>
      <c r="C394" s="58">
        <f t="shared" si="42"/>
        <v>156.29037528357509</v>
      </c>
      <c r="D394" s="83">
        <f t="shared" si="47"/>
        <v>666.66666666666663</v>
      </c>
      <c r="E394">
        <f t="shared" si="43"/>
        <v>0</v>
      </c>
      <c r="G394">
        <v>344</v>
      </c>
      <c r="H394" s="13">
        <f t="shared" si="48"/>
        <v>-7.7831728503952036E-4</v>
      </c>
      <c r="I394">
        <f t="shared" si="49"/>
        <v>156.02263413752149</v>
      </c>
      <c r="J394">
        <f t="shared" si="44"/>
        <v>666.1242730632722</v>
      </c>
      <c r="K394" s="27">
        <f t="shared" si="45"/>
        <v>-345.35532825818592</v>
      </c>
    </row>
    <row r="395" spans="1:11">
      <c r="A395" s="26">
        <v>345</v>
      </c>
      <c r="B395" s="82">
        <f t="shared" si="46"/>
        <v>0</v>
      </c>
      <c r="C395" s="58">
        <f t="shared" si="42"/>
        <v>156.29037528357509</v>
      </c>
      <c r="D395" s="83">
        <f t="shared" si="47"/>
        <v>666.66666666666663</v>
      </c>
      <c r="E395">
        <f t="shared" si="43"/>
        <v>0</v>
      </c>
      <c r="G395">
        <v>345</v>
      </c>
      <c r="H395" s="13">
        <f t="shared" si="48"/>
        <v>-7.7831728503952036E-4</v>
      </c>
      <c r="I395">
        <f t="shared" si="49"/>
        <v>156.02185582023645</v>
      </c>
      <c r="J395">
        <f t="shared" si="44"/>
        <v>666.12268827172625</v>
      </c>
      <c r="K395" s="27">
        <f t="shared" si="45"/>
        <v>-345.35368494816788</v>
      </c>
    </row>
    <row r="396" spans="1:11">
      <c r="A396" s="26">
        <v>346</v>
      </c>
      <c r="B396" s="82">
        <f t="shared" si="46"/>
        <v>0</v>
      </c>
      <c r="C396" s="58">
        <f t="shared" si="42"/>
        <v>156.29037528357509</v>
      </c>
      <c r="D396" s="83">
        <f t="shared" si="47"/>
        <v>666.66666666666663</v>
      </c>
      <c r="E396">
        <f t="shared" si="43"/>
        <v>0</v>
      </c>
      <c r="G396">
        <v>346</v>
      </c>
      <c r="H396" s="13">
        <f t="shared" si="48"/>
        <v>-7.7831728503952036E-4</v>
      </c>
      <c r="I396">
        <f t="shared" si="49"/>
        <v>156.02107750295141</v>
      </c>
      <c r="J396">
        <f t="shared" si="44"/>
        <v>666.12110343303448</v>
      </c>
      <c r="K396" s="27">
        <f t="shared" si="45"/>
        <v>-345.3520415931718</v>
      </c>
    </row>
    <row r="397" spans="1:11">
      <c r="A397" s="26">
        <v>347</v>
      </c>
      <c r="B397" s="82">
        <f t="shared" si="46"/>
        <v>0</v>
      </c>
      <c r="C397" s="58">
        <f t="shared" si="42"/>
        <v>156.29037528357509</v>
      </c>
      <c r="D397" s="83">
        <f t="shared" si="47"/>
        <v>666.66666666666663</v>
      </c>
      <c r="E397">
        <f t="shared" si="43"/>
        <v>0</v>
      </c>
      <c r="G397">
        <v>347</v>
      </c>
      <c r="H397" s="13">
        <f t="shared" si="48"/>
        <v>-7.7831728503952036E-4</v>
      </c>
      <c r="I397">
        <f t="shared" si="49"/>
        <v>156.02029918566637</v>
      </c>
      <c r="J397">
        <f t="shared" si="44"/>
        <v>666.11951854719314</v>
      </c>
      <c r="K397" s="27">
        <f t="shared" si="45"/>
        <v>-345.35039819319468</v>
      </c>
    </row>
    <row r="398" spans="1:11">
      <c r="A398" s="26">
        <v>348</v>
      </c>
      <c r="B398" s="82">
        <f t="shared" si="46"/>
        <v>0</v>
      </c>
      <c r="C398" s="58">
        <f t="shared" si="42"/>
        <v>156.29037528357509</v>
      </c>
      <c r="D398" s="83">
        <f t="shared" si="47"/>
        <v>666.66666666666663</v>
      </c>
      <c r="E398">
        <f t="shared" si="43"/>
        <v>0</v>
      </c>
      <c r="G398">
        <v>348</v>
      </c>
      <c r="H398" s="13">
        <f t="shared" si="48"/>
        <v>-7.7831728503952036E-4</v>
      </c>
      <c r="I398">
        <f t="shared" si="49"/>
        <v>156.01952086838133</v>
      </c>
      <c r="J398">
        <f t="shared" si="44"/>
        <v>666.11793361419927</v>
      </c>
      <c r="K398" s="27">
        <f t="shared" si="45"/>
        <v>-345.34875474823326</v>
      </c>
    </row>
    <row r="399" spans="1:11">
      <c r="A399" s="26">
        <v>349</v>
      </c>
      <c r="B399" s="82">
        <f t="shared" si="46"/>
        <v>0</v>
      </c>
      <c r="C399" s="58">
        <f t="shared" si="42"/>
        <v>156.29037528357509</v>
      </c>
      <c r="D399" s="83">
        <f t="shared" si="47"/>
        <v>666.66666666666663</v>
      </c>
      <c r="E399">
        <f t="shared" si="43"/>
        <v>0</v>
      </c>
      <c r="G399">
        <v>349</v>
      </c>
      <c r="H399" s="13">
        <f t="shared" si="48"/>
        <v>-7.7831728503952036E-4</v>
      </c>
      <c r="I399">
        <f t="shared" si="49"/>
        <v>156.0187425510963</v>
      </c>
      <c r="J399">
        <f t="shared" si="44"/>
        <v>666.11634863404925</v>
      </c>
      <c r="K399" s="27">
        <f t="shared" si="45"/>
        <v>-345.34711125828426</v>
      </c>
    </row>
    <row r="400" spans="1:11">
      <c r="A400" s="26">
        <v>350</v>
      </c>
      <c r="B400" s="82">
        <f t="shared" si="46"/>
        <v>0</v>
      </c>
      <c r="C400" s="58">
        <f t="shared" ref="C400:C463" si="50">($C$37-$C$36)/2000+C399</f>
        <v>156.29037528357509</v>
      </c>
      <c r="D400" s="83">
        <f t="shared" si="47"/>
        <v>666.66666666666663</v>
      </c>
      <c r="E400">
        <f t="shared" si="43"/>
        <v>0</v>
      </c>
      <c r="G400">
        <v>350</v>
      </c>
      <c r="H400" s="13">
        <f t="shared" si="48"/>
        <v>-7.7831728503952036E-4</v>
      </c>
      <c r="I400">
        <f t="shared" si="49"/>
        <v>156.01796423381126</v>
      </c>
      <c r="J400">
        <f t="shared" si="44"/>
        <v>666.11476360673964</v>
      </c>
      <c r="K400" s="27">
        <f t="shared" si="45"/>
        <v>-345.34546772334471</v>
      </c>
    </row>
    <row r="401" spans="1:11">
      <c r="A401" s="26">
        <v>351</v>
      </c>
      <c r="B401" s="82">
        <f t="shared" si="46"/>
        <v>0</v>
      </c>
      <c r="C401" s="58">
        <f t="shared" si="50"/>
        <v>156.29037528357509</v>
      </c>
      <c r="D401" s="83">
        <f t="shared" si="47"/>
        <v>666.66666666666663</v>
      </c>
      <c r="E401">
        <f t="shared" si="43"/>
        <v>0</v>
      </c>
      <c r="G401">
        <v>351</v>
      </c>
      <c r="H401" s="13">
        <f t="shared" si="48"/>
        <v>-7.7831728503952036E-4</v>
      </c>
      <c r="I401">
        <f t="shared" si="49"/>
        <v>156.01718591652622</v>
      </c>
      <c r="J401">
        <f t="shared" si="44"/>
        <v>666.11317853226717</v>
      </c>
      <c r="K401" s="27">
        <f t="shared" si="45"/>
        <v>-345.34382414341127</v>
      </c>
    </row>
    <row r="402" spans="1:11">
      <c r="A402" s="26">
        <v>352</v>
      </c>
      <c r="B402" s="82">
        <f t="shared" si="46"/>
        <v>0</v>
      </c>
      <c r="C402" s="58">
        <f t="shared" si="50"/>
        <v>156.29037528357509</v>
      </c>
      <c r="D402" s="83">
        <f t="shared" si="47"/>
        <v>666.66666666666663</v>
      </c>
      <c r="E402">
        <f t="shared" si="43"/>
        <v>0</v>
      </c>
      <c r="G402">
        <v>352</v>
      </c>
      <c r="H402" s="13">
        <f t="shared" si="48"/>
        <v>-7.7831728503952036E-4</v>
      </c>
      <c r="I402">
        <f t="shared" si="49"/>
        <v>156.01640759924118</v>
      </c>
      <c r="J402">
        <f t="shared" si="44"/>
        <v>666.1115934106283</v>
      </c>
      <c r="K402" s="27">
        <f t="shared" si="45"/>
        <v>-345.34218051848092</v>
      </c>
    </row>
    <row r="403" spans="1:11">
      <c r="A403" s="26">
        <v>353</v>
      </c>
      <c r="B403" s="82">
        <f t="shared" si="46"/>
        <v>0</v>
      </c>
      <c r="C403" s="58">
        <f t="shared" si="50"/>
        <v>156.29037528357509</v>
      </c>
      <c r="D403" s="83">
        <f t="shared" si="47"/>
        <v>666.66666666666663</v>
      </c>
      <c r="E403">
        <f t="shared" si="43"/>
        <v>0</v>
      </c>
      <c r="G403">
        <v>353</v>
      </c>
      <c r="H403" s="13">
        <f t="shared" si="48"/>
        <v>-7.7831728503952036E-4</v>
      </c>
      <c r="I403">
        <f t="shared" si="49"/>
        <v>156.01562928195614</v>
      </c>
      <c r="J403">
        <f t="shared" si="44"/>
        <v>666.11000824181986</v>
      </c>
      <c r="K403" s="27">
        <f t="shared" si="45"/>
        <v>-345.34053684855047</v>
      </c>
    </row>
    <row r="404" spans="1:11">
      <c r="A404" s="26">
        <v>354</v>
      </c>
      <c r="B404" s="82">
        <f t="shared" si="46"/>
        <v>0</v>
      </c>
      <c r="C404" s="58">
        <f t="shared" si="50"/>
        <v>156.29037528357509</v>
      </c>
      <c r="D404" s="83">
        <f t="shared" si="47"/>
        <v>666.66666666666663</v>
      </c>
      <c r="E404">
        <f t="shared" si="43"/>
        <v>0</v>
      </c>
      <c r="G404">
        <v>354</v>
      </c>
      <c r="H404" s="13">
        <f t="shared" si="48"/>
        <v>-7.7831728503952036E-4</v>
      </c>
      <c r="I404">
        <f t="shared" si="49"/>
        <v>156.0148509646711</v>
      </c>
      <c r="J404">
        <f t="shared" si="44"/>
        <v>666.10842302583831</v>
      </c>
      <c r="K404" s="27">
        <f t="shared" si="45"/>
        <v>-345.33889313361669</v>
      </c>
    </row>
    <row r="405" spans="1:11">
      <c r="A405" s="26">
        <v>355</v>
      </c>
      <c r="B405" s="82">
        <f t="shared" si="46"/>
        <v>0</v>
      </c>
      <c r="C405" s="58">
        <f t="shared" si="50"/>
        <v>156.29037528357509</v>
      </c>
      <c r="D405" s="83">
        <f t="shared" si="47"/>
        <v>666.66666666666663</v>
      </c>
      <c r="E405">
        <f t="shared" si="43"/>
        <v>0</v>
      </c>
      <c r="G405">
        <v>355</v>
      </c>
      <c r="H405" s="13">
        <f t="shared" si="48"/>
        <v>-7.7831728503952036E-4</v>
      </c>
      <c r="I405">
        <f t="shared" si="49"/>
        <v>156.01407264738606</v>
      </c>
      <c r="J405">
        <f t="shared" si="44"/>
        <v>666.10683776268036</v>
      </c>
      <c r="K405" s="27">
        <f t="shared" si="45"/>
        <v>-345.33724937367634</v>
      </c>
    </row>
    <row r="406" spans="1:11">
      <c r="A406" s="26">
        <v>356</v>
      </c>
      <c r="B406" s="82">
        <f t="shared" si="46"/>
        <v>0</v>
      </c>
      <c r="C406" s="58">
        <f t="shared" si="50"/>
        <v>156.29037528357509</v>
      </c>
      <c r="D406" s="83">
        <f t="shared" si="47"/>
        <v>666.66666666666663</v>
      </c>
      <c r="E406">
        <f t="shared" si="43"/>
        <v>0</v>
      </c>
      <c r="G406">
        <v>356</v>
      </c>
      <c r="H406" s="13">
        <f t="shared" si="48"/>
        <v>-7.7831728503952036E-4</v>
      </c>
      <c r="I406">
        <f t="shared" si="49"/>
        <v>156.01329433010102</v>
      </c>
      <c r="J406">
        <f t="shared" si="44"/>
        <v>666.10525245234248</v>
      </c>
      <c r="K406" s="27">
        <f t="shared" si="45"/>
        <v>-345.33560556872652</v>
      </c>
    </row>
    <row r="407" spans="1:11">
      <c r="A407" s="26">
        <v>357</v>
      </c>
      <c r="B407" s="82">
        <f t="shared" si="46"/>
        <v>0</v>
      </c>
      <c r="C407" s="58">
        <f t="shared" si="50"/>
        <v>156.29037528357509</v>
      </c>
      <c r="D407" s="83">
        <f t="shared" si="47"/>
        <v>666.66666666666663</v>
      </c>
      <c r="E407">
        <f t="shared" si="43"/>
        <v>0</v>
      </c>
      <c r="G407">
        <v>357</v>
      </c>
      <c r="H407" s="13">
        <f t="shared" si="48"/>
        <v>-7.7831728503952036E-4</v>
      </c>
      <c r="I407">
        <f t="shared" si="49"/>
        <v>156.01251601281598</v>
      </c>
      <c r="J407">
        <f t="shared" si="44"/>
        <v>666.10366709482128</v>
      </c>
      <c r="K407" s="27">
        <f t="shared" si="45"/>
        <v>-345.33396171876376</v>
      </c>
    </row>
    <row r="408" spans="1:11">
      <c r="A408" s="26">
        <v>358</v>
      </c>
      <c r="B408" s="82">
        <f t="shared" si="46"/>
        <v>0</v>
      </c>
      <c r="C408" s="58">
        <f t="shared" si="50"/>
        <v>156.29037528357509</v>
      </c>
      <c r="D408" s="83">
        <f t="shared" si="47"/>
        <v>666.66666666666663</v>
      </c>
      <c r="E408">
        <f t="shared" si="43"/>
        <v>0</v>
      </c>
      <c r="G408">
        <v>358</v>
      </c>
      <c r="H408" s="13">
        <f t="shared" si="48"/>
        <v>-7.7831728503952036E-4</v>
      </c>
      <c r="I408">
        <f t="shared" si="49"/>
        <v>156.01173769553094</v>
      </c>
      <c r="J408">
        <f t="shared" si="44"/>
        <v>666.10208169011355</v>
      </c>
      <c r="K408" s="27">
        <f t="shared" si="45"/>
        <v>-345.3323178237851</v>
      </c>
    </row>
    <row r="409" spans="1:11">
      <c r="A409" s="26">
        <v>359</v>
      </c>
      <c r="B409" s="82">
        <f t="shared" si="46"/>
        <v>0</v>
      </c>
      <c r="C409" s="58">
        <f t="shared" si="50"/>
        <v>156.29037528357509</v>
      </c>
      <c r="D409" s="83">
        <f t="shared" si="47"/>
        <v>666.66666666666663</v>
      </c>
      <c r="E409">
        <f t="shared" si="43"/>
        <v>0</v>
      </c>
      <c r="G409">
        <v>359</v>
      </c>
      <c r="H409" s="13">
        <f t="shared" si="48"/>
        <v>-7.7831728503952036E-4</v>
      </c>
      <c r="I409">
        <f t="shared" si="49"/>
        <v>156.0109593782459</v>
      </c>
      <c r="J409">
        <f t="shared" si="44"/>
        <v>666.10049623821567</v>
      </c>
      <c r="K409" s="27">
        <f t="shared" si="45"/>
        <v>-345.33067388378714</v>
      </c>
    </row>
    <row r="410" spans="1:11">
      <c r="A410" s="26">
        <v>360</v>
      </c>
      <c r="B410" s="82">
        <f t="shared" si="46"/>
        <v>0</v>
      </c>
      <c r="C410" s="58">
        <f t="shared" si="50"/>
        <v>156.29037528357509</v>
      </c>
      <c r="D410" s="83">
        <f t="shared" si="47"/>
        <v>666.66666666666663</v>
      </c>
      <c r="E410">
        <f t="shared" si="43"/>
        <v>0</v>
      </c>
      <c r="G410">
        <v>360</v>
      </c>
      <c r="H410" s="13">
        <f t="shared" si="48"/>
        <v>-7.7831728503952036E-4</v>
      </c>
      <c r="I410">
        <f t="shared" si="49"/>
        <v>156.01018106096086</v>
      </c>
      <c r="J410">
        <f t="shared" si="44"/>
        <v>666.09891073912434</v>
      </c>
      <c r="K410" s="27">
        <f t="shared" si="45"/>
        <v>-345.32902989876698</v>
      </c>
    </row>
    <row r="411" spans="1:11">
      <c r="A411" s="26">
        <v>361</v>
      </c>
      <c r="B411" s="82">
        <f t="shared" si="46"/>
        <v>0</v>
      </c>
      <c r="C411" s="58">
        <f t="shared" si="50"/>
        <v>156.29037528357509</v>
      </c>
      <c r="D411" s="83">
        <f t="shared" si="47"/>
        <v>666.66666666666663</v>
      </c>
      <c r="E411">
        <f t="shared" si="43"/>
        <v>0</v>
      </c>
      <c r="G411">
        <v>361</v>
      </c>
      <c r="H411" s="13">
        <f t="shared" si="48"/>
        <v>-7.7831728503952036E-4</v>
      </c>
      <c r="I411">
        <f t="shared" si="49"/>
        <v>156.00940274367582</v>
      </c>
      <c r="J411">
        <f t="shared" si="44"/>
        <v>666.09732519283625</v>
      </c>
      <c r="K411" s="27">
        <f t="shared" si="45"/>
        <v>-345.32738586872125</v>
      </c>
    </row>
    <row r="412" spans="1:11">
      <c r="A412" s="26">
        <v>362</v>
      </c>
      <c r="B412" s="82">
        <f t="shared" si="46"/>
        <v>0</v>
      </c>
      <c r="C412" s="58">
        <f t="shared" si="50"/>
        <v>156.29037528357509</v>
      </c>
      <c r="D412" s="83">
        <f t="shared" si="47"/>
        <v>666.66666666666663</v>
      </c>
      <c r="E412">
        <f t="shared" si="43"/>
        <v>0</v>
      </c>
      <c r="G412">
        <v>362</v>
      </c>
      <c r="H412" s="13">
        <f t="shared" si="48"/>
        <v>-7.7831728503952036E-4</v>
      </c>
      <c r="I412">
        <f t="shared" si="49"/>
        <v>156.00862442639078</v>
      </c>
      <c r="J412">
        <f t="shared" si="44"/>
        <v>666.09573959934778</v>
      </c>
      <c r="K412" s="27">
        <f t="shared" si="45"/>
        <v>-345.32574179364678</v>
      </c>
    </row>
    <row r="413" spans="1:11">
      <c r="A413" s="26">
        <v>363</v>
      </c>
      <c r="B413" s="82">
        <f t="shared" si="46"/>
        <v>0</v>
      </c>
      <c r="C413" s="58">
        <f t="shared" si="50"/>
        <v>156.29037528357509</v>
      </c>
      <c r="D413" s="83">
        <f t="shared" si="47"/>
        <v>666.66666666666663</v>
      </c>
      <c r="E413">
        <f t="shared" si="43"/>
        <v>0</v>
      </c>
      <c r="G413">
        <v>363</v>
      </c>
      <c r="H413" s="13">
        <f t="shared" si="48"/>
        <v>-7.7831728503952036E-4</v>
      </c>
      <c r="I413">
        <f t="shared" si="49"/>
        <v>156.00784610910574</v>
      </c>
      <c r="J413">
        <f t="shared" si="44"/>
        <v>666.09415395865574</v>
      </c>
      <c r="K413" s="27">
        <f t="shared" si="45"/>
        <v>-345.32409767354056</v>
      </c>
    </row>
    <row r="414" spans="1:11">
      <c r="A414" s="26">
        <v>364</v>
      </c>
      <c r="B414" s="82">
        <f t="shared" si="46"/>
        <v>0</v>
      </c>
      <c r="C414" s="58">
        <f t="shared" si="50"/>
        <v>156.29037528357509</v>
      </c>
      <c r="D414" s="83">
        <f t="shared" si="47"/>
        <v>666.66666666666663</v>
      </c>
      <c r="E414">
        <f t="shared" si="43"/>
        <v>0</v>
      </c>
      <c r="G414">
        <v>364</v>
      </c>
      <c r="H414" s="13">
        <f t="shared" si="48"/>
        <v>-7.7831728503952036E-4</v>
      </c>
      <c r="I414">
        <f t="shared" si="49"/>
        <v>156.0070677918207</v>
      </c>
      <c r="J414">
        <f t="shared" si="44"/>
        <v>666.09256827075671</v>
      </c>
      <c r="K414" s="27">
        <f t="shared" si="45"/>
        <v>-345.32245350839929</v>
      </c>
    </row>
    <row r="415" spans="1:11">
      <c r="A415" s="26">
        <v>365</v>
      </c>
      <c r="B415" s="82">
        <f t="shared" si="46"/>
        <v>0</v>
      </c>
      <c r="C415" s="58">
        <f t="shared" si="50"/>
        <v>156.29037528357509</v>
      </c>
      <c r="D415" s="83">
        <f t="shared" si="47"/>
        <v>666.66666666666663</v>
      </c>
      <c r="E415">
        <f t="shared" si="43"/>
        <v>0</v>
      </c>
      <c r="G415">
        <v>365</v>
      </c>
      <c r="H415" s="13">
        <f t="shared" si="48"/>
        <v>-7.7831728503952036E-4</v>
      </c>
      <c r="I415">
        <f t="shared" si="49"/>
        <v>156.00628947453566</v>
      </c>
      <c r="J415">
        <f t="shared" si="44"/>
        <v>666.09098253564719</v>
      </c>
      <c r="K415" s="27">
        <f t="shared" si="45"/>
        <v>-345.32080929821979</v>
      </c>
    </row>
    <row r="416" spans="1:11">
      <c r="A416" s="26">
        <v>366</v>
      </c>
      <c r="B416" s="82">
        <f t="shared" si="46"/>
        <v>0</v>
      </c>
      <c r="C416" s="58">
        <f t="shared" si="50"/>
        <v>156.29037528357509</v>
      </c>
      <c r="D416" s="83">
        <f t="shared" si="47"/>
        <v>666.66666666666663</v>
      </c>
      <c r="E416">
        <f t="shared" si="43"/>
        <v>0</v>
      </c>
      <c r="G416">
        <v>366</v>
      </c>
      <c r="H416" s="13">
        <f t="shared" si="48"/>
        <v>-7.7831728503952036E-4</v>
      </c>
      <c r="I416">
        <f t="shared" si="49"/>
        <v>156.00551115725062</v>
      </c>
      <c r="J416">
        <f t="shared" si="44"/>
        <v>666.08939675332385</v>
      </c>
      <c r="K416" s="27">
        <f t="shared" si="45"/>
        <v>-345.31916504299892</v>
      </c>
    </row>
    <row r="417" spans="1:11">
      <c r="A417" s="26">
        <v>367</v>
      </c>
      <c r="B417" s="82">
        <f t="shared" si="46"/>
        <v>0</v>
      </c>
      <c r="C417" s="58">
        <f t="shared" si="50"/>
        <v>156.29037528357509</v>
      </c>
      <c r="D417" s="83">
        <f t="shared" si="47"/>
        <v>666.66666666666663</v>
      </c>
      <c r="E417">
        <f t="shared" si="43"/>
        <v>0</v>
      </c>
      <c r="G417">
        <v>367</v>
      </c>
      <c r="H417" s="13">
        <f t="shared" si="48"/>
        <v>-7.7831728503952036E-4</v>
      </c>
      <c r="I417">
        <f t="shared" si="49"/>
        <v>156.00473283996558</v>
      </c>
      <c r="J417">
        <f t="shared" si="44"/>
        <v>666.08781092378331</v>
      </c>
      <c r="K417" s="27">
        <f t="shared" si="45"/>
        <v>-345.31752074273362</v>
      </c>
    </row>
    <row r="418" spans="1:11">
      <c r="A418" s="26">
        <v>368</v>
      </c>
      <c r="B418" s="82">
        <f t="shared" si="46"/>
        <v>0</v>
      </c>
      <c r="C418" s="58">
        <f t="shared" si="50"/>
        <v>156.29037528357509</v>
      </c>
      <c r="D418" s="83">
        <f t="shared" si="47"/>
        <v>666.66666666666663</v>
      </c>
      <c r="E418">
        <f t="shared" si="43"/>
        <v>0</v>
      </c>
      <c r="G418">
        <v>368</v>
      </c>
      <c r="H418" s="13">
        <f t="shared" si="48"/>
        <v>-7.7831728503952036E-4</v>
      </c>
      <c r="I418">
        <f t="shared" si="49"/>
        <v>156.00395452268054</v>
      </c>
      <c r="J418">
        <f t="shared" si="44"/>
        <v>666.08622504702214</v>
      </c>
      <c r="K418" s="27">
        <f t="shared" si="45"/>
        <v>-345.31587639742048</v>
      </c>
    </row>
    <row r="419" spans="1:11">
      <c r="A419" s="26">
        <v>369</v>
      </c>
      <c r="B419" s="82">
        <f t="shared" si="46"/>
        <v>0</v>
      </c>
      <c r="C419" s="58">
        <f t="shared" si="50"/>
        <v>156.29037528357509</v>
      </c>
      <c r="D419" s="83">
        <f t="shared" si="47"/>
        <v>666.66666666666663</v>
      </c>
      <c r="E419">
        <f t="shared" si="43"/>
        <v>0</v>
      </c>
      <c r="G419">
        <v>369</v>
      </c>
      <c r="H419" s="13">
        <f t="shared" si="48"/>
        <v>-7.7831728503952036E-4</v>
      </c>
      <c r="I419">
        <f t="shared" si="49"/>
        <v>156.0031762053955</v>
      </c>
      <c r="J419">
        <f t="shared" si="44"/>
        <v>666.08463912303694</v>
      </c>
      <c r="K419" s="27">
        <f t="shared" si="45"/>
        <v>-345.31423200705649</v>
      </c>
    </row>
    <row r="420" spans="1:11">
      <c r="A420" s="26">
        <v>370</v>
      </c>
      <c r="B420" s="82">
        <f t="shared" si="46"/>
        <v>0</v>
      </c>
      <c r="C420" s="58">
        <f t="shared" si="50"/>
        <v>156.29037528357509</v>
      </c>
      <c r="D420" s="83">
        <f t="shared" si="47"/>
        <v>666.66666666666663</v>
      </c>
      <c r="E420">
        <f t="shared" si="43"/>
        <v>0</v>
      </c>
      <c r="G420">
        <v>370</v>
      </c>
      <c r="H420" s="13">
        <f t="shared" si="48"/>
        <v>-7.7831728503952036E-4</v>
      </c>
      <c r="I420">
        <f t="shared" si="49"/>
        <v>156.00239788811047</v>
      </c>
      <c r="J420">
        <f t="shared" si="44"/>
        <v>666.08305315182429</v>
      </c>
      <c r="K420" s="27">
        <f t="shared" si="45"/>
        <v>-345.3125875716384</v>
      </c>
    </row>
    <row r="421" spans="1:11">
      <c r="A421" s="26">
        <v>371</v>
      </c>
      <c r="B421" s="82">
        <f t="shared" si="46"/>
        <v>0</v>
      </c>
      <c r="C421" s="58">
        <f t="shared" si="50"/>
        <v>156.29037528357509</v>
      </c>
      <c r="D421" s="83">
        <f t="shared" si="47"/>
        <v>666.66666666666663</v>
      </c>
      <c r="E421">
        <f t="shared" si="43"/>
        <v>0</v>
      </c>
      <c r="G421">
        <v>371</v>
      </c>
      <c r="H421" s="13">
        <f t="shared" si="48"/>
        <v>-7.7831728503952036E-4</v>
      </c>
      <c r="I421">
        <f t="shared" si="49"/>
        <v>156.00161957082543</v>
      </c>
      <c r="J421">
        <f t="shared" si="44"/>
        <v>666.08146713338078</v>
      </c>
      <c r="K421" s="27">
        <f t="shared" si="45"/>
        <v>-345.3109430911631</v>
      </c>
    </row>
    <row r="422" spans="1:11">
      <c r="A422" s="26">
        <v>372</v>
      </c>
      <c r="B422" s="82">
        <f t="shared" si="46"/>
        <v>0</v>
      </c>
      <c r="C422" s="58">
        <f t="shared" si="50"/>
        <v>156.29037528357509</v>
      </c>
      <c r="D422" s="83">
        <f t="shared" si="47"/>
        <v>666.66666666666663</v>
      </c>
      <c r="E422">
        <f t="shared" si="43"/>
        <v>0</v>
      </c>
      <c r="G422">
        <v>372</v>
      </c>
      <c r="H422" s="13">
        <f t="shared" si="48"/>
        <v>-7.7831728503952036E-4</v>
      </c>
      <c r="I422">
        <f t="shared" si="49"/>
        <v>156.00084125354039</v>
      </c>
      <c r="J422">
        <f t="shared" si="44"/>
        <v>666.07988106770313</v>
      </c>
      <c r="K422" s="27">
        <f t="shared" si="45"/>
        <v>-345.30929856562739</v>
      </c>
    </row>
    <row r="423" spans="1:11">
      <c r="A423" s="26">
        <v>373</v>
      </c>
      <c r="B423" s="82">
        <f t="shared" si="46"/>
        <v>0</v>
      </c>
      <c r="C423" s="58">
        <f t="shared" si="50"/>
        <v>156.29037528357509</v>
      </c>
      <c r="D423" s="83">
        <f t="shared" si="47"/>
        <v>666.66666666666663</v>
      </c>
      <c r="E423">
        <f t="shared" si="43"/>
        <v>0</v>
      </c>
      <c r="G423">
        <v>373</v>
      </c>
      <c r="H423" s="13">
        <f t="shared" si="48"/>
        <v>-7.7831728503952036E-4</v>
      </c>
      <c r="I423">
        <f t="shared" si="49"/>
        <v>156.00006293625535</v>
      </c>
      <c r="J423">
        <f t="shared" si="44"/>
        <v>666.07829495478779</v>
      </c>
      <c r="K423" s="27">
        <f t="shared" si="45"/>
        <v>-345.30765399502798</v>
      </c>
    </row>
    <row r="424" spans="1:11">
      <c r="A424" s="26">
        <v>374</v>
      </c>
      <c r="B424" s="82">
        <f t="shared" si="46"/>
        <v>0</v>
      </c>
      <c r="C424" s="58">
        <f t="shared" si="50"/>
        <v>156.29037528357509</v>
      </c>
      <c r="D424" s="83">
        <f t="shared" si="47"/>
        <v>666.66666666666663</v>
      </c>
      <c r="E424">
        <f t="shared" si="43"/>
        <v>0</v>
      </c>
      <c r="G424">
        <v>374</v>
      </c>
      <c r="H424" s="13">
        <f t="shared" si="48"/>
        <v>-7.7831728503952036E-4</v>
      </c>
      <c r="I424">
        <f t="shared" si="49"/>
        <v>155.99928461897031</v>
      </c>
      <c r="J424">
        <f t="shared" si="44"/>
        <v>666.07670879463137</v>
      </c>
      <c r="K424" s="27">
        <f t="shared" si="45"/>
        <v>-345.3060093793618</v>
      </c>
    </row>
    <row r="425" spans="1:11">
      <c r="A425" s="26">
        <v>375</v>
      </c>
      <c r="B425" s="82">
        <f t="shared" si="46"/>
        <v>0</v>
      </c>
      <c r="C425" s="58">
        <f t="shared" si="50"/>
        <v>156.29037528357509</v>
      </c>
      <c r="D425" s="83">
        <f t="shared" si="47"/>
        <v>666.66666666666663</v>
      </c>
      <c r="E425">
        <f t="shared" si="43"/>
        <v>0</v>
      </c>
      <c r="G425">
        <v>375</v>
      </c>
      <c r="H425" s="13">
        <f t="shared" si="48"/>
        <v>-7.7831728503952036E-4</v>
      </c>
      <c r="I425">
        <f t="shared" si="49"/>
        <v>155.99850630168527</v>
      </c>
      <c r="J425">
        <f t="shared" si="44"/>
        <v>666.07512258723057</v>
      </c>
      <c r="K425" s="27">
        <f t="shared" si="45"/>
        <v>-345.30436471862589</v>
      </c>
    </row>
    <row r="426" spans="1:11">
      <c r="A426" s="26">
        <v>376</v>
      </c>
      <c r="B426" s="82">
        <f t="shared" si="46"/>
        <v>0</v>
      </c>
      <c r="C426" s="58">
        <f t="shared" si="50"/>
        <v>156.29037528357509</v>
      </c>
      <c r="D426" s="83">
        <f t="shared" si="47"/>
        <v>666.66666666666663</v>
      </c>
      <c r="E426">
        <f t="shared" si="43"/>
        <v>0</v>
      </c>
      <c r="G426">
        <v>376</v>
      </c>
      <c r="H426" s="13">
        <f t="shared" si="48"/>
        <v>-7.7831728503952036E-4</v>
      </c>
      <c r="I426">
        <f t="shared" si="49"/>
        <v>155.99772798440023</v>
      </c>
      <c r="J426">
        <f t="shared" si="44"/>
        <v>666.07353633258197</v>
      </c>
      <c r="K426" s="27">
        <f t="shared" si="45"/>
        <v>-345.30272001281656</v>
      </c>
    </row>
    <row r="427" spans="1:11">
      <c r="A427" s="26">
        <v>377</v>
      </c>
      <c r="B427" s="82">
        <f t="shared" si="46"/>
        <v>0</v>
      </c>
      <c r="C427" s="58">
        <f t="shared" si="50"/>
        <v>156.29037528357509</v>
      </c>
      <c r="D427" s="83">
        <f t="shared" si="47"/>
        <v>666.66666666666663</v>
      </c>
      <c r="E427">
        <f t="shared" si="43"/>
        <v>0</v>
      </c>
      <c r="G427">
        <v>377</v>
      </c>
      <c r="H427" s="13">
        <f t="shared" si="48"/>
        <v>-7.7831728503952036E-4</v>
      </c>
      <c r="I427">
        <f t="shared" si="49"/>
        <v>155.99694966711519</v>
      </c>
      <c r="J427">
        <f t="shared" si="44"/>
        <v>666.07195003068205</v>
      </c>
      <c r="K427" s="27">
        <f t="shared" si="45"/>
        <v>-345.30107526193109</v>
      </c>
    </row>
    <row r="428" spans="1:11">
      <c r="A428" s="26">
        <v>378</v>
      </c>
      <c r="B428" s="82">
        <f t="shared" si="46"/>
        <v>0</v>
      </c>
      <c r="C428" s="58">
        <f t="shared" si="50"/>
        <v>156.29037528357509</v>
      </c>
      <c r="D428" s="83">
        <f t="shared" si="47"/>
        <v>666.66666666666663</v>
      </c>
      <c r="E428">
        <f t="shared" si="43"/>
        <v>0</v>
      </c>
      <c r="G428">
        <v>378</v>
      </c>
      <c r="H428" s="13">
        <f t="shared" si="48"/>
        <v>-7.7831728503952036E-4</v>
      </c>
      <c r="I428">
        <f t="shared" si="49"/>
        <v>155.99617134983015</v>
      </c>
      <c r="J428">
        <f t="shared" si="44"/>
        <v>666.07036368152751</v>
      </c>
      <c r="K428" s="27">
        <f t="shared" si="45"/>
        <v>-345.299430465966</v>
      </c>
    </row>
    <row r="429" spans="1:11">
      <c r="A429" s="26">
        <v>379</v>
      </c>
      <c r="B429" s="82">
        <f t="shared" si="46"/>
        <v>0</v>
      </c>
      <c r="C429" s="58">
        <f t="shared" si="50"/>
        <v>156.29037528357509</v>
      </c>
      <c r="D429" s="83">
        <f t="shared" si="47"/>
        <v>666.66666666666663</v>
      </c>
      <c r="E429">
        <f t="shared" si="43"/>
        <v>0</v>
      </c>
      <c r="G429">
        <v>379</v>
      </c>
      <c r="H429" s="13">
        <f t="shared" si="48"/>
        <v>-7.7831728503952036E-4</v>
      </c>
      <c r="I429">
        <f t="shared" si="49"/>
        <v>155.99539303254511</v>
      </c>
      <c r="J429">
        <f t="shared" si="44"/>
        <v>666.06877728511495</v>
      </c>
      <c r="K429" s="27">
        <f t="shared" si="45"/>
        <v>-345.29778562491833</v>
      </c>
    </row>
    <row r="430" spans="1:11">
      <c r="A430" s="26">
        <v>380</v>
      </c>
      <c r="B430" s="82">
        <f t="shared" si="46"/>
        <v>0</v>
      </c>
      <c r="C430" s="58">
        <f t="shared" si="50"/>
        <v>156.29037528357509</v>
      </c>
      <c r="D430" s="83">
        <f t="shared" si="47"/>
        <v>666.66666666666663</v>
      </c>
      <c r="E430">
        <f t="shared" si="43"/>
        <v>0</v>
      </c>
      <c r="G430">
        <v>380</v>
      </c>
      <c r="H430" s="13">
        <f t="shared" si="48"/>
        <v>-7.7831728503952036E-4</v>
      </c>
      <c r="I430">
        <f t="shared" si="49"/>
        <v>155.99461471526007</v>
      </c>
      <c r="J430">
        <f t="shared" si="44"/>
        <v>666.06719084144095</v>
      </c>
      <c r="K430" s="27">
        <f t="shared" si="45"/>
        <v>-345.2961407387848</v>
      </c>
    </row>
    <row r="431" spans="1:11">
      <c r="A431" s="26">
        <v>381</v>
      </c>
      <c r="B431" s="82">
        <f t="shared" si="46"/>
        <v>0</v>
      </c>
      <c r="C431" s="58">
        <f t="shared" si="50"/>
        <v>156.29037528357509</v>
      </c>
      <c r="D431" s="83">
        <f t="shared" si="47"/>
        <v>666.66666666666663</v>
      </c>
      <c r="E431">
        <f t="shared" si="43"/>
        <v>0</v>
      </c>
      <c r="G431">
        <v>381</v>
      </c>
      <c r="H431" s="13">
        <f t="shared" si="48"/>
        <v>-7.7831728503952036E-4</v>
      </c>
      <c r="I431">
        <f t="shared" si="49"/>
        <v>155.99383639797503</v>
      </c>
      <c r="J431">
        <f t="shared" si="44"/>
        <v>666.0656043505021</v>
      </c>
      <c r="K431" s="27">
        <f t="shared" si="45"/>
        <v>-345.29449580756221</v>
      </c>
    </row>
    <row r="432" spans="1:11">
      <c r="A432" s="26">
        <v>382</v>
      </c>
      <c r="B432" s="82">
        <f t="shared" si="46"/>
        <v>0</v>
      </c>
      <c r="C432" s="58">
        <f t="shared" si="50"/>
        <v>156.29037528357509</v>
      </c>
      <c r="D432" s="83">
        <f t="shared" si="47"/>
        <v>666.66666666666663</v>
      </c>
      <c r="E432">
        <f t="shared" si="43"/>
        <v>0</v>
      </c>
      <c r="G432">
        <v>382</v>
      </c>
      <c r="H432" s="13">
        <f t="shared" si="48"/>
        <v>-7.7831728503952036E-4</v>
      </c>
      <c r="I432">
        <f t="shared" si="49"/>
        <v>155.99305808068999</v>
      </c>
      <c r="J432">
        <f t="shared" si="44"/>
        <v>666.06401781229488</v>
      </c>
      <c r="K432" s="27">
        <f t="shared" si="45"/>
        <v>-345.29285083124734</v>
      </c>
    </row>
    <row r="433" spans="1:11">
      <c r="A433" s="26">
        <v>383</v>
      </c>
      <c r="B433" s="82">
        <f t="shared" si="46"/>
        <v>0</v>
      </c>
      <c r="C433" s="58">
        <f t="shared" si="50"/>
        <v>156.29037528357509</v>
      </c>
      <c r="D433" s="83">
        <f t="shared" si="47"/>
        <v>666.66666666666663</v>
      </c>
      <c r="E433">
        <f t="shared" si="43"/>
        <v>0</v>
      </c>
      <c r="G433">
        <v>383</v>
      </c>
      <c r="H433" s="13">
        <f t="shared" si="48"/>
        <v>-7.7831728503952036E-4</v>
      </c>
      <c r="I433">
        <f t="shared" si="49"/>
        <v>155.99227976340495</v>
      </c>
      <c r="J433">
        <f t="shared" si="44"/>
        <v>666.0624312268161</v>
      </c>
      <c r="K433" s="27">
        <f t="shared" si="45"/>
        <v>-345.29120580983727</v>
      </c>
    </row>
    <row r="434" spans="1:11">
      <c r="A434" s="26">
        <v>384</v>
      </c>
      <c r="B434" s="82">
        <f t="shared" si="46"/>
        <v>0</v>
      </c>
      <c r="C434" s="58">
        <f t="shared" si="50"/>
        <v>156.29037528357509</v>
      </c>
      <c r="D434" s="83">
        <f t="shared" si="47"/>
        <v>666.66666666666663</v>
      </c>
      <c r="E434">
        <f t="shared" si="43"/>
        <v>0</v>
      </c>
      <c r="G434">
        <v>384</v>
      </c>
      <c r="H434" s="13">
        <f t="shared" si="48"/>
        <v>-7.7831728503952036E-4</v>
      </c>
      <c r="I434">
        <f t="shared" si="49"/>
        <v>155.99150144611991</v>
      </c>
      <c r="J434">
        <f t="shared" si="44"/>
        <v>666.06084459406225</v>
      </c>
      <c r="K434" s="27">
        <f t="shared" si="45"/>
        <v>-345.28956074332854</v>
      </c>
    </row>
    <row r="435" spans="1:11">
      <c r="A435" s="26">
        <v>385</v>
      </c>
      <c r="B435" s="82">
        <f t="shared" si="46"/>
        <v>0</v>
      </c>
      <c r="C435" s="58">
        <f t="shared" si="50"/>
        <v>156.29037528357509</v>
      </c>
      <c r="D435" s="83">
        <f t="shared" si="47"/>
        <v>666.66666666666663</v>
      </c>
      <c r="E435">
        <f t="shared" ref="E435:E498" si="51">((D435^2)+(D435*D436)+(D436^2))*B436/3</f>
        <v>0</v>
      </c>
      <c r="G435">
        <v>385</v>
      </c>
      <c r="H435" s="13">
        <f t="shared" si="48"/>
        <v>-7.7831728503952036E-4</v>
      </c>
      <c r="I435">
        <f t="shared" si="49"/>
        <v>155.99072312883487</v>
      </c>
      <c r="J435">
        <f t="shared" ref="J435:J498" si="52">IF($G$28&lt;$C$14,0,((($C$11^2)-((I435-$C$13)^2))^0.5)+$C$16)</f>
        <v>666.0592579140299</v>
      </c>
      <c r="K435" s="27">
        <f t="shared" ref="K435:K498" si="53">((J435^2)+(J435*J436)+(J436^2))*H436/3</f>
        <v>-345.28791563171808</v>
      </c>
    </row>
    <row r="436" spans="1:11">
      <c r="A436" s="26">
        <v>386</v>
      </c>
      <c r="B436" s="82">
        <f t="shared" ref="B436:B499" si="54">C436-C435</f>
        <v>0</v>
      </c>
      <c r="C436" s="58">
        <f t="shared" si="50"/>
        <v>156.29037528357509</v>
      </c>
      <c r="D436" s="83">
        <f t="shared" ref="D436:D499" si="55">IF($G$28&lt;$C$14,0,((($C$11^2)-((C436-$C$13)^2))^0.5)+$C$16)</f>
        <v>666.66666666666663</v>
      </c>
      <c r="E436">
        <f t="shared" si="51"/>
        <v>0</v>
      </c>
      <c r="G436">
        <v>386</v>
      </c>
      <c r="H436" s="13">
        <f t="shared" ref="H436:H499" si="56">I436-I435</f>
        <v>-7.7831728503952036E-4</v>
      </c>
      <c r="I436">
        <f t="shared" ref="I436:I499" si="57">($G$27-$C$14)/2000+I435</f>
        <v>155.98994481154983</v>
      </c>
      <c r="J436">
        <f t="shared" si="52"/>
        <v>666.05767118671565</v>
      </c>
      <c r="K436" s="27">
        <f t="shared" si="53"/>
        <v>-345.28627047500254</v>
      </c>
    </row>
    <row r="437" spans="1:11">
      <c r="A437" s="26">
        <v>387</v>
      </c>
      <c r="B437" s="82">
        <f t="shared" si="54"/>
        <v>0</v>
      </c>
      <c r="C437" s="58">
        <f t="shared" si="50"/>
        <v>156.29037528357509</v>
      </c>
      <c r="D437" s="83">
        <f t="shared" si="55"/>
        <v>666.66666666666663</v>
      </c>
      <c r="E437">
        <f t="shared" si="51"/>
        <v>0</v>
      </c>
      <c r="G437">
        <v>387</v>
      </c>
      <c r="H437" s="13">
        <f t="shared" si="56"/>
        <v>-7.7831728503952036E-4</v>
      </c>
      <c r="I437">
        <f t="shared" si="57"/>
        <v>155.98916649426479</v>
      </c>
      <c r="J437">
        <f t="shared" si="52"/>
        <v>666.05608441211609</v>
      </c>
      <c r="K437" s="27">
        <f t="shared" si="53"/>
        <v>-345.28462527317902</v>
      </c>
    </row>
    <row r="438" spans="1:11">
      <c r="A438" s="26">
        <v>388</v>
      </c>
      <c r="B438" s="82">
        <f t="shared" si="54"/>
        <v>0</v>
      </c>
      <c r="C438" s="58">
        <f t="shared" si="50"/>
        <v>156.29037528357509</v>
      </c>
      <c r="D438" s="83">
        <f t="shared" si="55"/>
        <v>666.66666666666663</v>
      </c>
      <c r="E438">
        <f t="shared" si="51"/>
        <v>0</v>
      </c>
      <c r="G438">
        <v>388</v>
      </c>
      <c r="H438" s="13">
        <f t="shared" si="56"/>
        <v>-7.7831728503952036E-4</v>
      </c>
      <c r="I438">
        <f t="shared" si="57"/>
        <v>155.98838817697975</v>
      </c>
      <c r="J438">
        <f t="shared" si="52"/>
        <v>666.05449759022781</v>
      </c>
      <c r="K438" s="27">
        <f t="shared" si="53"/>
        <v>-345.28298002624416</v>
      </c>
    </row>
    <row r="439" spans="1:11">
      <c r="A439" s="26">
        <v>389</v>
      </c>
      <c r="B439" s="82">
        <f t="shared" si="54"/>
        <v>0</v>
      </c>
      <c r="C439" s="58">
        <f t="shared" si="50"/>
        <v>156.29037528357509</v>
      </c>
      <c r="D439" s="83">
        <f t="shared" si="55"/>
        <v>666.66666666666663</v>
      </c>
      <c r="E439">
        <f t="shared" si="51"/>
        <v>0</v>
      </c>
      <c r="G439">
        <v>389</v>
      </c>
      <c r="H439" s="13">
        <f t="shared" si="56"/>
        <v>-7.7831728503952036E-4</v>
      </c>
      <c r="I439">
        <f t="shared" si="57"/>
        <v>155.98760985969471</v>
      </c>
      <c r="J439">
        <f t="shared" si="52"/>
        <v>666.05291072104751</v>
      </c>
      <c r="K439" s="27">
        <f t="shared" si="53"/>
        <v>-345.28133473419479</v>
      </c>
    </row>
    <row r="440" spans="1:11">
      <c r="A440" s="26">
        <v>390</v>
      </c>
      <c r="B440" s="82">
        <f t="shared" si="54"/>
        <v>0</v>
      </c>
      <c r="C440" s="58">
        <f t="shared" si="50"/>
        <v>156.29037528357509</v>
      </c>
      <c r="D440" s="83">
        <f t="shared" si="55"/>
        <v>666.66666666666663</v>
      </c>
      <c r="E440">
        <f t="shared" si="51"/>
        <v>0</v>
      </c>
      <c r="G440">
        <v>390</v>
      </c>
      <c r="H440" s="13">
        <f t="shared" si="56"/>
        <v>-7.7831728503952036E-4</v>
      </c>
      <c r="I440">
        <f t="shared" si="57"/>
        <v>155.98683154240967</v>
      </c>
      <c r="J440">
        <f t="shared" si="52"/>
        <v>666.05132380457155</v>
      </c>
      <c r="K440" s="27">
        <f t="shared" si="53"/>
        <v>-345.27968939702782</v>
      </c>
    </row>
    <row r="441" spans="1:11">
      <c r="A441" s="26">
        <v>391</v>
      </c>
      <c r="B441" s="82">
        <f t="shared" si="54"/>
        <v>0</v>
      </c>
      <c r="C441" s="58">
        <f t="shared" si="50"/>
        <v>156.29037528357509</v>
      </c>
      <c r="D441" s="83">
        <f t="shared" si="55"/>
        <v>666.66666666666663</v>
      </c>
      <c r="E441">
        <f t="shared" si="51"/>
        <v>0</v>
      </c>
      <c r="G441">
        <v>391</v>
      </c>
      <c r="H441" s="13">
        <f t="shared" si="56"/>
        <v>-7.7831728503952036E-4</v>
      </c>
      <c r="I441">
        <f t="shared" si="57"/>
        <v>155.98605322512464</v>
      </c>
      <c r="J441">
        <f t="shared" si="52"/>
        <v>666.04973684079687</v>
      </c>
      <c r="K441" s="27">
        <f t="shared" si="53"/>
        <v>-345.27804401473992</v>
      </c>
    </row>
    <row r="442" spans="1:11">
      <c r="A442" s="26">
        <v>392</v>
      </c>
      <c r="B442" s="82">
        <f t="shared" si="54"/>
        <v>0</v>
      </c>
      <c r="C442" s="58">
        <f t="shared" si="50"/>
        <v>156.29037528357509</v>
      </c>
      <c r="D442" s="83">
        <f t="shared" si="55"/>
        <v>666.66666666666663</v>
      </c>
      <c r="E442">
        <f t="shared" si="51"/>
        <v>0</v>
      </c>
      <c r="G442">
        <v>392</v>
      </c>
      <c r="H442" s="13">
        <f t="shared" si="56"/>
        <v>-7.7831728503952036E-4</v>
      </c>
      <c r="I442">
        <f t="shared" si="57"/>
        <v>155.9852749078396</v>
      </c>
      <c r="J442">
        <f t="shared" si="52"/>
        <v>666.0481498297197</v>
      </c>
      <c r="K442" s="27">
        <f t="shared" si="53"/>
        <v>-345.276398587328</v>
      </c>
    </row>
    <row r="443" spans="1:11">
      <c r="A443" s="26">
        <v>393</v>
      </c>
      <c r="B443" s="82">
        <f t="shared" si="54"/>
        <v>0</v>
      </c>
      <c r="C443" s="58">
        <f t="shared" si="50"/>
        <v>156.29037528357509</v>
      </c>
      <c r="D443" s="83">
        <f t="shared" si="55"/>
        <v>666.66666666666663</v>
      </c>
      <c r="E443">
        <f t="shared" si="51"/>
        <v>0</v>
      </c>
      <c r="G443">
        <v>393</v>
      </c>
      <c r="H443" s="13">
        <f t="shared" si="56"/>
        <v>-7.7831728503952036E-4</v>
      </c>
      <c r="I443">
        <f t="shared" si="57"/>
        <v>155.98449659055456</v>
      </c>
      <c r="J443">
        <f t="shared" si="52"/>
        <v>666.04656277133677</v>
      </c>
      <c r="K443" s="27">
        <f t="shared" si="53"/>
        <v>-345.27475311478884</v>
      </c>
    </row>
    <row r="444" spans="1:11">
      <c r="A444" s="26">
        <v>394</v>
      </c>
      <c r="B444" s="82">
        <f t="shared" si="54"/>
        <v>0</v>
      </c>
      <c r="C444" s="58">
        <f t="shared" si="50"/>
        <v>156.29037528357509</v>
      </c>
      <c r="D444" s="83">
        <f t="shared" si="55"/>
        <v>666.66666666666663</v>
      </c>
      <c r="E444">
        <f t="shared" si="51"/>
        <v>0</v>
      </c>
      <c r="G444">
        <v>394</v>
      </c>
      <c r="H444" s="13">
        <f t="shared" si="56"/>
        <v>-7.7831728503952036E-4</v>
      </c>
      <c r="I444">
        <f t="shared" si="57"/>
        <v>155.98371827326952</v>
      </c>
      <c r="J444">
        <f t="shared" si="52"/>
        <v>666.04497566564476</v>
      </c>
      <c r="K444" s="27">
        <f t="shared" si="53"/>
        <v>-345.27310759711941</v>
      </c>
    </row>
    <row r="445" spans="1:11">
      <c r="A445" s="26">
        <v>395</v>
      </c>
      <c r="B445" s="82">
        <f t="shared" si="54"/>
        <v>0</v>
      </c>
      <c r="C445" s="58">
        <f t="shared" si="50"/>
        <v>156.29037528357509</v>
      </c>
      <c r="D445" s="83">
        <f t="shared" si="55"/>
        <v>666.66666666666663</v>
      </c>
      <c r="E445">
        <f t="shared" si="51"/>
        <v>0</v>
      </c>
      <c r="G445">
        <v>395</v>
      </c>
      <c r="H445" s="13">
        <f t="shared" si="56"/>
        <v>-7.7831728503952036E-4</v>
      </c>
      <c r="I445">
        <f t="shared" si="57"/>
        <v>155.98293995598448</v>
      </c>
      <c r="J445">
        <f t="shared" si="52"/>
        <v>666.04338851264015</v>
      </c>
      <c r="K445" s="27">
        <f t="shared" si="53"/>
        <v>-345.27146203431613</v>
      </c>
    </row>
    <row r="446" spans="1:11">
      <c r="A446" s="26">
        <v>396</v>
      </c>
      <c r="B446" s="82">
        <f t="shared" si="54"/>
        <v>0</v>
      </c>
      <c r="C446" s="58">
        <f t="shared" si="50"/>
        <v>156.29037528357509</v>
      </c>
      <c r="D446" s="83">
        <f t="shared" si="55"/>
        <v>666.66666666666663</v>
      </c>
      <c r="E446">
        <f t="shared" si="51"/>
        <v>0</v>
      </c>
      <c r="G446">
        <v>396</v>
      </c>
      <c r="H446" s="13">
        <f t="shared" si="56"/>
        <v>-7.7831728503952036E-4</v>
      </c>
      <c r="I446">
        <f t="shared" si="57"/>
        <v>155.98216163869944</v>
      </c>
      <c r="J446">
        <f t="shared" si="52"/>
        <v>666.04180131231954</v>
      </c>
      <c r="K446" s="27">
        <f t="shared" si="53"/>
        <v>-345.26981642637628</v>
      </c>
    </row>
    <row r="447" spans="1:11">
      <c r="A447" s="26">
        <v>397</v>
      </c>
      <c r="B447" s="82">
        <f t="shared" si="54"/>
        <v>0</v>
      </c>
      <c r="C447" s="58">
        <f t="shared" si="50"/>
        <v>156.29037528357509</v>
      </c>
      <c r="D447" s="83">
        <f t="shared" si="55"/>
        <v>666.66666666666663</v>
      </c>
      <c r="E447">
        <f t="shared" si="51"/>
        <v>0</v>
      </c>
      <c r="G447">
        <v>397</v>
      </c>
      <c r="H447" s="13">
        <f t="shared" si="56"/>
        <v>-7.7831728503952036E-4</v>
      </c>
      <c r="I447">
        <f t="shared" si="57"/>
        <v>155.9813833214144</v>
      </c>
      <c r="J447">
        <f t="shared" si="52"/>
        <v>666.04021406467962</v>
      </c>
      <c r="K447" s="27">
        <f t="shared" si="53"/>
        <v>-345.26817077329633</v>
      </c>
    </row>
    <row r="448" spans="1:11">
      <c r="A448" s="26">
        <v>398</v>
      </c>
      <c r="B448" s="82">
        <f t="shared" si="54"/>
        <v>0</v>
      </c>
      <c r="C448" s="58">
        <f t="shared" si="50"/>
        <v>156.29037528357509</v>
      </c>
      <c r="D448" s="83">
        <f t="shared" si="55"/>
        <v>666.66666666666663</v>
      </c>
      <c r="E448">
        <f t="shared" si="51"/>
        <v>0</v>
      </c>
      <c r="G448">
        <v>398</v>
      </c>
      <c r="H448" s="13">
        <f t="shared" si="56"/>
        <v>-7.7831728503952036E-4</v>
      </c>
      <c r="I448">
        <f t="shared" si="57"/>
        <v>155.98060500412936</v>
      </c>
      <c r="J448">
        <f t="shared" si="52"/>
        <v>666.03862676971676</v>
      </c>
      <c r="K448" s="27">
        <f t="shared" si="53"/>
        <v>-345.26652507507333</v>
      </c>
    </row>
    <row r="449" spans="1:11">
      <c r="A449" s="26">
        <v>399</v>
      </c>
      <c r="B449" s="82">
        <f t="shared" si="54"/>
        <v>0</v>
      </c>
      <c r="C449" s="58">
        <f t="shared" si="50"/>
        <v>156.29037528357509</v>
      </c>
      <c r="D449" s="83">
        <f t="shared" si="55"/>
        <v>666.66666666666663</v>
      </c>
      <c r="E449">
        <f t="shared" si="51"/>
        <v>0</v>
      </c>
      <c r="G449">
        <v>399</v>
      </c>
      <c r="H449" s="13">
        <f t="shared" si="56"/>
        <v>-7.7831728503952036E-4</v>
      </c>
      <c r="I449">
        <f t="shared" si="57"/>
        <v>155.97982668684432</v>
      </c>
      <c r="J449">
        <f t="shared" si="52"/>
        <v>666.03703942742777</v>
      </c>
      <c r="K449" s="27">
        <f t="shared" si="53"/>
        <v>-345.26487933170392</v>
      </c>
    </row>
    <row r="450" spans="1:11">
      <c r="A450" s="26">
        <v>400</v>
      </c>
      <c r="B450" s="82">
        <f t="shared" si="54"/>
        <v>0</v>
      </c>
      <c r="C450" s="58">
        <f t="shared" si="50"/>
        <v>156.29037528357509</v>
      </c>
      <c r="D450" s="83">
        <f t="shared" si="55"/>
        <v>666.66666666666663</v>
      </c>
      <c r="E450">
        <f t="shared" si="51"/>
        <v>0</v>
      </c>
      <c r="G450">
        <v>400</v>
      </c>
      <c r="H450" s="13">
        <f t="shared" si="56"/>
        <v>-7.7831728503952036E-4</v>
      </c>
      <c r="I450">
        <f t="shared" si="57"/>
        <v>155.97904836955928</v>
      </c>
      <c r="J450">
        <f t="shared" si="52"/>
        <v>666.03545203780914</v>
      </c>
      <c r="K450" s="27">
        <f t="shared" si="53"/>
        <v>-345.26323354318498</v>
      </c>
    </row>
    <row r="451" spans="1:11">
      <c r="A451" s="26">
        <v>401</v>
      </c>
      <c r="B451" s="82">
        <f t="shared" si="54"/>
        <v>0</v>
      </c>
      <c r="C451" s="58">
        <f t="shared" si="50"/>
        <v>156.29037528357509</v>
      </c>
      <c r="D451" s="83">
        <f t="shared" si="55"/>
        <v>666.66666666666663</v>
      </c>
      <c r="E451">
        <f t="shared" si="51"/>
        <v>0</v>
      </c>
      <c r="G451">
        <v>401</v>
      </c>
      <c r="H451" s="13">
        <f t="shared" si="56"/>
        <v>-7.7831728503952036E-4</v>
      </c>
      <c r="I451">
        <f t="shared" si="57"/>
        <v>155.97827005227424</v>
      </c>
      <c r="J451">
        <f t="shared" si="52"/>
        <v>666.03386460085756</v>
      </c>
      <c r="K451" s="27">
        <f t="shared" si="53"/>
        <v>-345.26158770951344</v>
      </c>
    </row>
    <row r="452" spans="1:11">
      <c r="A452" s="26">
        <v>402</v>
      </c>
      <c r="B452" s="82">
        <f t="shared" si="54"/>
        <v>0</v>
      </c>
      <c r="C452" s="58">
        <f t="shared" si="50"/>
        <v>156.29037528357509</v>
      </c>
      <c r="D452" s="83">
        <f t="shared" si="55"/>
        <v>666.66666666666663</v>
      </c>
      <c r="E452">
        <f t="shared" si="51"/>
        <v>0</v>
      </c>
      <c r="G452">
        <v>402</v>
      </c>
      <c r="H452" s="13">
        <f t="shared" si="56"/>
        <v>-7.7831728503952036E-4</v>
      </c>
      <c r="I452">
        <f t="shared" si="57"/>
        <v>155.9774917349892</v>
      </c>
      <c r="J452">
        <f t="shared" si="52"/>
        <v>666.03227711656939</v>
      </c>
      <c r="K452" s="27">
        <f t="shared" si="53"/>
        <v>-345.25994183068588</v>
      </c>
    </row>
    <row r="453" spans="1:11">
      <c r="A453" s="26">
        <v>403</v>
      </c>
      <c r="B453" s="82">
        <f t="shared" si="54"/>
        <v>0</v>
      </c>
      <c r="C453" s="58">
        <f t="shared" si="50"/>
        <v>156.29037528357509</v>
      </c>
      <c r="D453" s="83">
        <f t="shared" si="55"/>
        <v>666.66666666666663</v>
      </c>
      <c r="E453">
        <f t="shared" si="51"/>
        <v>0</v>
      </c>
      <c r="G453">
        <v>403</v>
      </c>
      <c r="H453" s="13">
        <f t="shared" si="56"/>
        <v>-7.7831728503952036E-4</v>
      </c>
      <c r="I453">
        <f t="shared" si="57"/>
        <v>155.97671341770416</v>
      </c>
      <c r="J453">
        <f t="shared" si="52"/>
        <v>666.03068958494146</v>
      </c>
      <c r="K453" s="27">
        <f t="shared" si="53"/>
        <v>-345.25829590669923</v>
      </c>
    </row>
    <row r="454" spans="1:11">
      <c r="A454" s="26">
        <v>404</v>
      </c>
      <c r="B454" s="82">
        <f t="shared" si="54"/>
        <v>0</v>
      </c>
      <c r="C454" s="58">
        <f t="shared" si="50"/>
        <v>156.29037528357509</v>
      </c>
      <c r="D454" s="83">
        <f t="shared" si="55"/>
        <v>666.66666666666663</v>
      </c>
      <c r="E454">
        <f t="shared" si="51"/>
        <v>0</v>
      </c>
      <c r="G454">
        <v>404</v>
      </c>
      <c r="H454" s="13">
        <f t="shared" si="56"/>
        <v>-7.7831728503952036E-4</v>
      </c>
      <c r="I454">
        <f t="shared" si="57"/>
        <v>155.97593510041912</v>
      </c>
      <c r="J454">
        <f t="shared" si="52"/>
        <v>666.02910200597012</v>
      </c>
      <c r="K454" s="27">
        <f t="shared" si="53"/>
        <v>-345.25664993755032</v>
      </c>
    </row>
    <row r="455" spans="1:11">
      <c r="A455" s="26">
        <v>405</v>
      </c>
      <c r="B455" s="82">
        <f t="shared" si="54"/>
        <v>0</v>
      </c>
      <c r="C455" s="58">
        <f t="shared" si="50"/>
        <v>156.29037528357509</v>
      </c>
      <c r="D455" s="83">
        <f t="shared" si="55"/>
        <v>666.66666666666663</v>
      </c>
      <c r="E455">
        <f t="shared" si="51"/>
        <v>0</v>
      </c>
      <c r="G455">
        <v>405</v>
      </c>
      <c r="H455" s="13">
        <f t="shared" si="56"/>
        <v>-7.7831728503952036E-4</v>
      </c>
      <c r="I455">
        <f t="shared" si="57"/>
        <v>155.97515678313408</v>
      </c>
      <c r="J455">
        <f t="shared" si="52"/>
        <v>666.02751437965219</v>
      </c>
      <c r="K455" s="27">
        <f t="shared" si="53"/>
        <v>-345.25500392323596</v>
      </c>
    </row>
    <row r="456" spans="1:11">
      <c r="A456" s="26">
        <v>406</v>
      </c>
      <c r="B456" s="82">
        <f t="shared" si="54"/>
        <v>0</v>
      </c>
      <c r="C456" s="58">
        <f t="shared" si="50"/>
        <v>156.29037528357509</v>
      </c>
      <c r="D456" s="83">
        <f t="shared" si="55"/>
        <v>666.66666666666663</v>
      </c>
      <c r="E456">
        <f t="shared" si="51"/>
        <v>0</v>
      </c>
      <c r="G456">
        <v>406</v>
      </c>
      <c r="H456" s="13">
        <f t="shared" si="56"/>
        <v>-7.7831728503952036E-4</v>
      </c>
      <c r="I456">
        <f t="shared" si="57"/>
        <v>155.97437846584904</v>
      </c>
      <c r="J456">
        <f t="shared" si="52"/>
        <v>666.02592670598415</v>
      </c>
      <c r="K456" s="27">
        <f t="shared" si="53"/>
        <v>-345.25335786375285</v>
      </c>
    </row>
    <row r="457" spans="1:11">
      <c r="A457" s="26">
        <v>407</v>
      </c>
      <c r="B457" s="82">
        <f t="shared" si="54"/>
        <v>0</v>
      </c>
      <c r="C457" s="58">
        <f t="shared" si="50"/>
        <v>156.29037528357509</v>
      </c>
      <c r="D457" s="83">
        <f t="shared" si="55"/>
        <v>666.66666666666663</v>
      </c>
      <c r="E457">
        <f t="shared" si="51"/>
        <v>0</v>
      </c>
      <c r="G457">
        <v>407</v>
      </c>
      <c r="H457" s="13">
        <f t="shared" si="56"/>
        <v>-7.7831728503952036E-4</v>
      </c>
      <c r="I457">
        <f t="shared" si="57"/>
        <v>155.973600148564</v>
      </c>
      <c r="J457">
        <f t="shared" si="52"/>
        <v>666.02433898496247</v>
      </c>
      <c r="K457" s="27">
        <f t="shared" si="53"/>
        <v>-345.25171175909799</v>
      </c>
    </row>
    <row r="458" spans="1:11">
      <c r="A458" s="26">
        <v>408</v>
      </c>
      <c r="B458" s="82">
        <f t="shared" si="54"/>
        <v>0</v>
      </c>
      <c r="C458" s="58">
        <f t="shared" si="50"/>
        <v>156.29037528357509</v>
      </c>
      <c r="D458" s="83">
        <f t="shared" si="55"/>
        <v>666.66666666666663</v>
      </c>
      <c r="E458">
        <f t="shared" si="51"/>
        <v>0</v>
      </c>
      <c r="G458">
        <v>408</v>
      </c>
      <c r="H458" s="13">
        <f t="shared" si="56"/>
        <v>-7.7831728503952036E-4</v>
      </c>
      <c r="I458">
        <f t="shared" si="57"/>
        <v>155.97282183127896</v>
      </c>
      <c r="J458">
        <f t="shared" si="52"/>
        <v>666.02275121658397</v>
      </c>
      <c r="K458" s="27">
        <f t="shared" si="53"/>
        <v>-345.25006560926801</v>
      </c>
    </row>
    <row r="459" spans="1:11">
      <c r="A459" s="26">
        <v>409</v>
      </c>
      <c r="B459" s="82">
        <f t="shared" si="54"/>
        <v>0</v>
      </c>
      <c r="C459" s="58">
        <f t="shared" si="50"/>
        <v>156.29037528357509</v>
      </c>
      <c r="D459" s="83">
        <f t="shared" si="55"/>
        <v>666.66666666666663</v>
      </c>
      <c r="E459">
        <f t="shared" si="51"/>
        <v>0</v>
      </c>
      <c r="G459">
        <v>409</v>
      </c>
      <c r="H459" s="13">
        <f t="shared" si="56"/>
        <v>-7.7831728503952036E-4</v>
      </c>
      <c r="I459">
        <f t="shared" si="57"/>
        <v>155.97204351399392</v>
      </c>
      <c r="J459">
        <f t="shared" si="52"/>
        <v>666.02116340084501</v>
      </c>
      <c r="K459" s="27">
        <f t="shared" si="53"/>
        <v>-345.24841941425984</v>
      </c>
    </row>
    <row r="460" spans="1:11">
      <c r="A460" s="26">
        <v>410</v>
      </c>
      <c r="B460" s="82">
        <f t="shared" si="54"/>
        <v>0</v>
      </c>
      <c r="C460" s="58">
        <f t="shared" si="50"/>
        <v>156.29037528357509</v>
      </c>
      <c r="D460" s="83">
        <f t="shared" si="55"/>
        <v>666.66666666666663</v>
      </c>
      <c r="E460">
        <f t="shared" si="51"/>
        <v>0</v>
      </c>
      <c r="G460">
        <v>410</v>
      </c>
      <c r="H460" s="13">
        <f t="shared" si="56"/>
        <v>-7.7831728503952036E-4</v>
      </c>
      <c r="I460">
        <f t="shared" si="57"/>
        <v>155.97126519670888</v>
      </c>
      <c r="J460">
        <f t="shared" si="52"/>
        <v>666.0195755377423</v>
      </c>
      <c r="K460" s="27">
        <f t="shared" si="53"/>
        <v>-345.24677317407014</v>
      </c>
    </row>
    <row r="461" spans="1:11">
      <c r="A461" s="26">
        <v>411</v>
      </c>
      <c r="B461" s="82">
        <f t="shared" si="54"/>
        <v>0</v>
      </c>
      <c r="C461" s="58">
        <f t="shared" si="50"/>
        <v>156.29037528357509</v>
      </c>
      <c r="D461" s="83">
        <f t="shared" si="55"/>
        <v>666.66666666666663</v>
      </c>
      <c r="E461">
        <f t="shared" si="51"/>
        <v>0</v>
      </c>
      <c r="G461">
        <v>411</v>
      </c>
      <c r="H461" s="13">
        <f t="shared" si="56"/>
        <v>-7.7831728503952036E-4</v>
      </c>
      <c r="I461">
        <f t="shared" si="57"/>
        <v>155.97048687942385</v>
      </c>
      <c r="J461">
        <f t="shared" si="52"/>
        <v>666.01798762727242</v>
      </c>
      <c r="K461" s="27">
        <f t="shared" si="53"/>
        <v>-345.24512688869601</v>
      </c>
    </row>
    <row r="462" spans="1:11">
      <c r="A462" s="26">
        <v>412</v>
      </c>
      <c r="B462" s="82">
        <f t="shared" si="54"/>
        <v>0</v>
      </c>
      <c r="C462" s="58">
        <f t="shared" si="50"/>
        <v>156.29037528357509</v>
      </c>
      <c r="D462" s="83">
        <f t="shared" si="55"/>
        <v>666.66666666666663</v>
      </c>
      <c r="E462">
        <f t="shared" si="51"/>
        <v>0</v>
      </c>
      <c r="G462">
        <v>412</v>
      </c>
      <c r="H462" s="13">
        <f t="shared" si="56"/>
        <v>-7.7831728503952036E-4</v>
      </c>
      <c r="I462">
        <f t="shared" si="57"/>
        <v>155.96970856213881</v>
      </c>
      <c r="J462">
        <f t="shared" si="52"/>
        <v>666.01639966943196</v>
      </c>
      <c r="K462" s="27">
        <f t="shared" si="53"/>
        <v>-345.24348055813397</v>
      </c>
    </row>
    <row r="463" spans="1:11">
      <c r="A463" s="26">
        <v>413</v>
      </c>
      <c r="B463" s="82">
        <f t="shared" si="54"/>
        <v>0</v>
      </c>
      <c r="C463" s="58">
        <f t="shared" si="50"/>
        <v>156.29037528357509</v>
      </c>
      <c r="D463" s="83">
        <f t="shared" si="55"/>
        <v>666.66666666666663</v>
      </c>
      <c r="E463">
        <f t="shared" si="51"/>
        <v>0</v>
      </c>
      <c r="G463">
        <v>413</v>
      </c>
      <c r="H463" s="13">
        <f t="shared" si="56"/>
        <v>-7.7831728503952036E-4</v>
      </c>
      <c r="I463">
        <f t="shared" si="57"/>
        <v>155.96893024485377</v>
      </c>
      <c r="J463">
        <f t="shared" si="52"/>
        <v>666.0148116642174</v>
      </c>
      <c r="K463" s="27">
        <f t="shared" si="53"/>
        <v>-345.24183418238084</v>
      </c>
    </row>
    <row r="464" spans="1:11">
      <c r="A464" s="26">
        <v>414</v>
      </c>
      <c r="B464" s="82">
        <f t="shared" si="54"/>
        <v>0</v>
      </c>
      <c r="C464" s="58">
        <f t="shared" ref="C464:C527" si="58">($C$37-$C$36)/2000+C463</f>
        <v>156.29037528357509</v>
      </c>
      <c r="D464" s="83">
        <f t="shared" si="55"/>
        <v>666.66666666666663</v>
      </c>
      <c r="E464">
        <f t="shared" si="51"/>
        <v>0</v>
      </c>
      <c r="G464">
        <v>414</v>
      </c>
      <c r="H464" s="13">
        <f t="shared" si="56"/>
        <v>-7.7831728503952036E-4</v>
      </c>
      <c r="I464">
        <f t="shared" si="57"/>
        <v>155.96815192756873</v>
      </c>
      <c r="J464">
        <f t="shared" si="52"/>
        <v>666.01322361162534</v>
      </c>
      <c r="K464" s="27">
        <f t="shared" si="53"/>
        <v>-345.24018776143362</v>
      </c>
    </row>
    <row r="465" spans="1:11">
      <c r="A465" s="26">
        <v>415</v>
      </c>
      <c r="B465" s="82">
        <f t="shared" si="54"/>
        <v>0</v>
      </c>
      <c r="C465" s="58">
        <f t="shared" si="58"/>
        <v>156.29037528357509</v>
      </c>
      <c r="D465" s="83">
        <f t="shared" si="55"/>
        <v>666.66666666666663</v>
      </c>
      <c r="E465">
        <f t="shared" si="51"/>
        <v>0</v>
      </c>
      <c r="G465">
        <v>415</v>
      </c>
      <c r="H465" s="13">
        <f t="shared" si="56"/>
        <v>-7.7831728503952036E-4</v>
      </c>
      <c r="I465">
        <f t="shared" si="57"/>
        <v>155.96737361028369</v>
      </c>
      <c r="J465">
        <f t="shared" si="52"/>
        <v>666.01163551165257</v>
      </c>
      <c r="K465" s="27">
        <f t="shared" si="53"/>
        <v>-345.238541295289</v>
      </c>
    </row>
    <row r="466" spans="1:11">
      <c r="A466" s="26">
        <v>416</v>
      </c>
      <c r="B466" s="82">
        <f t="shared" si="54"/>
        <v>0</v>
      </c>
      <c r="C466" s="58">
        <f t="shared" si="58"/>
        <v>156.29037528357509</v>
      </c>
      <c r="D466" s="83">
        <f t="shared" si="55"/>
        <v>666.66666666666663</v>
      </c>
      <c r="E466">
        <f t="shared" si="51"/>
        <v>0</v>
      </c>
      <c r="G466">
        <v>416</v>
      </c>
      <c r="H466" s="13">
        <f t="shared" si="56"/>
        <v>-7.7831728503952036E-4</v>
      </c>
      <c r="I466">
        <f t="shared" si="57"/>
        <v>155.96659529299865</v>
      </c>
      <c r="J466">
        <f t="shared" si="52"/>
        <v>666.01004736429536</v>
      </c>
      <c r="K466" s="27">
        <f t="shared" si="53"/>
        <v>-345.23689478394368</v>
      </c>
    </row>
    <row r="467" spans="1:11">
      <c r="A467" s="26">
        <v>417</v>
      </c>
      <c r="B467" s="82">
        <f t="shared" si="54"/>
        <v>0</v>
      </c>
      <c r="C467" s="58">
        <f t="shared" si="58"/>
        <v>156.29037528357509</v>
      </c>
      <c r="D467" s="83">
        <f t="shared" si="55"/>
        <v>666.66666666666663</v>
      </c>
      <c r="E467">
        <f t="shared" si="51"/>
        <v>0</v>
      </c>
      <c r="G467">
        <v>417</v>
      </c>
      <c r="H467" s="13">
        <f t="shared" si="56"/>
        <v>-7.7831728503952036E-4</v>
      </c>
      <c r="I467">
        <f t="shared" si="57"/>
        <v>155.96581697571361</v>
      </c>
      <c r="J467">
        <f t="shared" si="52"/>
        <v>666.00845916955052</v>
      </c>
      <c r="K467" s="27">
        <f t="shared" si="53"/>
        <v>-345.23524822739472</v>
      </c>
    </row>
    <row r="468" spans="1:11">
      <c r="A468" s="26">
        <v>418</v>
      </c>
      <c r="B468" s="82">
        <f t="shared" si="54"/>
        <v>0</v>
      </c>
      <c r="C468" s="58">
        <f t="shared" si="58"/>
        <v>156.29037528357509</v>
      </c>
      <c r="D468" s="83">
        <f t="shared" si="55"/>
        <v>666.66666666666663</v>
      </c>
      <c r="E468">
        <f t="shared" si="51"/>
        <v>0</v>
      </c>
      <c r="G468">
        <v>418</v>
      </c>
      <c r="H468" s="13">
        <f t="shared" si="56"/>
        <v>-7.7831728503952036E-4</v>
      </c>
      <c r="I468">
        <f t="shared" si="57"/>
        <v>155.96503865842857</v>
      </c>
      <c r="J468">
        <f t="shared" si="52"/>
        <v>666.00687092741452</v>
      </c>
      <c r="K468" s="27">
        <f t="shared" si="53"/>
        <v>-345.23360162563876</v>
      </c>
    </row>
    <row r="469" spans="1:11">
      <c r="A469" s="26">
        <v>419</v>
      </c>
      <c r="B469" s="82">
        <f t="shared" si="54"/>
        <v>0</v>
      </c>
      <c r="C469" s="58">
        <f t="shared" si="58"/>
        <v>156.29037528357509</v>
      </c>
      <c r="D469" s="83">
        <f t="shared" si="55"/>
        <v>666.66666666666663</v>
      </c>
      <c r="E469">
        <f t="shared" si="51"/>
        <v>0</v>
      </c>
      <c r="G469">
        <v>419</v>
      </c>
      <c r="H469" s="13">
        <f t="shared" si="56"/>
        <v>-7.7831728503952036E-4</v>
      </c>
      <c r="I469">
        <f t="shared" si="57"/>
        <v>155.96426034114353</v>
      </c>
      <c r="J469">
        <f t="shared" si="52"/>
        <v>666.00528263788397</v>
      </c>
      <c r="K469" s="27">
        <f t="shared" si="53"/>
        <v>-345.23195497867255</v>
      </c>
    </row>
    <row r="470" spans="1:11">
      <c r="A470" s="26">
        <v>420</v>
      </c>
      <c r="B470" s="82">
        <f t="shared" si="54"/>
        <v>0</v>
      </c>
      <c r="C470" s="58">
        <f t="shared" si="58"/>
        <v>156.29037528357509</v>
      </c>
      <c r="D470" s="83">
        <f t="shared" si="55"/>
        <v>666.66666666666663</v>
      </c>
      <c r="E470">
        <f t="shared" si="51"/>
        <v>0</v>
      </c>
      <c r="G470">
        <v>420</v>
      </c>
      <c r="H470" s="13">
        <f t="shared" si="56"/>
        <v>-7.7831728503952036E-4</v>
      </c>
      <c r="I470">
        <f t="shared" si="57"/>
        <v>155.96348202385849</v>
      </c>
      <c r="J470">
        <f t="shared" si="52"/>
        <v>666.00369430095543</v>
      </c>
      <c r="K470" s="27">
        <f t="shared" si="53"/>
        <v>-345.23030828649303</v>
      </c>
    </row>
    <row r="471" spans="1:11">
      <c r="A471" s="26">
        <v>421</v>
      </c>
      <c r="B471" s="82">
        <f t="shared" si="54"/>
        <v>0</v>
      </c>
      <c r="C471" s="58">
        <f t="shared" si="58"/>
        <v>156.29037528357509</v>
      </c>
      <c r="D471" s="83">
        <f t="shared" si="55"/>
        <v>666.66666666666663</v>
      </c>
      <c r="E471">
        <f t="shared" si="51"/>
        <v>0</v>
      </c>
      <c r="G471">
        <v>421</v>
      </c>
      <c r="H471" s="13">
        <f t="shared" si="56"/>
        <v>-7.7831728503952036E-4</v>
      </c>
      <c r="I471">
        <f t="shared" si="57"/>
        <v>155.96270370657345</v>
      </c>
      <c r="J471">
        <f t="shared" si="52"/>
        <v>666.00210591662551</v>
      </c>
      <c r="K471" s="27">
        <f t="shared" si="53"/>
        <v>-345.22866154909701</v>
      </c>
    </row>
    <row r="472" spans="1:11">
      <c r="A472" s="26">
        <v>422</v>
      </c>
      <c r="B472" s="82">
        <f t="shared" si="54"/>
        <v>0</v>
      </c>
      <c r="C472" s="58">
        <f t="shared" si="58"/>
        <v>156.29037528357509</v>
      </c>
      <c r="D472" s="83">
        <f t="shared" si="55"/>
        <v>666.66666666666663</v>
      </c>
      <c r="E472">
        <f t="shared" si="51"/>
        <v>0</v>
      </c>
      <c r="G472">
        <v>422</v>
      </c>
      <c r="H472" s="13">
        <f t="shared" si="56"/>
        <v>-7.7831728503952036E-4</v>
      </c>
      <c r="I472">
        <f t="shared" si="57"/>
        <v>155.96192538928841</v>
      </c>
      <c r="J472">
        <f t="shared" si="52"/>
        <v>666.00051748489079</v>
      </c>
      <c r="K472" s="27">
        <f t="shared" si="53"/>
        <v>-345.22701476648103</v>
      </c>
    </row>
    <row r="473" spans="1:11">
      <c r="A473" s="26">
        <v>423</v>
      </c>
      <c r="B473" s="82">
        <f t="shared" si="54"/>
        <v>0</v>
      </c>
      <c r="C473" s="58">
        <f t="shared" si="58"/>
        <v>156.29037528357509</v>
      </c>
      <c r="D473" s="83">
        <f t="shared" si="55"/>
        <v>666.66666666666663</v>
      </c>
      <c r="E473">
        <f t="shared" si="51"/>
        <v>0</v>
      </c>
      <c r="G473">
        <v>423</v>
      </c>
      <c r="H473" s="13">
        <f t="shared" si="56"/>
        <v>-7.7831728503952036E-4</v>
      </c>
      <c r="I473">
        <f t="shared" si="57"/>
        <v>155.96114707200337</v>
      </c>
      <c r="J473">
        <f t="shared" si="52"/>
        <v>665.99892900574775</v>
      </c>
      <c r="K473" s="27">
        <f t="shared" si="53"/>
        <v>-345.22536793864219</v>
      </c>
    </row>
    <row r="474" spans="1:11">
      <c r="A474" s="26">
        <v>424</v>
      </c>
      <c r="B474" s="82">
        <f t="shared" si="54"/>
        <v>0</v>
      </c>
      <c r="C474" s="58">
        <f t="shared" si="58"/>
        <v>156.29037528357509</v>
      </c>
      <c r="D474" s="83">
        <f t="shared" si="55"/>
        <v>666.66666666666663</v>
      </c>
      <c r="E474">
        <f t="shared" si="51"/>
        <v>0</v>
      </c>
      <c r="G474">
        <v>424</v>
      </c>
      <c r="H474" s="13">
        <f t="shared" si="56"/>
        <v>-7.7831728503952036E-4</v>
      </c>
      <c r="I474">
        <f t="shared" si="57"/>
        <v>155.96036875471833</v>
      </c>
      <c r="J474">
        <f t="shared" si="52"/>
        <v>665.9973404791931</v>
      </c>
      <c r="K474" s="27">
        <f t="shared" si="53"/>
        <v>-345.22372106557731</v>
      </c>
    </row>
    <row r="475" spans="1:11">
      <c r="A475" s="26">
        <v>425</v>
      </c>
      <c r="B475" s="82">
        <f t="shared" si="54"/>
        <v>0</v>
      </c>
      <c r="C475" s="58">
        <f t="shared" si="58"/>
        <v>156.29037528357509</v>
      </c>
      <c r="D475" s="83">
        <f t="shared" si="55"/>
        <v>666.66666666666663</v>
      </c>
      <c r="E475">
        <f t="shared" si="51"/>
        <v>0</v>
      </c>
      <c r="G475">
        <v>425</v>
      </c>
      <c r="H475" s="13">
        <f t="shared" si="56"/>
        <v>-7.7831728503952036E-4</v>
      </c>
      <c r="I475">
        <f t="shared" si="57"/>
        <v>155.95959043743329</v>
      </c>
      <c r="J475">
        <f t="shared" si="52"/>
        <v>665.99575190522341</v>
      </c>
      <c r="K475" s="27">
        <f t="shared" si="53"/>
        <v>-345.22207414728291</v>
      </c>
    </row>
    <row r="476" spans="1:11">
      <c r="A476" s="26">
        <v>426</v>
      </c>
      <c r="B476" s="82">
        <f t="shared" si="54"/>
        <v>0</v>
      </c>
      <c r="C476" s="58">
        <f t="shared" si="58"/>
        <v>156.29037528357509</v>
      </c>
      <c r="D476" s="83">
        <f t="shared" si="55"/>
        <v>666.66666666666663</v>
      </c>
      <c r="E476">
        <f t="shared" si="51"/>
        <v>0</v>
      </c>
      <c r="G476">
        <v>426</v>
      </c>
      <c r="H476" s="13">
        <f t="shared" si="56"/>
        <v>-7.7831728503952036E-4</v>
      </c>
      <c r="I476">
        <f t="shared" si="57"/>
        <v>155.95881212014825</v>
      </c>
      <c r="J476">
        <f t="shared" si="52"/>
        <v>665.99416328383518</v>
      </c>
      <c r="K476" s="27">
        <f t="shared" si="53"/>
        <v>-345.2204271837561</v>
      </c>
    </row>
    <row r="477" spans="1:11">
      <c r="A477" s="26">
        <v>427</v>
      </c>
      <c r="B477" s="82">
        <f t="shared" si="54"/>
        <v>0</v>
      </c>
      <c r="C477" s="58">
        <f t="shared" si="58"/>
        <v>156.29037528357509</v>
      </c>
      <c r="D477" s="83">
        <f t="shared" si="55"/>
        <v>666.66666666666663</v>
      </c>
      <c r="E477">
        <f t="shared" si="51"/>
        <v>0</v>
      </c>
      <c r="G477">
        <v>427</v>
      </c>
      <c r="H477" s="13">
        <f t="shared" si="56"/>
        <v>-7.7831728503952036E-4</v>
      </c>
      <c r="I477">
        <f t="shared" si="57"/>
        <v>155.95803380286321</v>
      </c>
      <c r="J477">
        <f t="shared" si="52"/>
        <v>665.99257461502498</v>
      </c>
      <c r="K477" s="27">
        <f t="shared" si="53"/>
        <v>-345.21878017499347</v>
      </c>
    </row>
    <row r="478" spans="1:11">
      <c r="A478" s="26">
        <v>428</v>
      </c>
      <c r="B478" s="82">
        <f t="shared" si="54"/>
        <v>0</v>
      </c>
      <c r="C478" s="58">
        <f t="shared" si="58"/>
        <v>156.29037528357509</v>
      </c>
      <c r="D478" s="83">
        <f t="shared" si="55"/>
        <v>666.66666666666663</v>
      </c>
      <c r="E478">
        <f t="shared" si="51"/>
        <v>0</v>
      </c>
      <c r="G478">
        <v>428</v>
      </c>
      <c r="H478" s="13">
        <f t="shared" si="56"/>
        <v>-7.7831728503952036E-4</v>
      </c>
      <c r="I478">
        <f t="shared" si="57"/>
        <v>155.95725548557817</v>
      </c>
      <c r="J478">
        <f t="shared" si="52"/>
        <v>665.9909858987894</v>
      </c>
      <c r="K478" s="27">
        <f t="shared" si="53"/>
        <v>-345.21713312099183</v>
      </c>
    </row>
    <row r="479" spans="1:11">
      <c r="A479" s="26">
        <v>429</v>
      </c>
      <c r="B479" s="82">
        <f t="shared" si="54"/>
        <v>0</v>
      </c>
      <c r="C479" s="58">
        <f t="shared" si="58"/>
        <v>156.29037528357509</v>
      </c>
      <c r="D479" s="83">
        <f t="shared" si="55"/>
        <v>666.66666666666663</v>
      </c>
      <c r="E479">
        <f t="shared" si="51"/>
        <v>0</v>
      </c>
      <c r="G479">
        <v>429</v>
      </c>
      <c r="H479" s="13">
        <f t="shared" si="56"/>
        <v>-7.7831728503952036E-4</v>
      </c>
      <c r="I479">
        <f t="shared" si="57"/>
        <v>155.95647716829313</v>
      </c>
      <c r="J479">
        <f t="shared" si="52"/>
        <v>665.98939713512505</v>
      </c>
      <c r="K479" s="27">
        <f t="shared" si="53"/>
        <v>-345.21548602174812</v>
      </c>
    </row>
    <row r="480" spans="1:11">
      <c r="A480" s="26">
        <v>430</v>
      </c>
      <c r="B480" s="82">
        <f t="shared" si="54"/>
        <v>0</v>
      </c>
      <c r="C480" s="58">
        <f t="shared" si="58"/>
        <v>156.29037528357509</v>
      </c>
      <c r="D480" s="83">
        <f t="shared" si="55"/>
        <v>666.66666666666663</v>
      </c>
      <c r="E480">
        <f t="shared" si="51"/>
        <v>0</v>
      </c>
      <c r="G480">
        <v>430</v>
      </c>
      <c r="H480" s="13">
        <f t="shared" si="56"/>
        <v>-7.7831728503952036E-4</v>
      </c>
      <c r="I480">
        <f t="shared" si="57"/>
        <v>155.95569885100809</v>
      </c>
      <c r="J480">
        <f t="shared" si="52"/>
        <v>665.98780832402849</v>
      </c>
      <c r="K480" s="27">
        <f t="shared" si="53"/>
        <v>-345.21383887725898</v>
      </c>
    </row>
    <row r="481" spans="1:11">
      <c r="A481" s="26">
        <v>431</v>
      </c>
      <c r="B481" s="82">
        <f t="shared" si="54"/>
        <v>0</v>
      </c>
      <c r="C481" s="58">
        <f t="shared" si="58"/>
        <v>156.29037528357509</v>
      </c>
      <c r="D481" s="83">
        <f t="shared" si="55"/>
        <v>666.66666666666663</v>
      </c>
      <c r="E481">
        <f t="shared" si="51"/>
        <v>0</v>
      </c>
      <c r="G481">
        <v>431</v>
      </c>
      <c r="H481" s="13">
        <f t="shared" si="56"/>
        <v>-7.7831728503952036E-4</v>
      </c>
      <c r="I481">
        <f t="shared" si="57"/>
        <v>155.95492053372305</v>
      </c>
      <c r="J481">
        <f t="shared" si="52"/>
        <v>665.98621946549633</v>
      </c>
      <c r="K481" s="27">
        <f t="shared" si="53"/>
        <v>-345.21219168752145</v>
      </c>
    </row>
    <row r="482" spans="1:11">
      <c r="A482" s="26">
        <v>432</v>
      </c>
      <c r="B482" s="82">
        <f t="shared" si="54"/>
        <v>0</v>
      </c>
      <c r="C482" s="58">
        <f t="shared" si="58"/>
        <v>156.29037528357509</v>
      </c>
      <c r="D482" s="83">
        <f t="shared" si="55"/>
        <v>666.66666666666663</v>
      </c>
      <c r="E482">
        <f t="shared" si="51"/>
        <v>0</v>
      </c>
      <c r="G482">
        <v>432</v>
      </c>
      <c r="H482" s="13">
        <f t="shared" si="56"/>
        <v>-7.7831728503952036E-4</v>
      </c>
      <c r="I482">
        <f t="shared" si="57"/>
        <v>155.95414221643802</v>
      </c>
      <c r="J482">
        <f t="shared" si="52"/>
        <v>665.98463055952504</v>
      </c>
      <c r="K482" s="27">
        <f t="shared" si="53"/>
        <v>-345.21054445253208</v>
      </c>
    </row>
    <row r="483" spans="1:11">
      <c r="A483" s="26">
        <v>433</v>
      </c>
      <c r="B483" s="82">
        <f t="shared" si="54"/>
        <v>0</v>
      </c>
      <c r="C483" s="58">
        <f t="shared" si="58"/>
        <v>156.29037528357509</v>
      </c>
      <c r="D483" s="83">
        <f t="shared" si="55"/>
        <v>666.66666666666663</v>
      </c>
      <c r="E483">
        <f t="shared" si="51"/>
        <v>0</v>
      </c>
      <c r="G483">
        <v>433</v>
      </c>
      <c r="H483" s="13">
        <f t="shared" si="56"/>
        <v>-7.7831728503952036E-4</v>
      </c>
      <c r="I483">
        <f t="shared" si="57"/>
        <v>155.95336389915298</v>
      </c>
      <c r="J483">
        <f t="shared" si="52"/>
        <v>665.98304160611133</v>
      </c>
      <c r="K483" s="27">
        <f t="shared" si="53"/>
        <v>-345.20889717228778</v>
      </c>
    </row>
    <row r="484" spans="1:11">
      <c r="A484" s="26">
        <v>434</v>
      </c>
      <c r="B484" s="82">
        <f t="shared" si="54"/>
        <v>0</v>
      </c>
      <c r="C484" s="58">
        <f t="shared" si="58"/>
        <v>156.29037528357509</v>
      </c>
      <c r="D484" s="83">
        <f t="shared" si="55"/>
        <v>666.66666666666663</v>
      </c>
      <c r="E484">
        <f t="shared" si="51"/>
        <v>0</v>
      </c>
      <c r="G484">
        <v>434</v>
      </c>
      <c r="H484" s="13">
        <f t="shared" si="56"/>
        <v>-7.7831728503952036E-4</v>
      </c>
      <c r="I484">
        <f t="shared" si="57"/>
        <v>155.95258558186794</v>
      </c>
      <c r="J484">
        <f t="shared" si="52"/>
        <v>665.98145260525166</v>
      </c>
      <c r="K484" s="27">
        <f t="shared" si="53"/>
        <v>-345.20724984678532</v>
      </c>
    </row>
    <row r="485" spans="1:11">
      <c r="A485" s="26">
        <v>435</v>
      </c>
      <c r="B485" s="82">
        <f t="shared" si="54"/>
        <v>0</v>
      </c>
      <c r="C485" s="58">
        <f t="shared" si="58"/>
        <v>156.29037528357509</v>
      </c>
      <c r="D485" s="83">
        <f t="shared" si="55"/>
        <v>666.66666666666663</v>
      </c>
      <c r="E485">
        <f t="shared" si="51"/>
        <v>0</v>
      </c>
      <c r="G485">
        <v>435</v>
      </c>
      <c r="H485" s="13">
        <f t="shared" si="56"/>
        <v>-7.7831728503952036E-4</v>
      </c>
      <c r="I485">
        <f t="shared" si="57"/>
        <v>155.9518072645829</v>
      </c>
      <c r="J485">
        <f t="shared" si="52"/>
        <v>665.97986355694263</v>
      </c>
      <c r="K485" s="27">
        <f t="shared" si="53"/>
        <v>-345.2056024760214</v>
      </c>
    </row>
    <row r="486" spans="1:11">
      <c r="A486" s="26">
        <v>436</v>
      </c>
      <c r="B486" s="82">
        <f t="shared" si="54"/>
        <v>0</v>
      </c>
      <c r="C486" s="58">
        <f t="shared" si="58"/>
        <v>156.29037528357509</v>
      </c>
      <c r="D486" s="83">
        <f t="shared" si="55"/>
        <v>666.66666666666663</v>
      </c>
      <c r="E486">
        <f t="shared" si="51"/>
        <v>0</v>
      </c>
      <c r="G486">
        <v>436</v>
      </c>
      <c r="H486" s="13">
        <f t="shared" si="56"/>
        <v>-7.7831728503952036E-4</v>
      </c>
      <c r="I486">
        <f t="shared" si="57"/>
        <v>155.95102894729786</v>
      </c>
      <c r="J486">
        <f t="shared" si="52"/>
        <v>665.97827446118083</v>
      </c>
      <c r="K486" s="27">
        <f t="shared" si="53"/>
        <v>-345.20395505999301</v>
      </c>
    </row>
    <row r="487" spans="1:11">
      <c r="A487" s="26">
        <v>437</v>
      </c>
      <c r="B487" s="82">
        <f t="shared" si="54"/>
        <v>0</v>
      </c>
      <c r="C487" s="58">
        <f t="shared" si="58"/>
        <v>156.29037528357509</v>
      </c>
      <c r="D487" s="83">
        <f t="shared" si="55"/>
        <v>666.66666666666663</v>
      </c>
      <c r="E487">
        <f t="shared" si="51"/>
        <v>0</v>
      </c>
      <c r="G487">
        <v>437</v>
      </c>
      <c r="H487" s="13">
        <f t="shared" si="56"/>
        <v>-7.7831728503952036E-4</v>
      </c>
      <c r="I487">
        <f t="shared" si="57"/>
        <v>155.95025063001282</v>
      </c>
      <c r="J487">
        <f t="shared" si="52"/>
        <v>665.97668531796285</v>
      </c>
      <c r="K487" s="27">
        <f t="shared" si="53"/>
        <v>-345.2023075986969</v>
      </c>
    </row>
    <row r="488" spans="1:11">
      <c r="A488" s="26">
        <v>438</v>
      </c>
      <c r="B488" s="82">
        <f t="shared" si="54"/>
        <v>0</v>
      </c>
      <c r="C488" s="58">
        <f t="shared" si="58"/>
        <v>156.29037528357509</v>
      </c>
      <c r="D488" s="83">
        <f t="shared" si="55"/>
        <v>666.66666666666663</v>
      </c>
      <c r="E488">
        <f t="shared" si="51"/>
        <v>0</v>
      </c>
      <c r="G488">
        <v>438</v>
      </c>
      <c r="H488" s="13">
        <f t="shared" si="56"/>
        <v>-7.7831728503952036E-4</v>
      </c>
      <c r="I488">
        <f t="shared" si="57"/>
        <v>155.94947231272778</v>
      </c>
      <c r="J488">
        <f t="shared" si="52"/>
        <v>665.97509612728527</v>
      </c>
      <c r="K488" s="27">
        <f t="shared" si="53"/>
        <v>-345.20066009212979</v>
      </c>
    </row>
    <row r="489" spans="1:11">
      <c r="A489" s="26">
        <v>439</v>
      </c>
      <c r="B489" s="82">
        <f t="shared" si="54"/>
        <v>0</v>
      </c>
      <c r="C489" s="58">
        <f t="shared" si="58"/>
        <v>156.29037528357509</v>
      </c>
      <c r="D489" s="83">
        <f t="shared" si="55"/>
        <v>666.66666666666663</v>
      </c>
      <c r="E489">
        <f t="shared" si="51"/>
        <v>0</v>
      </c>
      <c r="G489">
        <v>439</v>
      </c>
      <c r="H489" s="13">
        <f t="shared" si="56"/>
        <v>-7.7831728503952036E-4</v>
      </c>
      <c r="I489">
        <f t="shared" si="57"/>
        <v>155.94869399544274</v>
      </c>
      <c r="J489">
        <f t="shared" si="52"/>
        <v>665.97350688914457</v>
      </c>
      <c r="K489" s="27">
        <f t="shared" si="53"/>
        <v>-345.19901254028861</v>
      </c>
    </row>
    <row r="490" spans="1:11">
      <c r="A490" s="26">
        <v>440</v>
      </c>
      <c r="B490" s="82">
        <f t="shared" si="54"/>
        <v>0</v>
      </c>
      <c r="C490" s="58">
        <f t="shared" si="58"/>
        <v>156.29037528357509</v>
      </c>
      <c r="D490" s="83">
        <f t="shared" si="55"/>
        <v>666.66666666666663</v>
      </c>
      <c r="E490">
        <f t="shared" si="51"/>
        <v>0</v>
      </c>
      <c r="G490">
        <v>440</v>
      </c>
      <c r="H490" s="13">
        <f t="shared" si="56"/>
        <v>-7.7831728503952036E-4</v>
      </c>
      <c r="I490">
        <f t="shared" si="57"/>
        <v>155.9479156781577</v>
      </c>
      <c r="J490">
        <f t="shared" si="52"/>
        <v>665.97191760353735</v>
      </c>
      <c r="K490" s="27">
        <f t="shared" si="53"/>
        <v>-345.19736494316993</v>
      </c>
    </row>
    <row r="491" spans="1:11">
      <c r="A491" s="26">
        <v>441</v>
      </c>
      <c r="B491" s="82">
        <f t="shared" si="54"/>
        <v>0</v>
      </c>
      <c r="C491" s="58">
        <f t="shared" si="58"/>
        <v>156.29037528357509</v>
      </c>
      <c r="D491" s="83">
        <f t="shared" si="55"/>
        <v>666.66666666666663</v>
      </c>
      <c r="E491">
        <f t="shared" si="51"/>
        <v>0</v>
      </c>
      <c r="G491">
        <v>441</v>
      </c>
      <c r="H491" s="13">
        <f t="shared" si="56"/>
        <v>-7.7831728503952036E-4</v>
      </c>
      <c r="I491">
        <f t="shared" si="57"/>
        <v>155.94713736087266</v>
      </c>
      <c r="J491">
        <f t="shared" si="52"/>
        <v>665.97032827046019</v>
      </c>
      <c r="K491" s="27">
        <f t="shared" si="53"/>
        <v>-345.19571730077064</v>
      </c>
    </row>
    <row r="492" spans="1:11">
      <c r="A492" s="26">
        <v>442</v>
      </c>
      <c r="B492" s="82">
        <f t="shared" si="54"/>
        <v>0</v>
      </c>
      <c r="C492" s="58">
        <f t="shared" si="58"/>
        <v>156.29037528357509</v>
      </c>
      <c r="D492" s="83">
        <f t="shared" si="55"/>
        <v>666.66666666666663</v>
      </c>
      <c r="E492">
        <f t="shared" si="51"/>
        <v>0</v>
      </c>
      <c r="G492">
        <v>442</v>
      </c>
      <c r="H492" s="13">
        <f t="shared" si="56"/>
        <v>-7.7831728503952036E-4</v>
      </c>
      <c r="I492">
        <f t="shared" si="57"/>
        <v>155.94635904358762</v>
      </c>
      <c r="J492">
        <f t="shared" si="52"/>
        <v>665.96873888990967</v>
      </c>
      <c r="K492" s="27">
        <f t="shared" si="53"/>
        <v>-345.19406961308772</v>
      </c>
    </row>
    <row r="493" spans="1:11">
      <c r="A493" s="26">
        <v>443</v>
      </c>
      <c r="B493" s="82">
        <f t="shared" si="54"/>
        <v>0</v>
      </c>
      <c r="C493" s="58">
        <f t="shared" si="58"/>
        <v>156.29037528357509</v>
      </c>
      <c r="D493" s="83">
        <f t="shared" si="55"/>
        <v>666.66666666666663</v>
      </c>
      <c r="E493">
        <f t="shared" si="51"/>
        <v>0</v>
      </c>
      <c r="G493">
        <v>443</v>
      </c>
      <c r="H493" s="13">
        <f t="shared" si="56"/>
        <v>-7.7831728503952036E-4</v>
      </c>
      <c r="I493">
        <f t="shared" si="57"/>
        <v>155.94558072630258</v>
      </c>
      <c r="J493">
        <f t="shared" si="52"/>
        <v>665.96714946188251</v>
      </c>
      <c r="K493" s="27">
        <f t="shared" si="53"/>
        <v>-345.19242188011771</v>
      </c>
    </row>
    <row r="494" spans="1:11">
      <c r="A494" s="26">
        <v>444</v>
      </c>
      <c r="B494" s="82">
        <f t="shared" si="54"/>
        <v>0</v>
      </c>
      <c r="C494" s="58">
        <f t="shared" si="58"/>
        <v>156.29037528357509</v>
      </c>
      <c r="D494" s="83">
        <f t="shared" si="55"/>
        <v>666.66666666666663</v>
      </c>
      <c r="E494">
        <f t="shared" si="51"/>
        <v>0</v>
      </c>
      <c r="G494">
        <v>444</v>
      </c>
      <c r="H494" s="13">
        <f t="shared" si="56"/>
        <v>-7.7831728503952036E-4</v>
      </c>
      <c r="I494">
        <f t="shared" si="57"/>
        <v>155.94480240901754</v>
      </c>
      <c r="J494">
        <f t="shared" si="52"/>
        <v>665.96555998637496</v>
      </c>
      <c r="K494" s="27">
        <f t="shared" si="53"/>
        <v>-345.19077410185758</v>
      </c>
    </row>
    <row r="495" spans="1:11">
      <c r="A495" s="26">
        <v>445</v>
      </c>
      <c r="B495" s="82">
        <f t="shared" si="54"/>
        <v>0</v>
      </c>
      <c r="C495" s="58">
        <f t="shared" si="58"/>
        <v>156.29037528357509</v>
      </c>
      <c r="D495" s="83">
        <f t="shared" si="55"/>
        <v>666.66666666666663</v>
      </c>
      <c r="E495">
        <f t="shared" si="51"/>
        <v>0</v>
      </c>
      <c r="G495">
        <v>445</v>
      </c>
      <c r="H495" s="13">
        <f t="shared" si="56"/>
        <v>-7.7831728503952036E-4</v>
      </c>
      <c r="I495">
        <f t="shared" si="57"/>
        <v>155.9440240917325</v>
      </c>
      <c r="J495">
        <f t="shared" si="52"/>
        <v>665.96397046338382</v>
      </c>
      <c r="K495" s="27">
        <f t="shared" si="53"/>
        <v>-345.18912627830406</v>
      </c>
    </row>
    <row r="496" spans="1:11">
      <c r="A496" s="26">
        <v>446</v>
      </c>
      <c r="B496" s="82">
        <f t="shared" si="54"/>
        <v>0</v>
      </c>
      <c r="C496" s="58">
        <f t="shared" si="58"/>
        <v>156.29037528357509</v>
      </c>
      <c r="D496" s="83">
        <f t="shared" si="55"/>
        <v>666.66666666666663</v>
      </c>
      <c r="E496">
        <f t="shared" si="51"/>
        <v>0</v>
      </c>
      <c r="G496">
        <v>446</v>
      </c>
      <c r="H496" s="13">
        <f t="shared" si="56"/>
        <v>-7.7831728503952036E-4</v>
      </c>
      <c r="I496">
        <f t="shared" si="57"/>
        <v>155.94324577444746</v>
      </c>
      <c r="J496">
        <f t="shared" si="52"/>
        <v>665.96238089290568</v>
      </c>
      <c r="K496" s="27">
        <f t="shared" si="53"/>
        <v>-345.18747840945389</v>
      </c>
    </row>
    <row r="497" spans="1:11">
      <c r="A497" s="26">
        <v>447</v>
      </c>
      <c r="B497" s="82">
        <f t="shared" si="54"/>
        <v>0</v>
      </c>
      <c r="C497" s="58">
        <f t="shared" si="58"/>
        <v>156.29037528357509</v>
      </c>
      <c r="D497" s="83">
        <f t="shared" si="55"/>
        <v>666.66666666666663</v>
      </c>
      <c r="E497">
        <f t="shared" si="51"/>
        <v>0</v>
      </c>
      <c r="G497">
        <v>447</v>
      </c>
      <c r="H497" s="13">
        <f t="shared" si="56"/>
        <v>-7.7831728503952036E-4</v>
      </c>
      <c r="I497">
        <f t="shared" si="57"/>
        <v>155.94246745716242</v>
      </c>
      <c r="J497">
        <f t="shared" si="52"/>
        <v>665.96079127493692</v>
      </c>
      <c r="K497" s="27">
        <f t="shared" si="53"/>
        <v>-345.18583049530395</v>
      </c>
    </row>
    <row r="498" spans="1:11">
      <c r="A498" s="26">
        <v>448</v>
      </c>
      <c r="B498" s="82">
        <f t="shared" si="54"/>
        <v>0</v>
      </c>
      <c r="C498" s="58">
        <f t="shared" si="58"/>
        <v>156.29037528357509</v>
      </c>
      <c r="D498" s="83">
        <f t="shared" si="55"/>
        <v>666.66666666666663</v>
      </c>
      <c r="E498">
        <f t="shared" si="51"/>
        <v>0</v>
      </c>
      <c r="G498">
        <v>448</v>
      </c>
      <c r="H498" s="13">
        <f t="shared" si="56"/>
        <v>-7.7831728503952036E-4</v>
      </c>
      <c r="I498">
        <f t="shared" si="57"/>
        <v>155.94168913987738</v>
      </c>
      <c r="J498">
        <f t="shared" si="52"/>
        <v>665.95920160947423</v>
      </c>
      <c r="K498" s="27">
        <f t="shared" si="53"/>
        <v>-345.18418253585099</v>
      </c>
    </row>
    <row r="499" spans="1:11">
      <c r="A499" s="26">
        <v>449</v>
      </c>
      <c r="B499" s="82">
        <f t="shared" si="54"/>
        <v>0</v>
      </c>
      <c r="C499" s="58">
        <f t="shared" si="58"/>
        <v>156.29037528357509</v>
      </c>
      <c r="D499" s="83">
        <f t="shared" si="55"/>
        <v>666.66666666666663</v>
      </c>
      <c r="E499">
        <f t="shared" ref="E499:E562" si="59">((D499^2)+(D499*D500)+(D500^2))*B500/3</f>
        <v>0</v>
      </c>
      <c r="G499">
        <v>449</v>
      </c>
      <c r="H499" s="13">
        <f t="shared" si="56"/>
        <v>-7.7831728503952036E-4</v>
      </c>
      <c r="I499">
        <f t="shared" si="57"/>
        <v>155.94091082259234</v>
      </c>
      <c r="J499">
        <f t="shared" ref="J499:J562" si="60">IF($G$28&lt;$C$14,0,((($C$11^2)-((I499-$C$13)^2))^0.5)+$C$16)</f>
        <v>665.95761189651421</v>
      </c>
      <c r="K499" s="27">
        <f t="shared" ref="K499:K562" si="61">((J499^2)+(J499*J500)+(J500^2))*H500/3</f>
        <v>-345.18253453109179</v>
      </c>
    </row>
    <row r="500" spans="1:11">
      <c r="A500" s="26">
        <v>450</v>
      </c>
      <c r="B500" s="82">
        <f t="shared" ref="B500:B563" si="62">C500-C499</f>
        <v>0</v>
      </c>
      <c r="C500" s="58">
        <f t="shared" si="58"/>
        <v>156.29037528357509</v>
      </c>
      <c r="D500" s="83">
        <f t="shared" ref="D500:D563" si="63">IF($G$28&lt;$C$14,0,((($C$11^2)-((C500-$C$13)^2))^0.5)+$C$16)</f>
        <v>666.66666666666663</v>
      </c>
      <c r="E500">
        <f t="shared" si="59"/>
        <v>0</v>
      </c>
      <c r="G500">
        <v>450</v>
      </c>
      <c r="H500" s="13">
        <f t="shared" ref="H500:H563" si="64">I500-I499</f>
        <v>-7.7831728503952036E-4</v>
      </c>
      <c r="I500">
        <f t="shared" ref="I500:I563" si="65">($G$27-$C$14)/2000+I499</f>
        <v>155.9401325053073</v>
      </c>
      <c r="J500">
        <f t="shared" si="60"/>
        <v>665.95602213605332</v>
      </c>
      <c r="K500" s="27">
        <f t="shared" si="61"/>
        <v>-345.18088648102321</v>
      </c>
    </row>
    <row r="501" spans="1:11">
      <c r="A501" s="26">
        <v>451</v>
      </c>
      <c r="B501" s="82">
        <f t="shared" si="62"/>
        <v>0</v>
      </c>
      <c r="C501" s="58">
        <f t="shared" si="58"/>
        <v>156.29037528357509</v>
      </c>
      <c r="D501" s="83">
        <f t="shared" si="63"/>
        <v>666.66666666666663</v>
      </c>
      <c r="E501">
        <f t="shared" si="59"/>
        <v>0</v>
      </c>
      <c r="G501">
        <v>451</v>
      </c>
      <c r="H501" s="13">
        <f t="shared" si="64"/>
        <v>-7.7831728503952036E-4</v>
      </c>
      <c r="I501">
        <f t="shared" si="65"/>
        <v>155.93935418802226</v>
      </c>
      <c r="J501">
        <f t="shared" si="60"/>
        <v>665.95443232808816</v>
      </c>
      <c r="K501" s="27">
        <f t="shared" si="61"/>
        <v>-345.1792383856419</v>
      </c>
    </row>
    <row r="502" spans="1:11">
      <c r="A502" s="26">
        <v>452</v>
      </c>
      <c r="B502" s="82">
        <f t="shared" si="62"/>
        <v>0</v>
      </c>
      <c r="C502" s="58">
        <f t="shared" si="58"/>
        <v>156.29037528357509</v>
      </c>
      <c r="D502" s="83">
        <f t="shared" si="63"/>
        <v>666.66666666666663</v>
      </c>
      <c r="E502">
        <f t="shared" si="59"/>
        <v>0</v>
      </c>
      <c r="G502">
        <v>452</v>
      </c>
      <c r="H502" s="13">
        <f t="shared" si="64"/>
        <v>-7.7831728503952036E-4</v>
      </c>
      <c r="I502">
        <f t="shared" si="65"/>
        <v>155.93857587073722</v>
      </c>
      <c r="J502">
        <f t="shared" si="60"/>
        <v>665.95284247261532</v>
      </c>
      <c r="K502" s="27">
        <f t="shared" si="61"/>
        <v>-345.17759024494484</v>
      </c>
    </row>
    <row r="503" spans="1:11">
      <c r="A503" s="26">
        <v>453</v>
      </c>
      <c r="B503" s="82">
        <f t="shared" si="62"/>
        <v>0</v>
      </c>
      <c r="C503" s="58">
        <f t="shared" si="58"/>
        <v>156.29037528357509</v>
      </c>
      <c r="D503" s="83">
        <f t="shared" si="63"/>
        <v>666.66666666666663</v>
      </c>
      <c r="E503">
        <f t="shared" si="59"/>
        <v>0</v>
      </c>
      <c r="G503">
        <v>453</v>
      </c>
      <c r="H503" s="13">
        <f t="shared" si="64"/>
        <v>-7.7831728503952036E-4</v>
      </c>
      <c r="I503">
        <f t="shared" si="65"/>
        <v>155.93779755345219</v>
      </c>
      <c r="J503">
        <f t="shared" si="60"/>
        <v>665.95125256963138</v>
      </c>
      <c r="K503" s="27">
        <f t="shared" si="61"/>
        <v>-345.17594205892857</v>
      </c>
    </row>
    <row r="504" spans="1:11">
      <c r="A504" s="26">
        <v>454</v>
      </c>
      <c r="B504" s="82">
        <f t="shared" si="62"/>
        <v>0</v>
      </c>
      <c r="C504" s="58">
        <f t="shared" si="58"/>
        <v>156.29037528357509</v>
      </c>
      <c r="D504" s="83">
        <f t="shared" si="63"/>
        <v>666.66666666666663</v>
      </c>
      <c r="E504">
        <f t="shared" si="59"/>
        <v>0</v>
      </c>
      <c r="G504">
        <v>454</v>
      </c>
      <c r="H504" s="13">
        <f t="shared" si="64"/>
        <v>-7.7831728503952036E-4</v>
      </c>
      <c r="I504">
        <f t="shared" si="65"/>
        <v>155.93701923616715</v>
      </c>
      <c r="J504">
        <f t="shared" si="60"/>
        <v>665.94966261913282</v>
      </c>
      <c r="K504" s="27">
        <f t="shared" si="61"/>
        <v>-345.17429382759025</v>
      </c>
    </row>
    <row r="505" spans="1:11">
      <c r="A505" s="26">
        <v>455</v>
      </c>
      <c r="B505" s="82">
        <f t="shared" si="62"/>
        <v>0</v>
      </c>
      <c r="C505" s="58">
        <f t="shared" si="58"/>
        <v>156.29037528357509</v>
      </c>
      <c r="D505" s="83">
        <f t="shared" si="63"/>
        <v>666.66666666666663</v>
      </c>
      <c r="E505">
        <f t="shared" si="59"/>
        <v>0</v>
      </c>
      <c r="G505">
        <v>455</v>
      </c>
      <c r="H505" s="13">
        <f t="shared" si="64"/>
        <v>-7.7831728503952036E-4</v>
      </c>
      <c r="I505">
        <f t="shared" si="65"/>
        <v>155.93624091888211</v>
      </c>
      <c r="J505">
        <f t="shared" si="60"/>
        <v>665.94807262111635</v>
      </c>
      <c r="K505" s="27">
        <f t="shared" si="61"/>
        <v>-345.17264555092635</v>
      </c>
    </row>
    <row r="506" spans="1:11">
      <c r="A506" s="26">
        <v>456</v>
      </c>
      <c r="B506" s="82">
        <f t="shared" si="62"/>
        <v>0</v>
      </c>
      <c r="C506" s="58">
        <f t="shared" si="58"/>
        <v>156.29037528357509</v>
      </c>
      <c r="D506" s="83">
        <f t="shared" si="63"/>
        <v>666.66666666666663</v>
      </c>
      <c r="E506">
        <f t="shared" si="59"/>
        <v>0</v>
      </c>
      <c r="G506">
        <v>456</v>
      </c>
      <c r="H506" s="13">
        <f t="shared" si="64"/>
        <v>-7.7831728503952036E-4</v>
      </c>
      <c r="I506">
        <f t="shared" si="65"/>
        <v>155.93546260159707</v>
      </c>
      <c r="J506">
        <f t="shared" si="60"/>
        <v>665.94648257557833</v>
      </c>
      <c r="K506" s="27">
        <f t="shared" si="61"/>
        <v>-345.17099722893369</v>
      </c>
    </row>
    <row r="507" spans="1:11">
      <c r="A507" s="26">
        <v>457</v>
      </c>
      <c r="B507" s="82">
        <f t="shared" si="62"/>
        <v>0</v>
      </c>
      <c r="C507" s="58">
        <f t="shared" si="58"/>
        <v>156.29037528357509</v>
      </c>
      <c r="D507" s="83">
        <f t="shared" si="63"/>
        <v>666.66666666666663</v>
      </c>
      <c r="E507">
        <f t="shared" si="59"/>
        <v>0</v>
      </c>
      <c r="G507">
        <v>457</v>
      </c>
      <c r="H507" s="13">
        <f t="shared" si="64"/>
        <v>-7.7831728503952036E-4</v>
      </c>
      <c r="I507">
        <f t="shared" si="65"/>
        <v>155.93468428431203</v>
      </c>
      <c r="J507">
        <f t="shared" si="60"/>
        <v>665.94489248251557</v>
      </c>
      <c r="K507" s="27">
        <f t="shared" si="61"/>
        <v>-345.16934886160931</v>
      </c>
    </row>
    <row r="508" spans="1:11">
      <c r="A508" s="26">
        <v>458</v>
      </c>
      <c r="B508" s="82">
        <f t="shared" si="62"/>
        <v>0</v>
      </c>
      <c r="C508" s="58">
        <f t="shared" si="58"/>
        <v>156.29037528357509</v>
      </c>
      <c r="D508" s="83">
        <f t="shared" si="63"/>
        <v>666.66666666666663</v>
      </c>
      <c r="E508">
        <f t="shared" si="59"/>
        <v>0</v>
      </c>
      <c r="G508">
        <v>458</v>
      </c>
      <c r="H508" s="13">
        <f t="shared" si="64"/>
        <v>-7.7831728503952036E-4</v>
      </c>
      <c r="I508">
        <f t="shared" si="65"/>
        <v>155.93390596702699</v>
      </c>
      <c r="J508">
        <f t="shared" si="60"/>
        <v>665.94330234192444</v>
      </c>
      <c r="K508" s="27">
        <f t="shared" si="61"/>
        <v>-345.16770044894974</v>
      </c>
    </row>
    <row r="509" spans="1:11">
      <c r="A509" s="26">
        <v>459</v>
      </c>
      <c r="B509" s="82">
        <f t="shared" si="62"/>
        <v>0</v>
      </c>
      <c r="C509" s="58">
        <f t="shared" si="58"/>
        <v>156.29037528357509</v>
      </c>
      <c r="D509" s="83">
        <f t="shared" si="63"/>
        <v>666.66666666666663</v>
      </c>
      <c r="E509">
        <f t="shared" si="59"/>
        <v>0</v>
      </c>
      <c r="G509">
        <v>459</v>
      </c>
      <c r="H509" s="13">
        <f t="shared" si="64"/>
        <v>-7.7831728503952036E-4</v>
      </c>
      <c r="I509">
        <f t="shared" si="65"/>
        <v>155.93312764974195</v>
      </c>
      <c r="J509">
        <f t="shared" si="60"/>
        <v>665.94171215380152</v>
      </c>
      <c r="K509" s="27">
        <f t="shared" si="61"/>
        <v>-345.1660519909517</v>
      </c>
    </row>
    <row r="510" spans="1:11">
      <c r="A510" s="26">
        <v>460</v>
      </c>
      <c r="B510" s="82">
        <f t="shared" si="62"/>
        <v>0</v>
      </c>
      <c r="C510" s="58">
        <f t="shared" si="58"/>
        <v>156.29037528357509</v>
      </c>
      <c r="D510" s="83">
        <f t="shared" si="63"/>
        <v>666.66666666666663</v>
      </c>
      <c r="E510">
        <f t="shared" si="59"/>
        <v>0</v>
      </c>
      <c r="G510">
        <v>460</v>
      </c>
      <c r="H510" s="13">
        <f t="shared" si="64"/>
        <v>-7.7831728503952036E-4</v>
      </c>
      <c r="I510">
        <f t="shared" si="65"/>
        <v>155.93234933245691</v>
      </c>
      <c r="J510">
        <f t="shared" si="60"/>
        <v>665.9401219181434</v>
      </c>
      <c r="K510" s="27">
        <f t="shared" si="61"/>
        <v>-345.16440348761239</v>
      </c>
    </row>
    <row r="511" spans="1:11">
      <c r="A511" s="26">
        <v>461</v>
      </c>
      <c r="B511" s="82">
        <f t="shared" si="62"/>
        <v>0</v>
      </c>
      <c r="C511" s="58">
        <f t="shared" si="58"/>
        <v>156.29037528357509</v>
      </c>
      <c r="D511" s="83">
        <f t="shared" si="63"/>
        <v>666.66666666666663</v>
      </c>
      <c r="E511">
        <f t="shared" si="59"/>
        <v>0</v>
      </c>
      <c r="G511">
        <v>461</v>
      </c>
      <c r="H511" s="13">
        <f t="shared" si="64"/>
        <v>-7.7831728503952036E-4</v>
      </c>
      <c r="I511">
        <f t="shared" si="65"/>
        <v>155.93157101517187</v>
      </c>
      <c r="J511">
        <f t="shared" si="60"/>
        <v>665.9385316349468</v>
      </c>
      <c r="K511" s="27">
        <f t="shared" si="61"/>
        <v>-345.16275493892817</v>
      </c>
    </row>
    <row r="512" spans="1:11">
      <c r="A512" s="26">
        <v>462</v>
      </c>
      <c r="B512" s="82">
        <f t="shared" si="62"/>
        <v>0</v>
      </c>
      <c r="C512" s="58">
        <f t="shared" si="58"/>
        <v>156.29037528357509</v>
      </c>
      <c r="D512" s="83">
        <f t="shared" si="63"/>
        <v>666.66666666666663</v>
      </c>
      <c r="E512">
        <f t="shared" si="59"/>
        <v>0</v>
      </c>
      <c r="G512">
        <v>462</v>
      </c>
      <c r="H512" s="13">
        <f t="shared" si="64"/>
        <v>-7.7831728503952036E-4</v>
      </c>
      <c r="I512">
        <f t="shared" si="65"/>
        <v>155.93079269788683</v>
      </c>
      <c r="J512">
        <f t="shared" si="60"/>
        <v>665.93694130420795</v>
      </c>
      <c r="K512" s="27">
        <f t="shared" si="61"/>
        <v>-345.16110634489604</v>
      </c>
    </row>
    <row r="513" spans="1:11">
      <c r="A513" s="26">
        <v>463</v>
      </c>
      <c r="B513" s="82">
        <f t="shared" si="62"/>
        <v>0</v>
      </c>
      <c r="C513" s="58">
        <f t="shared" si="58"/>
        <v>156.29037528357509</v>
      </c>
      <c r="D513" s="83">
        <f t="shared" si="63"/>
        <v>666.66666666666663</v>
      </c>
      <c r="E513">
        <f t="shared" si="59"/>
        <v>0</v>
      </c>
      <c r="G513">
        <v>463</v>
      </c>
      <c r="H513" s="13">
        <f t="shared" si="64"/>
        <v>-7.7831728503952036E-4</v>
      </c>
      <c r="I513">
        <f t="shared" si="65"/>
        <v>155.93001438060179</v>
      </c>
      <c r="J513">
        <f t="shared" si="60"/>
        <v>665.93535092592379</v>
      </c>
      <c r="K513" s="27">
        <f t="shared" si="61"/>
        <v>-345.15945770551275</v>
      </c>
    </row>
    <row r="514" spans="1:11">
      <c r="A514" s="26">
        <v>464</v>
      </c>
      <c r="B514" s="82">
        <f t="shared" si="62"/>
        <v>0</v>
      </c>
      <c r="C514" s="58">
        <f t="shared" si="58"/>
        <v>156.29037528357509</v>
      </c>
      <c r="D514" s="83">
        <f t="shared" si="63"/>
        <v>666.66666666666663</v>
      </c>
      <c r="E514">
        <f t="shared" si="59"/>
        <v>0</v>
      </c>
      <c r="G514">
        <v>464</v>
      </c>
      <c r="H514" s="13">
        <f t="shared" si="64"/>
        <v>-7.7831728503952036E-4</v>
      </c>
      <c r="I514">
        <f t="shared" si="65"/>
        <v>155.92923606331675</v>
      </c>
      <c r="J514">
        <f t="shared" si="60"/>
        <v>665.93376050009056</v>
      </c>
      <c r="K514" s="27">
        <f t="shared" si="61"/>
        <v>-345.15780902077501</v>
      </c>
    </row>
    <row r="515" spans="1:11">
      <c r="A515" s="26">
        <v>465</v>
      </c>
      <c r="B515" s="82">
        <f t="shared" si="62"/>
        <v>0</v>
      </c>
      <c r="C515" s="58">
        <f t="shared" si="58"/>
        <v>156.29037528357509</v>
      </c>
      <c r="D515" s="83">
        <f t="shared" si="63"/>
        <v>666.66666666666663</v>
      </c>
      <c r="E515">
        <f t="shared" si="59"/>
        <v>0</v>
      </c>
      <c r="G515">
        <v>465</v>
      </c>
      <c r="H515" s="13">
        <f t="shared" si="64"/>
        <v>-7.7831728503952036E-4</v>
      </c>
      <c r="I515">
        <f t="shared" si="65"/>
        <v>155.92845774603171</v>
      </c>
      <c r="J515">
        <f t="shared" si="60"/>
        <v>665.93217002670485</v>
      </c>
      <c r="K515" s="27">
        <f t="shared" si="61"/>
        <v>-345.15616029067974</v>
      </c>
    </row>
    <row r="516" spans="1:11">
      <c r="A516" s="26">
        <v>466</v>
      </c>
      <c r="B516" s="82">
        <f t="shared" si="62"/>
        <v>0</v>
      </c>
      <c r="C516" s="58">
        <f t="shared" si="58"/>
        <v>156.29037528357509</v>
      </c>
      <c r="D516" s="83">
        <f t="shared" si="63"/>
        <v>666.66666666666663</v>
      </c>
      <c r="E516">
        <f t="shared" si="59"/>
        <v>0</v>
      </c>
      <c r="G516">
        <v>466</v>
      </c>
      <c r="H516" s="13">
        <f t="shared" si="64"/>
        <v>-7.7831728503952036E-4</v>
      </c>
      <c r="I516">
        <f t="shared" si="65"/>
        <v>155.92767942874667</v>
      </c>
      <c r="J516">
        <f t="shared" si="60"/>
        <v>665.93057950576349</v>
      </c>
      <c r="K516" s="27">
        <f t="shared" si="61"/>
        <v>-345.15451151522365</v>
      </c>
    </row>
    <row r="517" spans="1:11">
      <c r="A517" s="26">
        <v>467</v>
      </c>
      <c r="B517" s="82">
        <f t="shared" si="62"/>
        <v>0</v>
      </c>
      <c r="C517" s="58">
        <f t="shared" si="58"/>
        <v>156.29037528357509</v>
      </c>
      <c r="D517" s="83">
        <f t="shared" si="63"/>
        <v>666.66666666666663</v>
      </c>
      <c r="E517">
        <f t="shared" si="59"/>
        <v>0</v>
      </c>
      <c r="G517">
        <v>467</v>
      </c>
      <c r="H517" s="13">
        <f t="shared" si="64"/>
        <v>-7.7831728503952036E-4</v>
      </c>
      <c r="I517">
        <f t="shared" si="65"/>
        <v>155.92690111146163</v>
      </c>
      <c r="J517">
        <f t="shared" si="60"/>
        <v>665.92898893726272</v>
      </c>
      <c r="K517" s="27">
        <f t="shared" si="61"/>
        <v>-345.1528626944035</v>
      </c>
    </row>
    <row r="518" spans="1:11">
      <c r="A518" s="26">
        <v>468</v>
      </c>
      <c r="B518" s="82">
        <f t="shared" si="62"/>
        <v>0</v>
      </c>
      <c r="C518" s="58">
        <f t="shared" si="58"/>
        <v>156.29037528357509</v>
      </c>
      <c r="D518" s="83">
        <f t="shared" si="63"/>
        <v>666.66666666666663</v>
      </c>
      <c r="E518">
        <f t="shared" si="59"/>
        <v>0</v>
      </c>
      <c r="G518">
        <v>468</v>
      </c>
      <c r="H518" s="13">
        <f t="shared" si="64"/>
        <v>-7.7831728503952036E-4</v>
      </c>
      <c r="I518">
        <f t="shared" si="65"/>
        <v>155.92612279417659</v>
      </c>
      <c r="J518">
        <f t="shared" si="60"/>
        <v>665.92739832119935</v>
      </c>
      <c r="K518" s="27">
        <f t="shared" si="61"/>
        <v>-345.15121382821616</v>
      </c>
    </row>
    <row r="519" spans="1:11">
      <c r="A519" s="26">
        <v>469</v>
      </c>
      <c r="B519" s="82">
        <f t="shared" si="62"/>
        <v>0</v>
      </c>
      <c r="C519" s="58">
        <f t="shared" si="58"/>
        <v>156.29037528357509</v>
      </c>
      <c r="D519" s="83">
        <f t="shared" si="63"/>
        <v>666.66666666666663</v>
      </c>
      <c r="E519">
        <f t="shared" si="59"/>
        <v>0</v>
      </c>
      <c r="G519">
        <v>469</v>
      </c>
      <c r="H519" s="13">
        <f t="shared" si="64"/>
        <v>-7.7831728503952036E-4</v>
      </c>
      <c r="I519">
        <f t="shared" si="65"/>
        <v>155.92534447689155</v>
      </c>
      <c r="J519">
        <f t="shared" si="60"/>
        <v>665.92580765756975</v>
      </c>
      <c r="K519" s="27">
        <f t="shared" si="61"/>
        <v>-345.14956491665833</v>
      </c>
    </row>
    <row r="520" spans="1:11">
      <c r="A520" s="26">
        <v>470</v>
      </c>
      <c r="B520" s="82">
        <f t="shared" si="62"/>
        <v>0</v>
      </c>
      <c r="C520" s="58">
        <f t="shared" si="58"/>
        <v>156.29037528357509</v>
      </c>
      <c r="D520" s="83">
        <f t="shared" si="63"/>
        <v>666.66666666666663</v>
      </c>
      <c r="E520">
        <f t="shared" si="59"/>
        <v>0</v>
      </c>
      <c r="G520">
        <v>470</v>
      </c>
      <c r="H520" s="13">
        <f t="shared" si="64"/>
        <v>-7.7831728503952036E-4</v>
      </c>
      <c r="I520">
        <f t="shared" si="65"/>
        <v>155.92456615960651</v>
      </c>
      <c r="J520">
        <f t="shared" si="60"/>
        <v>665.92421694637062</v>
      </c>
      <c r="K520" s="27">
        <f t="shared" si="61"/>
        <v>-345.14791595972684</v>
      </c>
    </row>
    <row r="521" spans="1:11">
      <c r="A521" s="26">
        <v>471</v>
      </c>
      <c r="B521" s="82">
        <f t="shared" si="62"/>
        <v>0</v>
      </c>
      <c r="C521" s="58">
        <f t="shared" si="58"/>
        <v>156.29037528357509</v>
      </c>
      <c r="D521" s="83">
        <f t="shared" si="63"/>
        <v>666.66666666666663</v>
      </c>
      <c r="E521">
        <f t="shared" si="59"/>
        <v>0</v>
      </c>
      <c r="G521">
        <v>471</v>
      </c>
      <c r="H521" s="13">
        <f t="shared" si="64"/>
        <v>-7.7831728503952036E-4</v>
      </c>
      <c r="I521">
        <f t="shared" si="65"/>
        <v>155.92378784232147</v>
      </c>
      <c r="J521">
        <f t="shared" si="60"/>
        <v>665.92262618759833</v>
      </c>
      <c r="K521" s="27">
        <f t="shared" si="61"/>
        <v>-345.14626695741845</v>
      </c>
    </row>
    <row r="522" spans="1:11">
      <c r="A522" s="26">
        <v>472</v>
      </c>
      <c r="B522" s="82">
        <f t="shared" si="62"/>
        <v>0</v>
      </c>
      <c r="C522" s="58">
        <f t="shared" si="58"/>
        <v>156.29037528357509</v>
      </c>
      <c r="D522" s="83">
        <f t="shared" si="63"/>
        <v>666.66666666666663</v>
      </c>
      <c r="E522">
        <f t="shared" si="59"/>
        <v>0</v>
      </c>
      <c r="G522">
        <v>472</v>
      </c>
      <c r="H522" s="13">
        <f t="shared" si="64"/>
        <v>-7.7831728503952036E-4</v>
      </c>
      <c r="I522">
        <f t="shared" si="65"/>
        <v>155.92300952503643</v>
      </c>
      <c r="J522">
        <f t="shared" si="60"/>
        <v>665.92103538124968</v>
      </c>
      <c r="K522" s="27">
        <f t="shared" si="61"/>
        <v>-345.14461790973002</v>
      </c>
    </row>
    <row r="523" spans="1:11">
      <c r="A523" s="26">
        <v>473</v>
      </c>
      <c r="B523" s="82">
        <f t="shared" si="62"/>
        <v>0</v>
      </c>
      <c r="C523" s="58">
        <f t="shared" si="58"/>
        <v>156.29037528357509</v>
      </c>
      <c r="D523" s="83">
        <f t="shared" si="63"/>
        <v>666.66666666666663</v>
      </c>
      <c r="E523">
        <f t="shared" si="59"/>
        <v>0</v>
      </c>
      <c r="G523">
        <v>473</v>
      </c>
      <c r="H523" s="13">
        <f t="shared" si="64"/>
        <v>-7.7831728503952036E-4</v>
      </c>
      <c r="I523">
        <f t="shared" si="65"/>
        <v>155.92223120775139</v>
      </c>
      <c r="J523">
        <f t="shared" si="60"/>
        <v>665.91944452732105</v>
      </c>
      <c r="K523" s="27">
        <f t="shared" si="61"/>
        <v>-345.1429688166582</v>
      </c>
    </row>
    <row r="524" spans="1:11">
      <c r="A524" s="26">
        <v>474</v>
      </c>
      <c r="B524" s="82">
        <f t="shared" si="62"/>
        <v>0</v>
      </c>
      <c r="C524" s="58">
        <f t="shared" si="58"/>
        <v>156.29037528357509</v>
      </c>
      <c r="D524" s="83">
        <f t="shared" si="63"/>
        <v>666.66666666666663</v>
      </c>
      <c r="E524">
        <f t="shared" si="59"/>
        <v>0</v>
      </c>
      <c r="G524">
        <v>474</v>
      </c>
      <c r="H524" s="13">
        <f t="shared" si="64"/>
        <v>-7.7831728503952036E-4</v>
      </c>
      <c r="I524">
        <f t="shared" si="65"/>
        <v>155.92145289046636</v>
      </c>
      <c r="J524">
        <f t="shared" si="60"/>
        <v>665.91785362580902</v>
      </c>
      <c r="K524" s="27">
        <f t="shared" si="61"/>
        <v>-345.14131967819986</v>
      </c>
    </row>
    <row r="525" spans="1:11">
      <c r="A525" s="26">
        <v>475</v>
      </c>
      <c r="B525" s="82">
        <f t="shared" si="62"/>
        <v>0</v>
      </c>
      <c r="C525" s="58">
        <f t="shared" si="58"/>
        <v>156.29037528357509</v>
      </c>
      <c r="D525" s="83">
        <f t="shared" si="63"/>
        <v>666.66666666666663</v>
      </c>
      <c r="E525">
        <f t="shared" si="59"/>
        <v>0</v>
      </c>
      <c r="G525">
        <v>475</v>
      </c>
      <c r="H525" s="13">
        <f t="shared" si="64"/>
        <v>-7.7831728503952036E-4</v>
      </c>
      <c r="I525">
        <f t="shared" si="65"/>
        <v>155.92067457318132</v>
      </c>
      <c r="J525">
        <f t="shared" si="60"/>
        <v>665.91626267671018</v>
      </c>
      <c r="K525" s="27">
        <f t="shared" si="61"/>
        <v>-345.13967049435178</v>
      </c>
    </row>
    <row r="526" spans="1:11">
      <c r="A526" s="26">
        <v>476</v>
      </c>
      <c r="B526" s="82">
        <f t="shared" si="62"/>
        <v>0</v>
      </c>
      <c r="C526" s="58">
        <f t="shared" si="58"/>
        <v>156.29037528357509</v>
      </c>
      <c r="D526" s="83">
        <f t="shared" si="63"/>
        <v>666.66666666666663</v>
      </c>
      <c r="E526">
        <f t="shared" si="59"/>
        <v>0</v>
      </c>
      <c r="G526">
        <v>476</v>
      </c>
      <c r="H526" s="13">
        <f t="shared" si="64"/>
        <v>-7.7831728503952036E-4</v>
      </c>
      <c r="I526">
        <f t="shared" si="65"/>
        <v>155.91989625589628</v>
      </c>
      <c r="J526">
        <f t="shared" si="60"/>
        <v>665.91467168002112</v>
      </c>
      <c r="K526" s="27">
        <f t="shared" si="61"/>
        <v>-345.13802126511069</v>
      </c>
    </row>
    <row r="527" spans="1:11">
      <c r="A527" s="26">
        <v>477</v>
      </c>
      <c r="B527" s="82">
        <f t="shared" si="62"/>
        <v>0</v>
      </c>
      <c r="C527" s="58">
        <f t="shared" si="58"/>
        <v>156.29037528357509</v>
      </c>
      <c r="D527" s="83">
        <f t="shared" si="63"/>
        <v>666.66666666666663</v>
      </c>
      <c r="E527">
        <f t="shared" si="59"/>
        <v>0</v>
      </c>
      <c r="G527">
        <v>477</v>
      </c>
      <c r="H527" s="13">
        <f t="shared" si="64"/>
        <v>-7.7831728503952036E-4</v>
      </c>
      <c r="I527">
        <f t="shared" si="65"/>
        <v>155.91911793861124</v>
      </c>
      <c r="J527">
        <f t="shared" si="60"/>
        <v>665.91308063573831</v>
      </c>
      <c r="K527" s="27">
        <f t="shared" si="61"/>
        <v>-345.13637199047344</v>
      </c>
    </row>
    <row r="528" spans="1:11">
      <c r="A528" s="26">
        <v>478</v>
      </c>
      <c r="B528" s="82">
        <f t="shared" si="62"/>
        <v>0</v>
      </c>
      <c r="C528" s="58">
        <f t="shared" ref="C528:C591" si="66">($C$37-$C$36)/2000+C527</f>
        <v>156.29037528357509</v>
      </c>
      <c r="D528" s="83">
        <f t="shared" si="63"/>
        <v>666.66666666666663</v>
      </c>
      <c r="E528">
        <f t="shared" si="59"/>
        <v>0</v>
      </c>
      <c r="G528">
        <v>478</v>
      </c>
      <c r="H528" s="13">
        <f t="shared" si="64"/>
        <v>-7.7831728503952036E-4</v>
      </c>
      <c r="I528">
        <f t="shared" si="65"/>
        <v>155.9183396213262</v>
      </c>
      <c r="J528">
        <f t="shared" si="60"/>
        <v>665.91148954385835</v>
      </c>
      <c r="K528" s="27">
        <f t="shared" si="61"/>
        <v>-345.13472267043676</v>
      </c>
    </row>
    <row r="529" spans="1:11">
      <c r="A529" s="26">
        <v>479</v>
      </c>
      <c r="B529" s="82">
        <f t="shared" si="62"/>
        <v>0</v>
      </c>
      <c r="C529" s="58">
        <f t="shared" si="66"/>
        <v>156.29037528357509</v>
      </c>
      <c r="D529" s="83">
        <f t="shared" si="63"/>
        <v>666.66666666666663</v>
      </c>
      <c r="E529">
        <f t="shared" si="59"/>
        <v>0</v>
      </c>
      <c r="G529">
        <v>479</v>
      </c>
      <c r="H529" s="13">
        <f t="shared" si="64"/>
        <v>-7.7831728503952036E-4</v>
      </c>
      <c r="I529">
        <f t="shared" si="65"/>
        <v>155.91756130404116</v>
      </c>
      <c r="J529">
        <f t="shared" si="60"/>
        <v>665.90989840437771</v>
      </c>
      <c r="K529" s="27">
        <f t="shared" si="61"/>
        <v>-345.13307330499737</v>
      </c>
    </row>
    <row r="530" spans="1:11">
      <c r="A530" s="26">
        <v>480</v>
      </c>
      <c r="B530" s="82">
        <f t="shared" si="62"/>
        <v>0</v>
      </c>
      <c r="C530" s="58">
        <f t="shared" si="66"/>
        <v>156.29037528357509</v>
      </c>
      <c r="D530" s="83">
        <f t="shared" si="63"/>
        <v>666.66666666666663</v>
      </c>
      <c r="E530">
        <f t="shared" si="59"/>
        <v>0</v>
      </c>
      <c r="G530">
        <v>480</v>
      </c>
      <c r="H530" s="13">
        <f t="shared" si="64"/>
        <v>-7.7831728503952036E-4</v>
      </c>
      <c r="I530">
        <f t="shared" si="65"/>
        <v>155.91678298675612</v>
      </c>
      <c r="J530">
        <f t="shared" si="60"/>
        <v>665.9083072172931</v>
      </c>
      <c r="K530" s="27">
        <f t="shared" si="61"/>
        <v>-345.13142389415225</v>
      </c>
    </row>
    <row r="531" spans="1:11">
      <c r="A531" s="26">
        <v>481</v>
      </c>
      <c r="B531" s="82">
        <f t="shared" si="62"/>
        <v>0</v>
      </c>
      <c r="C531" s="58">
        <f t="shared" si="66"/>
        <v>156.29037528357509</v>
      </c>
      <c r="D531" s="83">
        <f t="shared" si="63"/>
        <v>666.66666666666663</v>
      </c>
      <c r="E531">
        <f t="shared" si="59"/>
        <v>0</v>
      </c>
      <c r="G531">
        <v>481</v>
      </c>
      <c r="H531" s="13">
        <f t="shared" si="64"/>
        <v>-7.7831728503952036E-4</v>
      </c>
      <c r="I531">
        <f t="shared" si="65"/>
        <v>155.91600466947108</v>
      </c>
      <c r="J531">
        <f t="shared" si="60"/>
        <v>665.90671598260099</v>
      </c>
      <c r="K531" s="27">
        <f t="shared" si="61"/>
        <v>-345.12977443789799</v>
      </c>
    </row>
    <row r="532" spans="1:11">
      <c r="A532" s="26">
        <v>482</v>
      </c>
      <c r="B532" s="82">
        <f t="shared" si="62"/>
        <v>0</v>
      </c>
      <c r="C532" s="58">
        <f t="shared" si="66"/>
        <v>156.29037528357509</v>
      </c>
      <c r="D532" s="83">
        <f t="shared" si="63"/>
        <v>666.66666666666663</v>
      </c>
      <c r="E532">
        <f t="shared" si="59"/>
        <v>0</v>
      </c>
      <c r="G532">
        <v>482</v>
      </c>
      <c r="H532" s="13">
        <f t="shared" si="64"/>
        <v>-7.7831728503952036E-4</v>
      </c>
      <c r="I532">
        <f t="shared" si="65"/>
        <v>155.91522635218604</v>
      </c>
      <c r="J532">
        <f t="shared" si="60"/>
        <v>665.90512470029785</v>
      </c>
      <c r="K532" s="27">
        <f t="shared" si="61"/>
        <v>-345.12812493623142</v>
      </c>
    </row>
    <row r="533" spans="1:11">
      <c r="A533" s="26">
        <v>483</v>
      </c>
      <c r="B533" s="82">
        <f t="shared" si="62"/>
        <v>0</v>
      </c>
      <c r="C533" s="58">
        <f t="shared" si="66"/>
        <v>156.29037528357509</v>
      </c>
      <c r="D533" s="83">
        <f t="shared" si="63"/>
        <v>666.66666666666663</v>
      </c>
      <c r="E533">
        <f t="shared" si="59"/>
        <v>0</v>
      </c>
      <c r="G533">
        <v>483</v>
      </c>
      <c r="H533" s="13">
        <f t="shared" si="64"/>
        <v>-7.7831728503952036E-4</v>
      </c>
      <c r="I533">
        <f t="shared" si="65"/>
        <v>155.914448034901</v>
      </c>
      <c r="J533">
        <f t="shared" si="60"/>
        <v>665.90353337038039</v>
      </c>
      <c r="K533" s="27">
        <f t="shared" si="61"/>
        <v>-345.12647538914939</v>
      </c>
    </row>
    <row r="534" spans="1:11">
      <c r="A534" s="26">
        <v>484</v>
      </c>
      <c r="B534" s="82">
        <f t="shared" si="62"/>
        <v>0</v>
      </c>
      <c r="C534" s="58">
        <f t="shared" si="66"/>
        <v>156.29037528357509</v>
      </c>
      <c r="D534" s="83">
        <f t="shared" si="63"/>
        <v>666.66666666666663</v>
      </c>
      <c r="E534">
        <f t="shared" si="59"/>
        <v>0</v>
      </c>
      <c r="G534">
        <v>484</v>
      </c>
      <c r="H534" s="13">
        <f t="shared" si="64"/>
        <v>-7.7831728503952036E-4</v>
      </c>
      <c r="I534">
        <f t="shared" si="65"/>
        <v>155.91366971761596</v>
      </c>
      <c r="J534">
        <f t="shared" si="60"/>
        <v>665.90194199284508</v>
      </c>
      <c r="K534" s="27">
        <f t="shared" si="61"/>
        <v>-345.12482579664857</v>
      </c>
    </row>
    <row r="535" spans="1:11">
      <c r="A535" s="26">
        <v>485</v>
      </c>
      <c r="B535" s="82">
        <f t="shared" si="62"/>
        <v>0</v>
      </c>
      <c r="C535" s="58">
        <f t="shared" si="66"/>
        <v>156.29037528357509</v>
      </c>
      <c r="D535" s="83">
        <f t="shared" si="63"/>
        <v>666.66666666666663</v>
      </c>
      <c r="E535">
        <f t="shared" si="59"/>
        <v>0</v>
      </c>
      <c r="G535">
        <v>485</v>
      </c>
      <c r="H535" s="13">
        <f t="shared" si="64"/>
        <v>-7.7831728503952036E-4</v>
      </c>
      <c r="I535">
        <f t="shared" si="65"/>
        <v>155.91289140033092</v>
      </c>
      <c r="J535">
        <f t="shared" si="60"/>
        <v>665.90035056768841</v>
      </c>
      <c r="K535" s="27">
        <f t="shared" si="61"/>
        <v>-345.12317615872581</v>
      </c>
    </row>
    <row r="536" spans="1:11">
      <c r="A536" s="26">
        <v>486</v>
      </c>
      <c r="B536" s="82">
        <f t="shared" si="62"/>
        <v>0</v>
      </c>
      <c r="C536" s="58">
        <f t="shared" si="66"/>
        <v>156.29037528357509</v>
      </c>
      <c r="D536" s="83">
        <f t="shared" si="63"/>
        <v>666.66666666666663</v>
      </c>
      <c r="E536">
        <f t="shared" si="59"/>
        <v>0</v>
      </c>
      <c r="G536">
        <v>486</v>
      </c>
      <c r="H536" s="13">
        <f t="shared" si="64"/>
        <v>-7.7831728503952036E-4</v>
      </c>
      <c r="I536">
        <f t="shared" si="65"/>
        <v>155.91211308304588</v>
      </c>
      <c r="J536">
        <f t="shared" si="60"/>
        <v>665.89875909490706</v>
      </c>
      <c r="K536" s="27">
        <f t="shared" si="61"/>
        <v>-345.12152647537795</v>
      </c>
    </row>
    <row r="537" spans="1:11">
      <c r="A537" s="26">
        <v>487</v>
      </c>
      <c r="B537" s="82">
        <f t="shared" si="62"/>
        <v>0</v>
      </c>
      <c r="C537" s="58">
        <f t="shared" si="66"/>
        <v>156.29037528357509</v>
      </c>
      <c r="D537" s="83">
        <f t="shared" si="63"/>
        <v>666.66666666666663</v>
      </c>
      <c r="E537">
        <f t="shared" si="59"/>
        <v>0</v>
      </c>
      <c r="G537">
        <v>487</v>
      </c>
      <c r="H537" s="13">
        <f t="shared" si="64"/>
        <v>-7.7831728503952036E-4</v>
      </c>
      <c r="I537">
        <f t="shared" si="65"/>
        <v>155.91133476576084</v>
      </c>
      <c r="J537">
        <f t="shared" si="60"/>
        <v>665.89716757449753</v>
      </c>
      <c r="K537" s="27">
        <f t="shared" si="61"/>
        <v>-345.11987674660151</v>
      </c>
    </row>
    <row r="538" spans="1:11">
      <c r="A538" s="26">
        <v>488</v>
      </c>
      <c r="B538" s="82">
        <f t="shared" si="62"/>
        <v>0</v>
      </c>
      <c r="C538" s="58">
        <f t="shared" si="66"/>
        <v>156.29037528357509</v>
      </c>
      <c r="D538" s="83">
        <f t="shared" si="63"/>
        <v>666.66666666666663</v>
      </c>
      <c r="E538">
        <f t="shared" si="59"/>
        <v>0</v>
      </c>
      <c r="G538">
        <v>488</v>
      </c>
      <c r="H538" s="13">
        <f t="shared" si="64"/>
        <v>-7.7831728503952036E-4</v>
      </c>
      <c r="I538">
        <f t="shared" si="65"/>
        <v>155.9105564484758</v>
      </c>
      <c r="J538">
        <f t="shared" si="60"/>
        <v>665.89557600645628</v>
      </c>
      <c r="K538" s="27">
        <f t="shared" si="61"/>
        <v>-345.11822697239353</v>
      </c>
    </row>
    <row r="539" spans="1:11">
      <c r="A539" s="26">
        <v>489</v>
      </c>
      <c r="B539" s="82">
        <f t="shared" si="62"/>
        <v>0</v>
      </c>
      <c r="C539" s="58">
        <f t="shared" si="66"/>
        <v>156.29037528357509</v>
      </c>
      <c r="D539" s="83">
        <f t="shared" si="63"/>
        <v>666.66666666666663</v>
      </c>
      <c r="E539">
        <f t="shared" si="59"/>
        <v>0</v>
      </c>
      <c r="G539">
        <v>489</v>
      </c>
      <c r="H539" s="13">
        <f t="shared" si="64"/>
        <v>-7.7831728503952036E-4</v>
      </c>
      <c r="I539">
        <f t="shared" si="65"/>
        <v>155.90977813119076</v>
      </c>
      <c r="J539">
        <f t="shared" si="60"/>
        <v>665.89398439077991</v>
      </c>
      <c r="K539" s="27">
        <f t="shared" si="61"/>
        <v>-345.11657715275061</v>
      </c>
    </row>
    <row r="540" spans="1:11">
      <c r="A540" s="26">
        <v>490</v>
      </c>
      <c r="B540" s="82">
        <f t="shared" si="62"/>
        <v>0</v>
      </c>
      <c r="C540" s="58">
        <f t="shared" si="66"/>
        <v>156.29037528357509</v>
      </c>
      <c r="D540" s="83">
        <f t="shared" si="63"/>
        <v>666.66666666666663</v>
      </c>
      <c r="E540">
        <f t="shared" si="59"/>
        <v>0</v>
      </c>
      <c r="G540">
        <v>490</v>
      </c>
      <c r="H540" s="13">
        <f t="shared" si="64"/>
        <v>-7.7831728503952036E-4</v>
      </c>
      <c r="I540">
        <f t="shared" si="65"/>
        <v>155.90899981390572</v>
      </c>
      <c r="J540">
        <f t="shared" si="60"/>
        <v>665.89239272746499</v>
      </c>
      <c r="K540" s="27">
        <f t="shared" si="61"/>
        <v>-345.11492728766967</v>
      </c>
    </row>
    <row r="541" spans="1:11">
      <c r="A541" s="26">
        <v>491</v>
      </c>
      <c r="B541" s="82">
        <f t="shared" si="62"/>
        <v>0</v>
      </c>
      <c r="C541" s="58">
        <f t="shared" si="66"/>
        <v>156.29037528357509</v>
      </c>
      <c r="D541" s="83">
        <f t="shared" si="63"/>
        <v>666.66666666666663</v>
      </c>
      <c r="E541">
        <f t="shared" si="59"/>
        <v>0</v>
      </c>
      <c r="G541">
        <v>491</v>
      </c>
      <c r="H541" s="13">
        <f t="shared" si="64"/>
        <v>-7.7831728503952036E-4</v>
      </c>
      <c r="I541">
        <f t="shared" si="65"/>
        <v>155.90822149662068</v>
      </c>
      <c r="J541">
        <f t="shared" si="60"/>
        <v>665.89080101650814</v>
      </c>
      <c r="K541" s="27">
        <f t="shared" si="61"/>
        <v>-345.11327737714754</v>
      </c>
    </row>
    <row r="542" spans="1:11">
      <c r="A542" s="26">
        <v>492</v>
      </c>
      <c r="B542" s="82">
        <f t="shared" si="62"/>
        <v>0</v>
      </c>
      <c r="C542" s="58">
        <f t="shared" si="66"/>
        <v>156.29037528357509</v>
      </c>
      <c r="D542" s="83">
        <f t="shared" si="63"/>
        <v>666.66666666666663</v>
      </c>
      <c r="E542">
        <f t="shared" si="59"/>
        <v>0</v>
      </c>
      <c r="G542">
        <v>492</v>
      </c>
      <c r="H542" s="13">
        <f t="shared" si="64"/>
        <v>-7.7831728503952036E-4</v>
      </c>
      <c r="I542">
        <f t="shared" si="65"/>
        <v>155.90744317933564</v>
      </c>
      <c r="J542">
        <f t="shared" si="60"/>
        <v>665.8892092579058</v>
      </c>
      <c r="K542" s="27">
        <f t="shared" si="61"/>
        <v>-345.1116274211808</v>
      </c>
    </row>
    <row r="543" spans="1:11">
      <c r="A543" s="26">
        <v>493</v>
      </c>
      <c r="B543" s="82">
        <f t="shared" si="62"/>
        <v>0</v>
      </c>
      <c r="C543" s="58">
        <f t="shared" si="66"/>
        <v>156.29037528357509</v>
      </c>
      <c r="D543" s="83">
        <f t="shared" si="63"/>
        <v>666.66666666666663</v>
      </c>
      <c r="E543">
        <f t="shared" si="59"/>
        <v>0</v>
      </c>
      <c r="G543">
        <v>493</v>
      </c>
      <c r="H543" s="13">
        <f t="shared" si="64"/>
        <v>-7.7831728503952036E-4</v>
      </c>
      <c r="I543">
        <f t="shared" si="65"/>
        <v>155.9066648620506</v>
      </c>
      <c r="J543">
        <f t="shared" si="60"/>
        <v>665.88761745165448</v>
      </c>
      <c r="K543" s="27">
        <f t="shared" si="61"/>
        <v>-345.10997741976621</v>
      </c>
    </row>
    <row r="544" spans="1:11">
      <c r="A544" s="26">
        <v>494</v>
      </c>
      <c r="B544" s="82">
        <f t="shared" si="62"/>
        <v>0</v>
      </c>
      <c r="C544" s="58">
        <f t="shared" si="66"/>
        <v>156.29037528357509</v>
      </c>
      <c r="D544" s="83">
        <f t="shared" si="63"/>
        <v>666.66666666666663</v>
      </c>
      <c r="E544">
        <f t="shared" si="59"/>
        <v>0</v>
      </c>
      <c r="G544">
        <v>494</v>
      </c>
      <c r="H544" s="13">
        <f t="shared" si="64"/>
        <v>-7.7831728503952036E-4</v>
      </c>
      <c r="I544">
        <f t="shared" si="65"/>
        <v>155.90588654476556</v>
      </c>
      <c r="J544">
        <f t="shared" si="60"/>
        <v>665.88602559775086</v>
      </c>
      <c r="K544" s="27">
        <f t="shared" si="61"/>
        <v>-345.1083273729007</v>
      </c>
    </row>
    <row r="545" spans="1:11">
      <c r="A545" s="26">
        <v>495</v>
      </c>
      <c r="B545" s="82">
        <f t="shared" si="62"/>
        <v>0</v>
      </c>
      <c r="C545" s="58">
        <f t="shared" si="66"/>
        <v>156.29037528357509</v>
      </c>
      <c r="D545" s="83">
        <f t="shared" si="63"/>
        <v>666.66666666666663</v>
      </c>
      <c r="E545">
        <f t="shared" si="59"/>
        <v>0</v>
      </c>
      <c r="G545">
        <v>495</v>
      </c>
      <c r="H545" s="13">
        <f t="shared" si="64"/>
        <v>-7.7831728503952036E-4</v>
      </c>
      <c r="I545">
        <f t="shared" si="65"/>
        <v>155.90510822748053</v>
      </c>
      <c r="J545">
        <f t="shared" si="60"/>
        <v>665.88443369619142</v>
      </c>
      <c r="K545" s="27">
        <f t="shared" si="61"/>
        <v>-345.10667728058098</v>
      </c>
    </row>
    <row r="546" spans="1:11">
      <c r="A546" s="26">
        <v>496</v>
      </c>
      <c r="B546" s="82">
        <f t="shared" si="62"/>
        <v>0</v>
      </c>
      <c r="C546" s="58">
        <f t="shared" si="66"/>
        <v>156.29037528357509</v>
      </c>
      <c r="D546" s="83">
        <f t="shared" si="63"/>
        <v>666.66666666666663</v>
      </c>
      <c r="E546">
        <f t="shared" si="59"/>
        <v>0</v>
      </c>
      <c r="G546">
        <v>496</v>
      </c>
      <c r="H546" s="13">
        <f t="shared" si="64"/>
        <v>-7.7831728503952036E-4</v>
      </c>
      <c r="I546">
        <f t="shared" si="65"/>
        <v>155.90432991019549</v>
      </c>
      <c r="J546">
        <f t="shared" si="60"/>
        <v>665.88284174697276</v>
      </c>
      <c r="K546" s="27">
        <f t="shared" si="61"/>
        <v>-345.10502714280392</v>
      </c>
    </row>
    <row r="547" spans="1:11">
      <c r="A547" s="26">
        <v>497</v>
      </c>
      <c r="B547" s="82">
        <f t="shared" si="62"/>
        <v>0</v>
      </c>
      <c r="C547" s="58">
        <f t="shared" si="66"/>
        <v>156.29037528357509</v>
      </c>
      <c r="D547" s="83">
        <f t="shared" si="63"/>
        <v>666.66666666666663</v>
      </c>
      <c r="E547">
        <f t="shared" si="59"/>
        <v>0</v>
      </c>
      <c r="G547">
        <v>497</v>
      </c>
      <c r="H547" s="13">
        <f t="shared" si="64"/>
        <v>-7.7831728503952036E-4</v>
      </c>
      <c r="I547">
        <f t="shared" si="65"/>
        <v>155.90355159291045</v>
      </c>
      <c r="J547">
        <f t="shared" si="60"/>
        <v>665.88124975009134</v>
      </c>
      <c r="K547" s="27">
        <f t="shared" si="61"/>
        <v>-345.10337695956611</v>
      </c>
    </row>
    <row r="548" spans="1:11">
      <c r="A548" s="26">
        <v>498</v>
      </c>
      <c r="B548" s="82">
        <f t="shared" si="62"/>
        <v>0</v>
      </c>
      <c r="C548" s="58">
        <f t="shared" si="66"/>
        <v>156.29037528357509</v>
      </c>
      <c r="D548" s="83">
        <f t="shared" si="63"/>
        <v>666.66666666666663</v>
      </c>
      <c r="E548">
        <f t="shared" si="59"/>
        <v>0</v>
      </c>
      <c r="G548">
        <v>498</v>
      </c>
      <c r="H548" s="13">
        <f t="shared" si="64"/>
        <v>-7.7831728503952036E-4</v>
      </c>
      <c r="I548">
        <f t="shared" si="65"/>
        <v>155.90277327562541</v>
      </c>
      <c r="J548">
        <f t="shared" si="60"/>
        <v>665.87965770554365</v>
      </c>
      <c r="K548" s="27">
        <f t="shared" si="61"/>
        <v>-345.10172673086453</v>
      </c>
    </row>
    <row r="549" spans="1:11">
      <c r="A549" s="26">
        <v>499</v>
      </c>
      <c r="B549" s="82">
        <f t="shared" si="62"/>
        <v>0</v>
      </c>
      <c r="C549" s="58">
        <f t="shared" si="66"/>
        <v>156.29037528357509</v>
      </c>
      <c r="D549" s="83">
        <f t="shared" si="63"/>
        <v>666.66666666666663</v>
      </c>
      <c r="E549">
        <f t="shared" si="59"/>
        <v>0</v>
      </c>
      <c r="G549">
        <v>499</v>
      </c>
      <c r="H549" s="13">
        <f t="shared" si="64"/>
        <v>-7.7831728503952036E-4</v>
      </c>
      <c r="I549">
        <f t="shared" si="65"/>
        <v>155.90199495834037</v>
      </c>
      <c r="J549">
        <f t="shared" si="60"/>
        <v>665.87806561332638</v>
      </c>
      <c r="K549" s="27">
        <f t="shared" si="61"/>
        <v>-345.10007645669572</v>
      </c>
    </row>
    <row r="550" spans="1:11">
      <c r="A550" s="26">
        <v>500</v>
      </c>
      <c r="B550" s="82">
        <f t="shared" si="62"/>
        <v>0</v>
      </c>
      <c r="C550" s="58">
        <f t="shared" si="66"/>
        <v>156.29037528357509</v>
      </c>
      <c r="D550" s="83">
        <f t="shared" si="63"/>
        <v>666.66666666666663</v>
      </c>
      <c r="E550">
        <f t="shared" si="59"/>
        <v>0</v>
      </c>
      <c r="G550">
        <v>500</v>
      </c>
      <c r="H550" s="13">
        <f t="shared" si="64"/>
        <v>-7.7831728503952036E-4</v>
      </c>
      <c r="I550">
        <f t="shared" si="65"/>
        <v>155.90121664105533</v>
      </c>
      <c r="J550">
        <f t="shared" si="60"/>
        <v>665.87647347343602</v>
      </c>
      <c r="K550" s="27">
        <f t="shared" si="61"/>
        <v>-345.09842613705661</v>
      </c>
    </row>
    <row r="551" spans="1:11">
      <c r="A551" s="26">
        <v>501</v>
      </c>
      <c r="B551" s="82">
        <f t="shared" si="62"/>
        <v>0</v>
      </c>
      <c r="C551" s="58">
        <f t="shared" si="66"/>
        <v>156.29037528357509</v>
      </c>
      <c r="D551" s="83">
        <f t="shared" si="63"/>
        <v>666.66666666666663</v>
      </c>
      <c r="E551">
        <f t="shared" si="59"/>
        <v>0</v>
      </c>
      <c r="G551">
        <v>501</v>
      </c>
      <c r="H551" s="13">
        <f t="shared" si="64"/>
        <v>-7.7831728503952036E-4</v>
      </c>
      <c r="I551">
        <f t="shared" si="65"/>
        <v>155.90043832377029</v>
      </c>
      <c r="J551">
        <f t="shared" si="60"/>
        <v>665.87488128586915</v>
      </c>
      <c r="K551" s="27">
        <f t="shared" si="61"/>
        <v>-345.0967757719439</v>
      </c>
    </row>
    <row r="552" spans="1:11">
      <c r="A552" s="26">
        <v>502</v>
      </c>
      <c r="B552" s="82">
        <f t="shared" si="62"/>
        <v>0</v>
      </c>
      <c r="C552" s="58">
        <f t="shared" si="66"/>
        <v>156.29037528357509</v>
      </c>
      <c r="D552" s="83">
        <f t="shared" si="63"/>
        <v>666.66666666666663</v>
      </c>
      <c r="E552">
        <f t="shared" si="59"/>
        <v>0</v>
      </c>
      <c r="G552">
        <v>502</v>
      </c>
      <c r="H552" s="13">
        <f t="shared" si="64"/>
        <v>-7.7831728503952036E-4</v>
      </c>
      <c r="I552">
        <f t="shared" si="65"/>
        <v>155.89966000648525</v>
      </c>
      <c r="J552">
        <f t="shared" si="60"/>
        <v>665.87328905062213</v>
      </c>
      <c r="K552" s="27">
        <f t="shared" si="61"/>
        <v>-345.09512536135435</v>
      </c>
    </row>
    <row r="553" spans="1:11">
      <c r="A553" s="26">
        <v>503</v>
      </c>
      <c r="B553" s="82">
        <f t="shared" si="62"/>
        <v>0</v>
      </c>
      <c r="C553" s="58">
        <f t="shared" si="66"/>
        <v>156.29037528357509</v>
      </c>
      <c r="D553" s="83">
        <f t="shared" si="63"/>
        <v>666.66666666666663</v>
      </c>
      <c r="E553">
        <f t="shared" si="59"/>
        <v>0</v>
      </c>
      <c r="G553">
        <v>503</v>
      </c>
      <c r="H553" s="13">
        <f t="shared" si="64"/>
        <v>-7.7831728503952036E-4</v>
      </c>
      <c r="I553">
        <f t="shared" si="65"/>
        <v>155.89888168920021</v>
      </c>
      <c r="J553">
        <f t="shared" si="60"/>
        <v>665.87169676769179</v>
      </c>
      <c r="K553" s="27">
        <f t="shared" si="61"/>
        <v>-345.09347490528489</v>
      </c>
    </row>
    <row r="554" spans="1:11">
      <c r="A554" s="26">
        <v>504</v>
      </c>
      <c r="B554" s="82">
        <f t="shared" si="62"/>
        <v>0</v>
      </c>
      <c r="C554" s="58">
        <f t="shared" si="66"/>
        <v>156.29037528357509</v>
      </c>
      <c r="D554" s="83">
        <f t="shared" si="63"/>
        <v>666.66666666666663</v>
      </c>
      <c r="E554">
        <f t="shared" si="59"/>
        <v>0</v>
      </c>
      <c r="G554">
        <v>504</v>
      </c>
      <c r="H554" s="13">
        <f t="shared" si="64"/>
        <v>-7.7831728503952036E-4</v>
      </c>
      <c r="I554">
        <f t="shared" si="65"/>
        <v>155.89810337191517</v>
      </c>
      <c r="J554">
        <f t="shared" si="60"/>
        <v>665.87010443707447</v>
      </c>
      <c r="K554" s="27">
        <f t="shared" si="61"/>
        <v>-345.09182440373206</v>
      </c>
    </row>
    <row r="555" spans="1:11">
      <c r="A555" s="26">
        <v>505</v>
      </c>
      <c r="B555" s="82">
        <f t="shared" si="62"/>
        <v>0</v>
      </c>
      <c r="C555" s="58">
        <f t="shared" si="66"/>
        <v>156.29037528357509</v>
      </c>
      <c r="D555" s="83">
        <f t="shared" si="63"/>
        <v>666.66666666666663</v>
      </c>
      <c r="E555">
        <f t="shared" si="59"/>
        <v>0</v>
      </c>
      <c r="G555">
        <v>505</v>
      </c>
      <c r="H555" s="13">
        <f t="shared" si="64"/>
        <v>-7.7831728503952036E-4</v>
      </c>
      <c r="I555">
        <f t="shared" si="65"/>
        <v>155.89732505463013</v>
      </c>
      <c r="J555">
        <f t="shared" si="60"/>
        <v>665.86851205876678</v>
      </c>
      <c r="K555" s="27">
        <f t="shared" si="61"/>
        <v>-345.09017385669284</v>
      </c>
    </row>
    <row r="556" spans="1:11">
      <c r="A556" s="26">
        <v>506</v>
      </c>
      <c r="B556" s="82">
        <f t="shared" si="62"/>
        <v>0</v>
      </c>
      <c r="C556" s="58">
        <f t="shared" si="66"/>
        <v>156.29037528357509</v>
      </c>
      <c r="D556" s="83">
        <f t="shared" si="63"/>
        <v>666.66666666666663</v>
      </c>
      <c r="E556">
        <f t="shared" si="59"/>
        <v>0</v>
      </c>
      <c r="G556">
        <v>506</v>
      </c>
      <c r="H556" s="13">
        <f t="shared" si="64"/>
        <v>-7.7831728503952036E-4</v>
      </c>
      <c r="I556">
        <f t="shared" si="65"/>
        <v>155.89654673734509</v>
      </c>
      <c r="J556">
        <f t="shared" si="60"/>
        <v>665.8669196327653</v>
      </c>
      <c r="K556" s="27">
        <f t="shared" si="61"/>
        <v>-345.08852326416394</v>
      </c>
    </row>
    <row r="557" spans="1:11">
      <c r="A557" s="26">
        <v>507</v>
      </c>
      <c r="B557" s="82">
        <f t="shared" si="62"/>
        <v>0</v>
      </c>
      <c r="C557" s="58">
        <f t="shared" si="66"/>
        <v>156.29037528357509</v>
      </c>
      <c r="D557" s="83">
        <f t="shared" si="63"/>
        <v>666.66666666666663</v>
      </c>
      <c r="E557">
        <f t="shared" si="59"/>
        <v>0</v>
      </c>
      <c r="G557">
        <v>507</v>
      </c>
      <c r="H557" s="13">
        <f t="shared" si="64"/>
        <v>-7.7831728503952036E-4</v>
      </c>
      <c r="I557">
        <f t="shared" si="65"/>
        <v>155.89576842006005</v>
      </c>
      <c r="J557">
        <f t="shared" si="60"/>
        <v>665.8653271590664</v>
      </c>
      <c r="K557" s="27">
        <f t="shared" si="61"/>
        <v>-345.08687262614188</v>
      </c>
    </row>
    <row r="558" spans="1:11">
      <c r="A558" s="26">
        <v>508</v>
      </c>
      <c r="B558" s="82">
        <f t="shared" si="62"/>
        <v>0</v>
      </c>
      <c r="C558" s="58">
        <f t="shared" si="66"/>
        <v>156.29037528357509</v>
      </c>
      <c r="D558" s="83">
        <f t="shared" si="63"/>
        <v>666.66666666666663</v>
      </c>
      <c r="E558">
        <f t="shared" si="59"/>
        <v>0</v>
      </c>
      <c r="G558">
        <v>508</v>
      </c>
      <c r="H558" s="13">
        <f t="shared" si="64"/>
        <v>-7.7831728503952036E-4</v>
      </c>
      <c r="I558">
        <f t="shared" si="65"/>
        <v>155.89499010277501</v>
      </c>
      <c r="J558">
        <f t="shared" si="60"/>
        <v>665.86373463766677</v>
      </c>
      <c r="K558" s="27">
        <f t="shared" si="61"/>
        <v>-345.08522194262378</v>
      </c>
    </row>
    <row r="559" spans="1:11">
      <c r="A559" s="26">
        <v>509</v>
      </c>
      <c r="B559" s="82">
        <f t="shared" si="62"/>
        <v>0</v>
      </c>
      <c r="C559" s="58">
        <f t="shared" si="66"/>
        <v>156.29037528357509</v>
      </c>
      <c r="D559" s="83">
        <f t="shared" si="63"/>
        <v>666.66666666666663</v>
      </c>
      <c r="E559">
        <f t="shared" si="59"/>
        <v>0</v>
      </c>
      <c r="G559">
        <v>509</v>
      </c>
      <c r="H559" s="13">
        <f t="shared" si="64"/>
        <v>-7.7831728503952036E-4</v>
      </c>
      <c r="I559">
        <f t="shared" si="65"/>
        <v>155.89421178548997</v>
      </c>
      <c r="J559">
        <f t="shared" si="60"/>
        <v>665.862142068563</v>
      </c>
      <c r="K559" s="27">
        <f t="shared" si="61"/>
        <v>-345.08357121360626</v>
      </c>
    </row>
    <row r="560" spans="1:11">
      <c r="A560" s="26">
        <v>510</v>
      </c>
      <c r="B560" s="82">
        <f t="shared" si="62"/>
        <v>0</v>
      </c>
      <c r="C560" s="58">
        <f t="shared" si="66"/>
        <v>156.29037528357509</v>
      </c>
      <c r="D560" s="83">
        <f t="shared" si="63"/>
        <v>666.66666666666663</v>
      </c>
      <c r="E560">
        <f t="shared" si="59"/>
        <v>0</v>
      </c>
      <c r="G560">
        <v>510</v>
      </c>
      <c r="H560" s="13">
        <f t="shared" si="64"/>
        <v>-7.7831728503952036E-4</v>
      </c>
      <c r="I560">
        <f t="shared" si="65"/>
        <v>155.89343346820493</v>
      </c>
      <c r="J560">
        <f t="shared" si="60"/>
        <v>665.86054945175147</v>
      </c>
      <c r="K560" s="27">
        <f t="shared" si="61"/>
        <v>-345.0819204390861</v>
      </c>
    </row>
    <row r="561" spans="1:11">
      <c r="A561" s="26">
        <v>511</v>
      </c>
      <c r="B561" s="82">
        <f t="shared" si="62"/>
        <v>0</v>
      </c>
      <c r="C561" s="58">
        <f t="shared" si="66"/>
        <v>156.29037528357509</v>
      </c>
      <c r="D561" s="83">
        <f t="shared" si="63"/>
        <v>666.66666666666663</v>
      </c>
      <c r="E561">
        <f t="shared" si="59"/>
        <v>0</v>
      </c>
      <c r="G561">
        <v>511</v>
      </c>
      <c r="H561" s="13">
        <f t="shared" si="64"/>
        <v>-7.7831728503952036E-4</v>
      </c>
      <c r="I561">
        <f t="shared" si="65"/>
        <v>155.89265515091989</v>
      </c>
      <c r="J561">
        <f t="shared" si="60"/>
        <v>665.85895678722886</v>
      </c>
      <c r="K561" s="27">
        <f t="shared" si="61"/>
        <v>-345.08026961906006</v>
      </c>
    </row>
    <row r="562" spans="1:11">
      <c r="A562" s="26">
        <v>512</v>
      </c>
      <c r="B562" s="82">
        <f t="shared" si="62"/>
        <v>0</v>
      </c>
      <c r="C562" s="58">
        <f t="shared" si="66"/>
        <v>156.29037528357509</v>
      </c>
      <c r="D562" s="83">
        <f t="shared" si="63"/>
        <v>666.66666666666663</v>
      </c>
      <c r="E562">
        <f t="shared" si="59"/>
        <v>0</v>
      </c>
      <c r="G562">
        <v>512</v>
      </c>
      <c r="H562" s="13">
        <f t="shared" si="64"/>
        <v>-7.7831728503952036E-4</v>
      </c>
      <c r="I562">
        <f t="shared" si="65"/>
        <v>155.89187683363485</v>
      </c>
      <c r="J562">
        <f t="shared" si="60"/>
        <v>665.85736407499155</v>
      </c>
      <c r="K562" s="27">
        <f t="shared" si="61"/>
        <v>-345.07861875352484</v>
      </c>
    </row>
    <row r="563" spans="1:11">
      <c r="A563" s="26">
        <v>513</v>
      </c>
      <c r="B563" s="82">
        <f t="shared" si="62"/>
        <v>0</v>
      </c>
      <c r="C563" s="58">
        <f t="shared" si="66"/>
        <v>156.29037528357509</v>
      </c>
      <c r="D563" s="83">
        <f t="shared" si="63"/>
        <v>666.66666666666663</v>
      </c>
      <c r="E563">
        <f t="shared" ref="E563:E626" si="67">((D563^2)+(D563*D564)+(D564^2))*B564/3</f>
        <v>0</v>
      </c>
      <c r="G563">
        <v>513</v>
      </c>
      <c r="H563" s="13">
        <f t="shared" si="64"/>
        <v>-7.7831728503952036E-4</v>
      </c>
      <c r="I563">
        <f t="shared" si="65"/>
        <v>155.89109851634981</v>
      </c>
      <c r="J563">
        <f t="shared" ref="J563:J626" si="68">IF($G$28&lt;$C$14,0,((($C$11^2)-((I563-$C$13)^2))^0.5)+$C$16)</f>
        <v>665.85577131503624</v>
      </c>
      <c r="K563" s="27">
        <f t="shared" ref="K563:K626" si="69">((J563^2)+(J563*J564)+(J564^2))*H564/3</f>
        <v>-345.07696784247725</v>
      </c>
    </row>
    <row r="564" spans="1:11">
      <c r="A564" s="26">
        <v>514</v>
      </c>
      <c r="B564" s="82">
        <f t="shared" ref="B564:B627" si="70">C564-C563</f>
        <v>0</v>
      </c>
      <c r="C564" s="58">
        <f t="shared" si="66"/>
        <v>156.29037528357509</v>
      </c>
      <c r="D564" s="83">
        <f t="shared" ref="D564:D627" si="71">IF($G$28&lt;$C$14,0,((($C$11^2)-((C564-$C$13)^2))^0.5)+$C$16)</f>
        <v>666.66666666666663</v>
      </c>
      <c r="E564">
        <f t="shared" si="67"/>
        <v>0</v>
      </c>
      <c r="G564">
        <v>514</v>
      </c>
      <c r="H564" s="13">
        <f t="shared" ref="H564:H627" si="72">I564-I563</f>
        <v>-7.7831728503952036E-4</v>
      </c>
      <c r="I564">
        <f t="shared" ref="I564:I627" si="73">($G$27-$C$14)/2000+I563</f>
        <v>155.89032019906477</v>
      </c>
      <c r="J564">
        <f t="shared" si="68"/>
        <v>665.85417850735939</v>
      </c>
      <c r="K564" s="27">
        <f t="shared" si="69"/>
        <v>-345.07531688591416</v>
      </c>
    </row>
    <row r="565" spans="1:11">
      <c r="A565" s="26">
        <v>515</v>
      </c>
      <c r="B565" s="82">
        <f t="shared" si="70"/>
        <v>0</v>
      </c>
      <c r="C565" s="58">
        <f t="shared" si="66"/>
        <v>156.29037528357509</v>
      </c>
      <c r="D565" s="83">
        <f t="shared" si="71"/>
        <v>666.66666666666663</v>
      </c>
      <c r="E565">
        <f t="shared" si="67"/>
        <v>0</v>
      </c>
      <c r="G565">
        <v>515</v>
      </c>
      <c r="H565" s="13">
        <f t="shared" si="72"/>
        <v>-7.7831728503952036E-4</v>
      </c>
      <c r="I565">
        <f t="shared" si="73"/>
        <v>155.88954188177973</v>
      </c>
      <c r="J565">
        <f t="shared" si="68"/>
        <v>665.8525856519575</v>
      </c>
      <c r="K565" s="27">
        <f t="shared" si="69"/>
        <v>-345.07366588383223</v>
      </c>
    </row>
    <row r="566" spans="1:11">
      <c r="A566" s="26">
        <v>516</v>
      </c>
      <c r="B566" s="82">
        <f t="shared" si="70"/>
        <v>0</v>
      </c>
      <c r="C566" s="58">
        <f t="shared" si="66"/>
        <v>156.29037528357509</v>
      </c>
      <c r="D566" s="83">
        <f t="shared" si="71"/>
        <v>666.66666666666663</v>
      </c>
      <c r="E566">
        <f t="shared" si="67"/>
        <v>0</v>
      </c>
      <c r="G566">
        <v>516</v>
      </c>
      <c r="H566" s="13">
        <f t="shared" si="72"/>
        <v>-7.7831728503952036E-4</v>
      </c>
      <c r="I566">
        <f t="shared" si="73"/>
        <v>155.8887635644947</v>
      </c>
      <c r="J566">
        <f t="shared" si="68"/>
        <v>665.85099274882725</v>
      </c>
      <c r="K566" s="27">
        <f t="shared" si="69"/>
        <v>-345.07201483622833</v>
      </c>
    </row>
    <row r="567" spans="1:11">
      <c r="A567" s="26">
        <v>517</v>
      </c>
      <c r="B567" s="82">
        <f t="shared" si="70"/>
        <v>0</v>
      </c>
      <c r="C567" s="58">
        <f t="shared" si="66"/>
        <v>156.29037528357509</v>
      </c>
      <c r="D567" s="83">
        <f t="shared" si="71"/>
        <v>666.66666666666663</v>
      </c>
      <c r="E567">
        <f t="shared" si="67"/>
        <v>0</v>
      </c>
      <c r="G567">
        <v>517</v>
      </c>
      <c r="H567" s="13">
        <f t="shared" si="72"/>
        <v>-7.7831728503952036E-4</v>
      </c>
      <c r="I567">
        <f t="shared" si="73"/>
        <v>155.88798524720966</v>
      </c>
      <c r="J567">
        <f t="shared" si="68"/>
        <v>665.84939979796502</v>
      </c>
      <c r="K567" s="27">
        <f t="shared" si="69"/>
        <v>-345.07036374309905</v>
      </c>
    </row>
    <row r="568" spans="1:11">
      <c r="A568" s="26">
        <v>518</v>
      </c>
      <c r="B568" s="82">
        <f t="shared" si="70"/>
        <v>0</v>
      </c>
      <c r="C568" s="58">
        <f t="shared" si="66"/>
        <v>156.29037528357509</v>
      </c>
      <c r="D568" s="83">
        <f t="shared" si="71"/>
        <v>666.66666666666663</v>
      </c>
      <c r="E568">
        <f t="shared" si="67"/>
        <v>0</v>
      </c>
      <c r="G568">
        <v>518</v>
      </c>
      <c r="H568" s="13">
        <f t="shared" si="72"/>
        <v>-7.7831728503952036E-4</v>
      </c>
      <c r="I568">
        <f t="shared" si="73"/>
        <v>155.88720692992462</v>
      </c>
      <c r="J568">
        <f t="shared" si="68"/>
        <v>665.84780679936739</v>
      </c>
      <c r="K568" s="27">
        <f t="shared" si="69"/>
        <v>-345.06871260444126</v>
      </c>
    </row>
    <row r="569" spans="1:11">
      <c r="A569" s="26">
        <v>519</v>
      </c>
      <c r="B569" s="82">
        <f t="shared" si="70"/>
        <v>0</v>
      </c>
      <c r="C569" s="58">
        <f t="shared" si="66"/>
        <v>156.29037528357509</v>
      </c>
      <c r="D569" s="83">
        <f t="shared" si="71"/>
        <v>666.66666666666663</v>
      </c>
      <c r="E569">
        <f t="shared" si="67"/>
        <v>0</v>
      </c>
      <c r="G569">
        <v>519</v>
      </c>
      <c r="H569" s="13">
        <f t="shared" si="72"/>
        <v>-7.7831728503952036E-4</v>
      </c>
      <c r="I569">
        <f t="shared" si="73"/>
        <v>155.88642861263958</v>
      </c>
      <c r="J569">
        <f t="shared" si="68"/>
        <v>665.84621375303095</v>
      </c>
      <c r="K569" s="27">
        <f t="shared" si="69"/>
        <v>-345.0670614202516</v>
      </c>
    </row>
    <row r="570" spans="1:11">
      <c r="A570" s="26">
        <v>520</v>
      </c>
      <c r="B570" s="82">
        <f t="shared" si="70"/>
        <v>0</v>
      </c>
      <c r="C570" s="58">
        <f t="shared" si="66"/>
        <v>156.29037528357509</v>
      </c>
      <c r="D570" s="83">
        <f t="shared" si="71"/>
        <v>666.66666666666663</v>
      </c>
      <c r="E570">
        <f t="shared" si="67"/>
        <v>0</v>
      </c>
      <c r="G570">
        <v>520</v>
      </c>
      <c r="H570" s="13">
        <f t="shared" si="72"/>
        <v>-7.7831728503952036E-4</v>
      </c>
      <c r="I570">
        <f t="shared" si="73"/>
        <v>155.88565029535454</v>
      </c>
      <c r="J570">
        <f t="shared" si="68"/>
        <v>665.84462065895218</v>
      </c>
      <c r="K570" s="27">
        <f t="shared" si="69"/>
        <v>-345.06541019052719</v>
      </c>
    </row>
    <row r="571" spans="1:11">
      <c r="A571" s="26">
        <v>521</v>
      </c>
      <c r="B571" s="82">
        <f t="shared" si="70"/>
        <v>0</v>
      </c>
      <c r="C571" s="58">
        <f t="shared" si="66"/>
        <v>156.29037528357509</v>
      </c>
      <c r="D571" s="83">
        <f t="shared" si="71"/>
        <v>666.66666666666663</v>
      </c>
      <c r="E571">
        <f t="shared" si="67"/>
        <v>0</v>
      </c>
      <c r="G571">
        <v>521</v>
      </c>
      <c r="H571" s="13">
        <f t="shared" si="72"/>
        <v>-7.7831728503952036E-4</v>
      </c>
      <c r="I571">
        <f t="shared" si="73"/>
        <v>155.8848719780695</v>
      </c>
      <c r="J571">
        <f t="shared" si="68"/>
        <v>665.84302751712767</v>
      </c>
      <c r="K571" s="27">
        <f t="shared" si="69"/>
        <v>-345.06375891526437</v>
      </c>
    </row>
    <row r="572" spans="1:11">
      <c r="A572" s="26">
        <v>522</v>
      </c>
      <c r="B572" s="82">
        <f t="shared" si="70"/>
        <v>0</v>
      </c>
      <c r="C572" s="58">
        <f t="shared" si="66"/>
        <v>156.29037528357509</v>
      </c>
      <c r="D572" s="83">
        <f t="shared" si="71"/>
        <v>666.66666666666663</v>
      </c>
      <c r="E572">
        <f t="shared" si="67"/>
        <v>0</v>
      </c>
      <c r="G572">
        <v>522</v>
      </c>
      <c r="H572" s="13">
        <f t="shared" si="72"/>
        <v>-7.7831728503952036E-4</v>
      </c>
      <c r="I572">
        <f t="shared" si="73"/>
        <v>155.88409366078446</v>
      </c>
      <c r="J572">
        <f t="shared" si="68"/>
        <v>665.84143432755388</v>
      </c>
      <c r="K572" s="27">
        <f t="shared" si="69"/>
        <v>-345.0621075944602</v>
      </c>
    </row>
    <row r="573" spans="1:11">
      <c r="A573" s="26">
        <v>523</v>
      </c>
      <c r="B573" s="82">
        <f t="shared" si="70"/>
        <v>0</v>
      </c>
      <c r="C573" s="58">
        <f t="shared" si="66"/>
        <v>156.29037528357509</v>
      </c>
      <c r="D573" s="83">
        <f t="shared" si="71"/>
        <v>666.66666666666663</v>
      </c>
      <c r="E573">
        <f t="shared" si="67"/>
        <v>0</v>
      </c>
      <c r="G573">
        <v>523</v>
      </c>
      <c r="H573" s="13">
        <f t="shared" si="72"/>
        <v>-7.7831728503952036E-4</v>
      </c>
      <c r="I573">
        <f t="shared" si="73"/>
        <v>155.88331534349942</v>
      </c>
      <c r="J573">
        <f t="shared" si="68"/>
        <v>665.83984109022742</v>
      </c>
      <c r="K573" s="27">
        <f t="shared" si="69"/>
        <v>-345.06045622811126</v>
      </c>
    </row>
    <row r="574" spans="1:11">
      <c r="A574" s="26">
        <v>524</v>
      </c>
      <c r="B574" s="82">
        <f t="shared" si="70"/>
        <v>0</v>
      </c>
      <c r="C574" s="58">
        <f t="shared" si="66"/>
        <v>156.29037528357509</v>
      </c>
      <c r="D574" s="83">
        <f t="shared" si="71"/>
        <v>666.66666666666663</v>
      </c>
      <c r="E574">
        <f t="shared" si="67"/>
        <v>0</v>
      </c>
      <c r="G574">
        <v>524</v>
      </c>
      <c r="H574" s="13">
        <f t="shared" si="72"/>
        <v>-7.7831728503952036E-4</v>
      </c>
      <c r="I574">
        <f t="shared" si="73"/>
        <v>155.88253702621438</v>
      </c>
      <c r="J574">
        <f t="shared" si="68"/>
        <v>665.83824780514476</v>
      </c>
      <c r="K574" s="27">
        <f t="shared" si="69"/>
        <v>-345.05880481621443</v>
      </c>
    </row>
    <row r="575" spans="1:11">
      <c r="A575" s="26">
        <v>525</v>
      </c>
      <c r="B575" s="82">
        <f t="shared" si="70"/>
        <v>0</v>
      </c>
      <c r="C575" s="58">
        <f t="shared" si="66"/>
        <v>156.29037528357509</v>
      </c>
      <c r="D575" s="83">
        <f t="shared" si="71"/>
        <v>666.66666666666663</v>
      </c>
      <c r="E575">
        <f t="shared" si="67"/>
        <v>0</v>
      </c>
      <c r="G575">
        <v>525</v>
      </c>
      <c r="H575" s="13">
        <f t="shared" si="72"/>
        <v>-7.7831728503952036E-4</v>
      </c>
      <c r="I575">
        <f t="shared" si="73"/>
        <v>155.88175870892934</v>
      </c>
      <c r="J575">
        <f t="shared" si="68"/>
        <v>665.83665447230248</v>
      </c>
      <c r="K575" s="27">
        <f t="shared" si="69"/>
        <v>-345.05715335876636</v>
      </c>
    </row>
    <row r="576" spans="1:11">
      <c r="A576" s="26">
        <v>526</v>
      </c>
      <c r="B576" s="82">
        <f t="shared" si="70"/>
        <v>0</v>
      </c>
      <c r="C576" s="58">
        <f t="shared" si="66"/>
        <v>156.29037528357509</v>
      </c>
      <c r="D576" s="83">
        <f t="shared" si="71"/>
        <v>666.66666666666663</v>
      </c>
      <c r="E576">
        <f t="shared" si="67"/>
        <v>0</v>
      </c>
      <c r="G576">
        <v>526</v>
      </c>
      <c r="H576" s="13">
        <f t="shared" si="72"/>
        <v>-7.7831728503952036E-4</v>
      </c>
      <c r="I576">
        <f t="shared" si="73"/>
        <v>155.8809803916443</v>
      </c>
      <c r="J576">
        <f t="shared" si="68"/>
        <v>665.83506109169707</v>
      </c>
      <c r="K576" s="27">
        <f t="shared" si="69"/>
        <v>-345.05550185576391</v>
      </c>
    </row>
    <row r="577" spans="1:11">
      <c r="A577" s="26">
        <v>527</v>
      </c>
      <c r="B577" s="82">
        <f t="shared" si="70"/>
        <v>0</v>
      </c>
      <c r="C577" s="58">
        <f t="shared" si="66"/>
        <v>156.29037528357509</v>
      </c>
      <c r="D577" s="83">
        <f t="shared" si="71"/>
        <v>666.66666666666663</v>
      </c>
      <c r="E577">
        <f t="shared" si="67"/>
        <v>0</v>
      </c>
      <c r="G577">
        <v>527</v>
      </c>
      <c r="H577" s="13">
        <f t="shared" si="72"/>
        <v>-7.7831728503952036E-4</v>
      </c>
      <c r="I577">
        <f t="shared" si="73"/>
        <v>155.88020207435926</v>
      </c>
      <c r="J577">
        <f t="shared" si="68"/>
        <v>665.833467663325</v>
      </c>
      <c r="K577" s="27">
        <f t="shared" si="69"/>
        <v>-345.05385030720373</v>
      </c>
    </row>
    <row r="578" spans="1:11">
      <c r="A578" s="26">
        <v>528</v>
      </c>
      <c r="B578" s="82">
        <f t="shared" si="70"/>
        <v>0</v>
      </c>
      <c r="C578" s="58">
        <f t="shared" si="66"/>
        <v>156.29037528357509</v>
      </c>
      <c r="D578" s="83">
        <f t="shared" si="71"/>
        <v>666.66666666666663</v>
      </c>
      <c r="E578">
        <f t="shared" si="67"/>
        <v>0</v>
      </c>
      <c r="G578">
        <v>528</v>
      </c>
      <c r="H578" s="13">
        <f t="shared" si="72"/>
        <v>-7.7831728503952036E-4</v>
      </c>
      <c r="I578">
        <f t="shared" si="73"/>
        <v>155.87942375707422</v>
      </c>
      <c r="J578">
        <f t="shared" si="68"/>
        <v>665.83187418718296</v>
      </c>
      <c r="K578" s="27">
        <f t="shared" si="69"/>
        <v>-345.05219871308276</v>
      </c>
    </row>
    <row r="579" spans="1:11">
      <c r="A579" s="26">
        <v>529</v>
      </c>
      <c r="B579" s="82">
        <f t="shared" si="70"/>
        <v>0</v>
      </c>
      <c r="C579" s="58">
        <f t="shared" si="66"/>
        <v>156.29037528357509</v>
      </c>
      <c r="D579" s="83">
        <f t="shared" si="71"/>
        <v>666.66666666666663</v>
      </c>
      <c r="E579">
        <f t="shared" si="67"/>
        <v>0</v>
      </c>
      <c r="G579">
        <v>529</v>
      </c>
      <c r="H579" s="13">
        <f t="shared" si="72"/>
        <v>-7.7831728503952036E-4</v>
      </c>
      <c r="I579">
        <f t="shared" si="73"/>
        <v>155.87864543978918</v>
      </c>
      <c r="J579">
        <f t="shared" si="68"/>
        <v>665.83028066326744</v>
      </c>
      <c r="K579" s="27">
        <f t="shared" si="69"/>
        <v>-345.05054707339764</v>
      </c>
    </row>
    <row r="580" spans="1:11">
      <c r="A580" s="26">
        <v>530</v>
      </c>
      <c r="B580" s="82">
        <f t="shared" si="70"/>
        <v>0</v>
      </c>
      <c r="C580" s="58">
        <f t="shared" si="66"/>
        <v>156.29037528357509</v>
      </c>
      <c r="D580" s="83">
        <f t="shared" si="71"/>
        <v>666.66666666666663</v>
      </c>
      <c r="E580">
        <f t="shared" si="67"/>
        <v>0</v>
      </c>
      <c r="G580">
        <v>530</v>
      </c>
      <c r="H580" s="13">
        <f t="shared" si="72"/>
        <v>-7.7831728503952036E-4</v>
      </c>
      <c r="I580">
        <f t="shared" si="73"/>
        <v>155.87786712250414</v>
      </c>
      <c r="J580">
        <f t="shared" si="68"/>
        <v>665.82868709157492</v>
      </c>
      <c r="K580" s="27">
        <f t="shared" si="69"/>
        <v>-345.04889538814501</v>
      </c>
    </row>
    <row r="581" spans="1:11">
      <c r="A581" s="26">
        <v>531</v>
      </c>
      <c r="B581" s="82">
        <f t="shared" si="70"/>
        <v>0</v>
      </c>
      <c r="C581" s="58">
        <f t="shared" si="66"/>
        <v>156.29037528357509</v>
      </c>
      <c r="D581" s="83">
        <f t="shared" si="71"/>
        <v>666.66666666666663</v>
      </c>
      <c r="E581">
        <f t="shared" si="67"/>
        <v>0</v>
      </c>
      <c r="G581">
        <v>531</v>
      </c>
      <c r="H581" s="13">
        <f t="shared" si="72"/>
        <v>-7.7831728503952036E-4</v>
      </c>
      <c r="I581">
        <f t="shared" si="73"/>
        <v>155.8770888052191</v>
      </c>
      <c r="J581">
        <f t="shared" si="68"/>
        <v>665.82709347210186</v>
      </c>
      <c r="K581" s="27">
        <f t="shared" si="69"/>
        <v>-345.04724365732187</v>
      </c>
    </row>
    <row r="582" spans="1:11">
      <c r="A582" s="26">
        <v>532</v>
      </c>
      <c r="B582" s="82">
        <f t="shared" si="70"/>
        <v>0</v>
      </c>
      <c r="C582" s="58">
        <f t="shared" si="66"/>
        <v>156.29037528357509</v>
      </c>
      <c r="D582" s="83">
        <f t="shared" si="71"/>
        <v>666.66666666666663</v>
      </c>
      <c r="E582">
        <f t="shared" si="67"/>
        <v>0</v>
      </c>
      <c r="G582">
        <v>532</v>
      </c>
      <c r="H582" s="13">
        <f t="shared" si="72"/>
        <v>-7.7831728503952036E-4</v>
      </c>
      <c r="I582">
        <f t="shared" si="73"/>
        <v>155.87631048793406</v>
      </c>
      <c r="J582">
        <f t="shared" si="68"/>
        <v>665.82549980484498</v>
      </c>
      <c r="K582" s="27">
        <f t="shared" si="69"/>
        <v>-345.0455918809248</v>
      </c>
    </row>
    <row r="583" spans="1:11">
      <c r="A583" s="26">
        <v>533</v>
      </c>
      <c r="B583" s="82">
        <f t="shared" si="70"/>
        <v>0</v>
      </c>
      <c r="C583" s="58">
        <f t="shared" si="66"/>
        <v>156.29037528357509</v>
      </c>
      <c r="D583" s="83">
        <f t="shared" si="71"/>
        <v>666.66666666666663</v>
      </c>
      <c r="E583">
        <f t="shared" si="67"/>
        <v>0</v>
      </c>
      <c r="G583">
        <v>533</v>
      </c>
      <c r="H583" s="13">
        <f t="shared" si="72"/>
        <v>-7.7831728503952036E-4</v>
      </c>
      <c r="I583">
        <f t="shared" si="73"/>
        <v>155.87553217064902</v>
      </c>
      <c r="J583">
        <f t="shared" si="68"/>
        <v>665.82390608980063</v>
      </c>
      <c r="K583" s="27">
        <f t="shared" si="69"/>
        <v>-345.04394005895068</v>
      </c>
    </row>
    <row r="584" spans="1:11">
      <c r="A584" s="26">
        <v>534</v>
      </c>
      <c r="B584" s="82">
        <f t="shared" si="70"/>
        <v>0</v>
      </c>
      <c r="C584" s="58">
        <f t="shared" si="66"/>
        <v>156.29037528357509</v>
      </c>
      <c r="D584" s="83">
        <f t="shared" si="71"/>
        <v>666.66666666666663</v>
      </c>
      <c r="E584">
        <f t="shared" si="67"/>
        <v>0</v>
      </c>
      <c r="G584">
        <v>534</v>
      </c>
      <c r="H584" s="13">
        <f t="shared" si="72"/>
        <v>-7.7831728503952036E-4</v>
      </c>
      <c r="I584">
        <f t="shared" si="73"/>
        <v>155.87475385336398</v>
      </c>
      <c r="J584">
        <f t="shared" si="68"/>
        <v>665.8223123269654</v>
      </c>
      <c r="K584" s="27">
        <f t="shared" si="69"/>
        <v>-345.04228819139621</v>
      </c>
    </row>
    <row r="585" spans="1:11">
      <c r="A585" s="26">
        <v>535</v>
      </c>
      <c r="B585" s="82">
        <f t="shared" si="70"/>
        <v>0</v>
      </c>
      <c r="C585" s="58">
        <f t="shared" si="66"/>
        <v>156.29037528357509</v>
      </c>
      <c r="D585" s="83">
        <f t="shared" si="71"/>
        <v>666.66666666666663</v>
      </c>
      <c r="E585">
        <f t="shared" si="67"/>
        <v>0</v>
      </c>
      <c r="G585">
        <v>535</v>
      </c>
      <c r="H585" s="13">
        <f t="shared" si="72"/>
        <v>-7.7831728503952036E-4</v>
      </c>
      <c r="I585">
        <f t="shared" si="73"/>
        <v>155.87397553607894</v>
      </c>
      <c r="J585">
        <f t="shared" si="68"/>
        <v>665.82071851633589</v>
      </c>
      <c r="K585" s="27">
        <f t="shared" si="69"/>
        <v>-345.04063627825809</v>
      </c>
    </row>
    <row r="586" spans="1:11">
      <c r="A586" s="26">
        <v>536</v>
      </c>
      <c r="B586" s="82">
        <f t="shared" si="70"/>
        <v>0</v>
      </c>
      <c r="C586" s="58">
        <f t="shared" si="66"/>
        <v>156.29037528357509</v>
      </c>
      <c r="D586" s="83">
        <f t="shared" si="71"/>
        <v>666.66666666666663</v>
      </c>
      <c r="E586">
        <f t="shared" si="67"/>
        <v>0</v>
      </c>
      <c r="G586">
        <v>536</v>
      </c>
      <c r="H586" s="13">
        <f t="shared" si="72"/>
        <v>-7.7831728503952036E-4</v>
      </c>
      <c r="I586">
        <f t="shared" si="73"/>
        <v>155.8731972187939</v>
      </c>
      <c r="J586">
        <f t="shared" si="68"/>
        <v>665.81912465790856</v>
      </c>
      <c r="K586" s="27">
        <f t="shared" si="69"/>
        <v>-345.0389843195332</v>
      </c>
    </row>
    <row r="587" spans="1:11">
      <c r="A587" s="26">
        <v>537</v>
      </c>
      <c r="B587" s="82">
        <f t="shared" si="70"/>
        <v>0</v>
      </c>
      <c r="C587" s="58">
        <f t="shared" si="66"/>
        <v>156.29037528357509</v>
      </c>
      <c r="D587" s="83">
        <f t="shared" si="71"/>
        <v>666.66666666666663</v>
      </c>
      <c r="E587">
        <f t="shared" si="67"/>
        <v>0</v>
      </c>
      <c r="G587">
        <v>537</v>
      </c>
      <c r="H587" s="13">
        <f t="shared" si="72"/>
        <v>-7.7831728503952036E-4</v>
      </c>
      <c r="I587">
        <f t="shared" si="73"/>
        <v>155.87241890150887</v>
      </c>
      <c r="J587">
        <f t="shared" si="68"/>
        <v>665.8175307516799</v>
      </c>
      <c r="K587" s="27">
        <f t="shared" si="69"/>
        <v>-345.03733231521818</v>
      </c>
    </row>
    <row r="588" spans="1:11">
      <c r="A588" s="26">
        <v>538</v>
      </c>
      <c r="B588" s="82">
        <f t="shared" si="70"/>
        <v>0</v>
      </c>
      <c r="C588" s="58">
        <f t="shared" si="66"/>
        <v>156.29037528357509</v>
      </c>
      <c r="D588" s="83">
        <f t="shared" si="71"/>
        <v>666.66666666666663</v>
      </c>
      <c r="E588">
        <f t="shared" si="67"/>
        <v>0</v>
      </c>
      <c r="G588">
        <v>538</v>
      </c>
      <c r="H588" s="13">
        <f t="shared" si="72"/>
        <v>-7.7831728503952036E-4</v>
      </c>
      <c r="I588">
        <f t="shared" si="73"/>
        <v>155.87164058422383</v>
      </c>
      <c r="J588">
        <f t="shared" si="68"/>
        <v>665.81593679764649</v>
      </c>
      <c r="K588" s="27">
        <f t="shared" si="69"/>
        <v>-345.03568026530996</v>
      </c>
    </row>
    <row r="589" spans="1:11">
      <c r="A589" s="26">
        <v>539</v>
      </c>
      <c r="B589" s="82">
        <f t="shared" si="70"/>
        <v>0</v>
      </c>
      <c r="C589" s="58">
        <f t="shared" si="66"/>
        <v>156.29037528357509</v>
      </c>
      <c r="D589" s="83">
        <f t="shared" si="71"/>
        <v>666.66666666666663</v>
      </c>
      <c r="E589">
        <f t="shared" si="67"/>
        <v>0</v>
      </c>
      <c r="G589">
        <v>539</v>
      </c>
      <c r="H589" s="13">
        <f t="shared" si="72"/>
        <v>-7.7831728503952036E-4</v>
      </c>
      <c r="I589">
        <f t="shared" si="73"/>
        <v>155.87086226693879</v>
      </c>
      <c r="J589">
        <f t="shared" si="68"/>
        <v>665.81434279580492</v>
      </c>
      <c r="K589" s="27">
        <f t="shared" si="69"/>
        <v>-345.03402816980503</v>
      </c>
    </row>
    <row r="590" spans="1:11">
      <c r="A590" s="26">
        <v>540</v>
      </c>
      <c r="B590" s="82">
        <f t="shared" si="70"/>
        <v>0</v>
      </c>
      <c r="C590" s="58">
        <f t="shared" si="66"/>
        <v>156.29037528357509</v>
      </c>
      <c r="D590" s="83">
        <f t="shared" si="71"/>
        <v>666.66666666666663</v>
      </c>
      <c r="E590">
        <f t="shared" si="67"/>
        <v>0</v>
      </c>
      <c r="G590">
        <v>540</v>
      </c>
      <c r="H590" s="13">
        <f t="shared" si="72"/>
        <v>-7.7831728503952036E-4</v>
      </c>
      <c r="I590">
        <f t="shared" si="73"/>
        <v>155.87008394965375</v>
      </c>
      <c r="J590">
        <f t="shared" si="68"/>
        <v>665.81274874615156</v>
      </c>
      <c r="K590" s="27">
        <f t="shared" si="69"/>
        <v>-345.03237602870041</v>
      </c>
    </row>
    <row r="591" spans="1:11">
      <c r="A591" s="26">
        <v>541</v>
      </c>
      <c r="B591" s="82">
        <f t="shared" si="70"/>
        <v>0</v>
      </c>
      <c r="C591" s="58">
        <f t="shared" si="66"/>
        <v>156.29037528357509</v>
      </c>
      <c r="D591" s="83">
        <f t="shared" si="71"/>
        <v>666.66666666666663</v>
      </c>
      <c r="E591">
        <f t="shared" si="67"/>
        <v>0</v>
      </c>
      <c r="G591">
        <v>541</v>
      </c>
      <c r="H591" s="13">
        <f t="shared" si="72"/>
        <v>-7.7831728503952036E-4</v>
      </c>
      <c r="I591">
        <f t="shared" si="73"/>
        <v>155.86930563236871</v>
      </c>
      <c r="J591">
        <f t="shared" si="68"/>
        <v>665.8111546486831</v>
      </c>
      <c r="K591" s="27">
        <f t="shared" si="69"/>
        <v>-345.0307238419926</v>
      </c>
    </row>
    <row r="592" spans="1:11">
      <c r="A592" s="26">
        <v>542</v>
      </c>
      <c r="B592" s="82">
        <f t="shared" si="70"/>
        <v>0</v>
      </c>
      <c r="C592" s="58">
        <f t="shared" ref="C592:C655" si="74">($C$37-$C$36)/2000+C591</f>
        <v>156.29037528357509</v>
      </c>
      <c r="D592" s="83">
        <f t="shared" si="71"/>
        <v>666.66666666666663</v>
      </c>
      <c r="E592">
        <f t="shared" si="67"/>
        <v>0</v>
      </c>
      <c r="G592">
        <v>542</v>
      </c>
      <c r="H592" s="13">
        <f t="shared" si="72"/>
        <v>-7.7831728503952036E-4</v>
      </c>
      <c r="I592">
        <f t="shared" si="73"/>
        <v>155.86852731508367</v>
      </c>
      <c r="J592">
        <f t="shared" si="68"/>
        <v>665.80956050339591</v>
      </c>
      <c r="K592" s="27">
        <f t="shared" si="69"/>
        <v>-345.02907160967862</v>
      </c>
    </row>
    <row r="593" spans="1:11">
      <c r="A593" s="26">
        <v>543</v>
      </c>
      <c r="B593" s="82">
        <f t="shared" si="70"/>
        <v>0</v>
      </c>
      <c r="C593" s="58">
        <f t="shared" si="74"/>
        <v>156.29037528357509</v>
      </c>
      <c r="D593" s="83">
        <f t="shared" si="71"/>
        <v>666.66666666666663</v>
      </c>
      <c r="E593">
        <f t="shared" si="67"/>
        <v>0</v>
      </c>
      <c r="G593">
        <v>543</v>
      </c>
      <c r="H593" s="13">
        <f t="shared" si="72"/>
        <v>-7.7831728503952036E-4</v>
      </c>
      <c r="I593">
        <f t="shared" si="73"/>
        <v>155.86774899779863</v>
      </c>
      <c r="J593">
        <f t="shared" si="68"/>
        <v>665.8079663102867</v>
      </c>
      <c r="K593" s="27">
        <f t="shared" si="69"/>
        <v>-345.02741933175503</v>
      </c>
    </row>
    <row r="594" spans="1:11">
      <c r="A594" s="26">
        <v>544</v>
      </c>
      <c r="B594" s="82">
        <f t="shared" si="70"/>
        <v>0</v>
      </c>
      <c r="C594" s="58">
        <f t="shared" si="74"/>
        <v>156.29037528357509</v>
      </c>
      <c r="D594" s="83">
        <f t="shared" si="71"/>
        <v>666.66666666666663</v>
      </c>
      <c r="E594">
        <f t="shared" si="67"/>
        <v>0</v>
      </c>
      <c r="G594">
        <v>544</v>
      </c>
      <c r="H594" s="13">
        <f t="shared" si="72"/>
        <v>-7.7831728503952036E-4</v>
      </c>
      <c r="I594">
        <f t="shared" si="73"/>
        <v>155.86697068051359</v>
      </c>
      <c r="J594">
        <f t="shared" si="68"/>
        <v>665.80637206935171</v>
      </c>
      <c r="K594" s="27">
        <f t="shared" si="69"/>
        <v>-345.02576700821868</v>
      </c>
    </row>
    <row r="595" spans="1:11">
      <c r="A595" s="26">
        <v>545</v>
      </c>
      <c r="B595" s="82">
        <f t="shared" si="70"/>
        <v>0</v>
      </c>
      <c r="C595" s="58">
        <f t="shared" si="74"/>
        <v>156.29037528357509</v>
      </c>
      <c r="D595" s="83">
        <f t="shared" si="71"/>
        <v>666.66666666666663</v>
      </c>
      <c r="E595">
        <f t="shared" si="67"/>
        <v>0</v>
      </c>
      <c r="G595">
        <v>545</v>
      </c>
      <c r="H595" s="13">
        <f t="shared" si="72"/>
        <v>-7.7831728503952036E-4</v>
      </c>
      <c r="I595">
        <f t="shared" si="73"/>
        <v>155.86619236322855</v>
      </c>
      <c r="J595">
        <f t="shared" si="68"/>
        <v>665.80477778058776</v>
      </c>
      <c r="K595" s="27">
        <f t="shared" si="69"/>
        <v>-345.02411463906634</v>
      </c>
    </row>
    <row r="596" spans="1:11">
      <c r="A596" s="26">
        <v>546</v>
      </c>
      <c r="B596" s="82">
        <f t="shared" si="70"/>
        <v>0</v>
      </c>
      <c r="C596" s="58">
        <f t="shared" si="74"/>
        <v>156.29037528357509</v>
      </c>
      <c r="D596" s="83">
        <f t="shared" si="71"/>
        <v>666.66666666666663</v>
      </c>
      <c r="E596">
        <f t="shared" si="67"/>
        <v>0</v>
      </c>
      <c r="G596">
        <v>546</v>
      </c>
      <c r="H596" s="13">
        <f t="shared" si="72"/>
        <v>-7.7831728503952036E-4</v>
      </c>
      <c r="I596">
        <f t="shared" si="73"/>
        <v>155.86541404594351</v>
      </c>
      <c r="J596">
        <f t="shared" si="68"/>
        <v>665.80318344399132</v>
      </c>
      <c r="K596" s="27">
        <f t="shared" si="69"/>
        <v>-345.02246222429471</v>
      </c>
    </row>
    <row r="597" spans="1:11">
      <c r="A597" s="26">
        <v>547</v>
      </c>
      <c r="B597" s="82">
        <f t="shared" si="70"/>
        <v>0</v>
      </c>
      <c r="C597" s="58">
        <f t="shared" si="74"/>
        <v>156.29037528357509</v>
      </c>
      <c r="D597" s="83">
        <f t="shared" si="71"/>
        <v>666.66666666666663</v>
      </c>
      <c r="E597">
        <f t="shared" si="67"/>
        <v>0</v>
      </c>
      <c r="G597">
        <v>547</v>
      </c>
      <c r="H597" s="13">
        <f t="shared" si="72"/>
        <v>-7.7831728503952036E-4</v>
      </c>
      <c r="I597">
        <f t="shared" si="73"/>
        <v>155.86463572865847</v>
      </c>
      <c r="J597">
        <f t="shared" si="68"/>
        <v>665.80158905955875</v>
      </c>
      <c r="K597" s="27">
        <f t="shared" si="69"/>
        <v>-345.02080976390044</v>
      </c>
    </row>
    <row r="598" spans="1:11">
      <c r="A598" s="26">
        <v>548</v>
      </c>
      <c r="B598" s="82">
        <f t="shared" si="70"/>
        <v>0</v>
      </c>
      <c r="C598" s="58">
        <f t="shared" si="74"/>
        <v>156.29037528357509</v>
      </c>
      <c r="D598" s="83">
        <f t="shared" si="71"/>
        <v>666.66666666666663</v>
      </c>
      <c r="E598">
        <f t="shared" si="67"/>
        <v>0</v>
      </c>
      <c r="G598">
        <v>548</v>
      </c>
      <c r="H598" s="13">
        <f t="shared" si="72"/>
        <v>-7.7831728503952036E-4</v>
      </c>
      <c r="I598">
        <f t="shared" si="73"/>
        <v>155.86385741137343</v>
      </c>
      <c r="J598">
        <f t="shared" si="68"/>
        <v>665.79999462728665</v>
      </c>
      <c r="K598" s="27">
        <f t="shared" si="69"/>
        <v>-345.01915725788041</v>
      </c>
    </row>
    <row r="599" spans="1:11">
      <c r="A599" s="26">
        <v>549</v>
      </c>
      <c r="B599" s="82">
        <f t="shared" si="70"/>
        <v>0</v>
      </c>
      <c r="C599" s="58">
        <f t="shared" si="74"/>
        <v>156.29037528357509</v>
      </c>
      <c r="D599" s="83">
        <f t="shared" si="71"/>
        <v>666.66666666666663</v>
      </c>
      <c r="E599">
        <f t="shared" si="67"/>
        <v>0</v>
      </c>
      <c r="G599">
        <v>549</v>
      </c>
      <c r="H599" s="13">
        <f t="shared" si="72"/>
        <v>-7.7831728503952036E-4</v>
      </c>
      <c r="I599">
        <f t="shared" si="73"/>
        <v>155.86307909408839</v>
      </c>
      <c r="J599">
        <f t="shared" si="68"/>
        <v>665.79840014717161</v>
      </c>
      <c r="K599" s="27">
        <f t="shared" si="69"/>
        <v>-345.01750470623142</v>
      </c>
    </row>
    <row r="600" spans="1:11">
      <c r="A600" s="26">
        <v>550</v>
      </c>
      <c r="B600" s="82">
        <f t="shared" si="70"/>
        <v>0</v>
      </c>
      <c r="C600" s="58">
        <f t="shared" si="74"/>
        <v>156.29037528357509</v>
      </c>
      <c r="D600" s="83">
        <f t="shared" si="71"/>
        <v>666.66666666666663</v>
      </c>
      <c r="E600">
        <f t="shared" si="67"/>
        <v>0</v>
      </c>
      <c r="G600">
        <v>550</v>
      </c>
      <c r="H600" s="13">
        <f t="shared" si="72"/>
        <v>-7.7831728503952036E-4</v>
      </c>
      <c r="I600">
        <f t="shared" si="73"/>
        <v>155.86230077680335</v>
      </c>
      <c r="J600">
        <f t="shared" si="68"/>
        <v>665.79680561921009</v>
      </c>
      <c r="K600" s="27">
        <f t="shared" si="69"/>
        <v>-345.01585210895013</v>
      </c>
    </row>
    <row r="601" spans="1:11">
      <c r="A601" s="26">
        <v>551</v>
      </c>
      <c r="B601" s="82">
        <f t="shared" si="70"/>
        <v>0</v>
      </c>
      <c r="C601" s="58">
        <f t="shared" si="74"/>
        <v>156.29037528357509</v>
      </c>
      <c r="D601" s="83">
        <f t="shared" si="71"/>
        <v>666.66666666666663</v>
      </c>
      <c r="E601">
        <f t="shared" si="67"/>
        <v>0</v>
      </c>
      <c r="G601">
        <v>551</v>
      </c>
      <c r="H601" s="13">
        <f t="shared" si="72"/>
        <v>-7.7831728503952036E-4</v>
      </c>
      <c r="I601">
        <f t="shared" si="73"/>
        <v>155.86152245951831</v>
      </c>
      <c r="J601">
        <f t="shared" si="68"/>
        <v>665.79521104339858</v>
      </c>
      <c r="K601" s="27">
        <f t="shared" si="69"/>
        <v>-345.01419946603329</v>
      </c>
    </row>
    <row r="602" spans="1:11">
      <c r="A602" s="26">
        <v>552</v>
      </c>
      <c r="B602" s="82">
        <f t="shared" si="70"/>
        <v>0</v>
      </c>
      <c r="C602" s="58">
        <f t="shared" si="74"/>
        <v>156.29037528357509</v>
      </c>
      <c r="D602" s="83">
        <f t="shared" si="71"/>
        <v>666.66666666666663</v>
      </c>
      <c r="E602">
        <f t="shared" si="67"/>
        <v>0</v>
      </c>
      <c r="G602">
        <v>552</v>
      </c>
      <c r="H602" s="13">
        <f t="shared" si="72"/>
        <v>-7.7831728503952036E-4</v>
      </c>
      <c r="I602">
        <f t="shared" si="73"/>
        <v>155.86074414223327</v>
      </c>
      <c r="J602">
        <f t="shared" si="68"/>
        <v>665.79361641973378</v>
      </c>
      <c r="K602" s="27">
        <f t="shared" si="69"/>
        <v>-345.01254677747778</v>
      </c>
    </row>
    <row r="603" spans="1:11">
      <c r="A603" s="26">
        <v>553</v>
      </c>
      <c r="B603" s="82">
        <f t="shared" si="70"/>
        <v>0</v>
      </c>
      <c r="C603" s="58">
        <f t="shared" si="74"/>
        <v>156.29037528357509</v>
      </c>
      <c r="D603" s="83">
        <f t="shared" si="71"/>
        <v>666.66666666666663</v>
      </c>
      <c r="E603">
        <f t="shared" si="67"/>
        <v>0</v>
      </c>
      <c r="G603">
        <v>553</v>
      </c>
      <c r="H603" s="13">
        <f t="shared" si="72"/>
        <v>-7.7831728503952036E-4</v>
      </c>
      <c r="I603">
        <f t="shared" si="73"/>
        <v>155.85996582494823</v>
      </c>
      <c r="J603">
        <f t="shared" si="68"/>
        <v>665.79202174821194</v>
      </c>
      <c r="K603" s="27">
        <f t="shared" si="69"/>
        <v>-345.01089404328008</v>
      </c>
    </row>
    <row r="604" spans="1:11">
      <c r="A604" s="26">
        <v>554</v>
      </c>
      <c r="B604" s="82">
        <f t="shared" si="70"/>
        <v>0</v>
      </c>
      <c r="C604" s="58">
        <f t="shared" si="74"/>
        <v>156.29037528357509</v>
      </c>
      <c r="D604" s="83">
        <f t="shared" si="71"/>
        <v>666.66666666666663</v>
      </c>
      <c r="E604">
        <f t="shared" si="67"/>
        <v>0</v>
      </c>
      <c r="G604">
        <v>554</v>
      </c>
      <c r="H604" s="13">
        <f t="shared" si="72"/>
        <v>-7.7831728503952036E-4</v>
      </c>
      <c r="I604">
        <f t="shared" si="73"/>
        <v>155.85918750766319</v>
      </c>
      <c r="J604">
        <f t="shared" si="68"/>
        <v>665.79042702882975</v>
      </c>
      <c r="K604" s="27">
        <f t="shared" si="69"/>
        <v>-345.00924126343716</v>
      </c>
    </row>
    <row r="605" spans="1:11">
      <c r="A605" s="26">
        <v>555</v>
      </c>
      <c r="B605" s="82">
        <f t="shared" si="70"/>
        <v>0</v>
      </c>
      <c r="C605" s="58">
        <f t="shared" si="74"/>
        <v>156.29037528357509</v>
      </c>
      <c r="D605" s="83">
        <f t="shared" si="71"/>
        <v>666.66666666666663</v>
      </c>
      <c r="E605">
        <f t="shared" si="67"/>
        <v>0</v>
      </c>
      <c r="G605">
        <v>555</v>
      </c>
      <c r="H605" s="13">
        <f t="shared" si="72"/>
        <v>-7.7831728503952036E-4</v>
      </c>
      <c r="I605">
        <f t="shared" si="73"/>
        <v>155.85840919037815</v>
      </c>
      <c r="J605">
        <f t="shared" si="68"/>
        <v>665.78883226158371</v>
      </c>
      <c r="K605" s="27">
        <f t="shared" si="69"/>
        <v>-345.00758843794574</v>
      </c>
    </row>
    <row r="606" spans="1:11">
      <c r="A606" s="26">
        <v>556</v>
      </c>
      <c r="B606" s="82">
        <f t="shared" si="70"/>
        <v>0</v>
      </c>
      <c r="C606" s="58">
        <f t="shared" si="74"/>
        <v>156.29037528357509</v>
      </c>
      <c r="D606" s="83">
        <f t="shared" si="71"/>
        <v>666.66666666666663</v>
      </c>
      <c r="E606">
        <f t="shared" si="67"/>
        <v>0</v>
      </c>
      <c r="G606">
        <v>556</v>
      </c>
      <c r="H606" s="13">
        <f t="shared" si="72"/>
        <v>-7.7831728503952036E-4</v>
      </c>
      <c r="I606">
        <f t="shared" si="73"/>
        <v>155.85763087309311</v>
      </c>
      <c r="J606">
        <f t="shared" si="68"/>
        <v>665.78723744647039</v>
      </c>
      <c r="K606" s="27">
        <f t="shared" si="69"/>
        <v>-345.00593556680263</v>
      </c>
    </row>
    <row r="607" spans="1:11">
      <c r="A607" s="26">
        <v>557</v>
      </c>
      <c r="B607" s="82">
        <f t="shared" si="70"/>
        <v>0</v>
      </c>
      <c r="C607" s="58">
        <f t="shared" si="74"/>
        <v>156.29037528357509</v>
      </c>
      <c r="D607" s="83">
        <f t="shared" si="71"/>
        <v>666.66666666666663</v>
      </c>
      <c r="E607">
        <f t="shared" si="67"/>
        <v>0</v>
      </c>
      <c r="G607">
        <v>557</v>
      </c>
      <c r="H607" s="13">
        <f t="shared" si="72"/>
        <v>-7.7831728503952036E-4</v>
      </c>
      <c r="I607">
        <f t="shared" si="73"/>
        <v>155.85685255580808</v>
      </c>
      <c r="J607">
        <f t="shared" si="68"/>
        <v>665.78564258348615</v>
      </c>
      <c r="K607" s="27">
        <f t="shared" si="69"/>
        <v>-345.00428265000431</v>
      </c>
    </row>
    <row r="608" spans="1:11">
      <c r="A608" s="26">
        <v>558</v>
      </c>
      <c r="B608" s="82">
        <f t="shared" si="70"/>
        <v>0</v>
      </c>
      <c r="C608" s="58">
        <f t="shared" si="74"/>
        <v>156.29037528357509</v>
      </c>
      <c r="D608" s="83">
        <f t="shared" si="71"/>
        <v>666.66666666666663</v>
      </c>
      <c r="E608">
        <f t="shared" si="67"/>
        <v>0</v>
      </c>
      <c r="G608">
        <v>558</v>
      </c>
      <c r="H608" s="13">
        <f t="shared" si="72"/>
        <v>-7.7831728503952036E-4</v>
      </c>
      <c r="I608">
        <f t="shared" si="73"/>
        <v>155.85607423852304</v>
      </c>
      <c r="J608">
        <f t="shared" si="68"/>
        <v>665.78404767262759</v>
      </c>
      <c r="K608" s="27">
        <f t="shared" si="69"/>
        <v>-345.00262968754777</v>
      </c>
    </row>
    <row r="609" spans="1:11">
      <c r="A609" s="26">
        <v>559</v>
      </c>
      <c r="B609" s="82">
        <f t="shared" si="70"/>
        <v>0</v>
      </c>
      <c r="C609" s="58">
        <f t="shared" si="74"/>
        <v>156.29037528357509</v>
      </c>
      <c r="D609" s="83">
        <f t="shared" si="71"/>
        <v>666.66666666666663</v>
      </c>
      <c r="E609">
        <f t="shared" si="67"/>
        <v>0</v>
      </c>
      <c r="G609">
        <v>559</v>
      </c>
      <c r="H609" s="13">
        <f t="shared" si="72"/>
        <v>-7.7831728503952036E-4</v>
      </c>
      <c r="I609">
        <f t="shared" si="73"/>
        <v>155.855295921238</v>
      </c>
      <c r="J609">
        <f t="shared" si="68"/>
        <v>665.7824527138913</v>
      </c>
      <c r="K609" s="27">
        <f t="shared" si="69"/>
        <v>-345.0009766794297</v>
      </c>
    </row>
    <row r="610" spans="1:11">
      <c r="A610" s="26">
        <v>560</v>
      </c>
      <c r="B610" s="82">
        <f t="shared" si="70"/>
        <v>0</v>
      </c>
      <c r="C610" s="58">
        <f t="shared" si="74"/>
        <v>156.29037528357509</v>
      </c>
      <c r="D610" s="83">
        <f t="shared" si="71"/>
        <v>666.66666666666663</v>
      </c>
      <c r="E610">
        <f t="shared" si="67"/>
        <v>0</v>
      </c>
      <c r="G610">
        <v>560</v>
      </c>
      <c r="H610" s="13">
        <f t="shared" si="72"/>
        <v>-7.7831728503952036E-4</v>
      </c>
      <c r="I610">
        <f t="shared" si="73"/>
        <v>155.85451760395296</v>
      </c>
      <c r="J610">
        <f t="shared" si="68"/>
        <v>665.78085770727375</v>
      </c>
      <c r="K610" s="27">
        <f t="shared" si="69"/>
        <v>-344.99932362564692</v>
      </c>
    </row>
    <row r="611" spans="1:11">
      <c r="A611" s="26">
        <v>561</v>
      </c>
      <c r="B611" s="82">
        <f t="shared" si="70"/>
        <v>0</v>
      </c>
      <c r="C611" s="58">
        <f t="shared" si="74"/>
        <v>156.29037528357509</v>
      </c>
      <c r="D611" s="83">
        <f t="shared" si="71"/>
        <v>666.66666666666663</v>
      </c>
      <c r="E611">
        <f t="shared" si="67"/>
        <v>0</v>
      </c>
      <c r="G611">
        <v>561</v>
      </c>
      <c r="H611" s="13">
        <f t="shared" si="72"/>
        <v>-7.7831728503952036E-4</v>
      </c>
      <c r="I611">
        <f t="shared" si="73"/>
        <v>155.85373928666792</v>
      </c>
      <c r="J611">
        <f t="shared" si="68"/>
        <v>665.77926265277142</v>
      </c>
      <c r="K611" s="27">
        <f t="shared" si="69"/>
        <v>-344.99767052619603</v>
      </c>
    </row>
    <row r="612" spans="1:11">
      <c r="A612" s="26">
        <v>562</v>
      </c>
      <c r="B612" s="82">
        <f t="shared" si="70"/>
        <v>0</v>
      </c>
      <c r="C612" s="58">
        <f t="shared" si="74"/>
        <v>156.29037528357509</v>
      </c>
      <c r="D612" s="83">
        <f t="shared" si="71"/>
        <v>666.66666666666663</v>
      </c>
      <c r="E612">
        <f t="shared" si="67"/>
        <v>0</v>
      </c>
      <c r="G612">
        <v>562</v>
      </c>
      <c r="H612" s="13">
        <f t="shared" si="72"/>
        <v>-7.7831728503952036E-4</v>
      </c>
      <c r="I612">
        <f t="shared" si="73"/>
        <v>155.85296096938288</v>
      </c>
      <c r="J612">
        <f t="shared" si="68"/>
        <v>665.7776675503809</v>
      </c>
      <c r="K612" s="27">
        <f t="shared" si="69"/>
        <v>-344.9960173810739</v>
      </c>
    </row>
    <row r="613" spans="1:11">
      <c r="A613" s="26">
        <v>563</v>
      </c>
      <c r="B613" s="82">
        <f t="shared" si="70"/>
        <v>0</v>
      </c>
      <c r="C613" s="58">
        <f t="shared" si="74"/>
        <v>156.29037528357509</v>
      </c>
      <c r="D613" s="83">
        <f t="shared" si="71"/>
        <v>666.66666666666663</v>
      </c>
      <c r="E613">
        <f t="shared" si="67"/>
        <v>0</v>
      </c>
      <c r="G613">
        <v>563</v>
      </c>
      <c r="H613" s="13">
        <f t="shared" si="72"/>
        <v>-7.7831728503952036E-4</v>
      </c>
      <c r="I613">
        <f t="shared" si="73"/>
        <v>155.85218265209784</v>
      </c>
      <c r="J613">
        <f t="shared" si="68"/>
        <v>665.77607240009854</v>
      </c>
      <c r="K613" s="27">
        <f t="shared" si="69"/>
        <v>-344.99436419027711</v>
      </c>
    </row>
    <row r="614" spans="1:11">
      <c r="A614" s="26">
        <v>564</v>
      </c>
      <c r="B614" s="82">
        <f t="shared" si="70"/>
        <v>0</v>
      </c>
      <c r="C614" s="58">
        <f t="shared" si="74"/>
        <v>156.29037528357509</v>
      </c>
      <c r="D614" s="83">
        <f t="shared" si="71"/>
        <v>666.66666666666663</v>
      </c>
      <c r="E614">
        <f t="shared" si="67"/>
        <v>0</v>
      </c>
      <c r="G614">
        <v>564</v>
      </c>
      <c r="H614" s="13">
        <f t="shared" si="72"/>
        <v>-7.7831728503952036E-4</v>
      </c>
      <c r="I614">
        <f t="shared" si="73"/>
        <v>155.8514043348128</v>
      </c>
      <c r="J614">
        <f t="shared" si="68"/>
        <v>665.77447720192106</v>
      </c>
      <c r="K614" s="27">
        <f t="shared" si="69"/>
        <v>-344.99271095380254</v>
      </c>
    </row>
    <row r="615" spans="1:11">
      <c r="A615" s="26">
        <v>565</v>
      </c>
      <c r="B615" s="82">
        <f t="shared" si="70"/>
        <v>0</v>
      </c>
      <c r="C615" s="58">
        <f t="shared" si="74"/>
        <v>156.29037528357509</v>
      </c>
      <c r="D615" s="83">
        <f t="shared" si="71"/>
        <v>666.66666666666663</v>
      </c>
      <c r="E615">
        <f t="shared" si="67"/>
        <v>0</v>
      </c>
      <c r="G615">
        <v>565</v>
      </c>
      <c r="H615" s="13">
        <f t="shared" si="72"/>
        <v>-7.7831728503952036E-4</v>
      </c>
      <c r="I615">
        <f t="shared" si="73"/>
        <v>155.85062601752776</v>
      </c>
      <c r="J615">
        <f t="shared" si="68"/>
        <v>665.77288195584481</v>
      </c>
      <c r="K615" s="27">
        <f t="shared" si="69"/>
        <v>-344.99105767164701</v>
      </c>
    </row>
    <row r="616" spans="1:11">
      <c r="A616" s="26">
        <v>566</v>
      </c>
      <c r="B616" s="82">
        <f t="shared" si="70"/>
        <v>0</v>
      </c>
      <c r="C616" s="58">
        <f t="shared" si="74"/>
        <v>156.29037528357509</v>
      </c>
      <c r="D616" s="83">
        <f t="shared" si="71"/>
        <v>666.66666666666663</v>
      </c>
      <c r="E616">
        <f t="shared" si="67"/>
        <v>0</v>
      </c>
      <c r="G616">
        <v>566</v>
      </c>
      <c r="H616" s="13">
        <f t="shared" si="72"/>
        <v>-7.7831728503952036E-4</v>
      </c>
      <c r="I616">
        <f t="shared" si="73"/>
        <v>155.84984770024272</v>
      </c>
      <c r="J616">
        <f t="shared" si="68"/>
        <v>665.7712866618665</v>
      </c>
      <c r="K616" s="27">
        <f t="shared" si="69"/>
        <v>-344.98940434380711</v>
      </c>
    </row>
    <row r="617" spans="1:11">
      <c r="A617" s="26">
        <v>567</v>
      </c>
      <c r="B617" s="82">
        <f t="shared" si="70"/>
        <v>0</v>
      </c>
      <c r="C617" s="58">
        <f t="shared" si="74"/>
        <v>156.29037528357509</v>
      </c>
      <c r="D617" s="83">
        <f t="shared" si="71"/>
        <v>666.66666666666663</v>
      </c>
      <c r="E617">
        <f t="shared" si="67"/>
        <v>0</v>
      </c>
      <c r="G617">
        <v>567</v>
      </c>
      <c r="H617" s="13">
        <f t="shared" si="72"/>
        <v>-7.7831728503952036E-4</v>
      </c>
      <c r="I617">
        <f t="shared" si="73"/>
        <v>155.84906938295768</v>
      </c>
      <c r="J617">
        <f t="shared" si="68"/>
        <v>665.76969131998248</v>
      </c>
      <c r="K617" s="27">
        <f t="shared" si="69"/>
        <v>-344.98775097027965</v>
      </c>
    </row>
    <row r="618" spans="1:11">
      <c r="A618" s="26">
        <v>568</v>
      </c>
      <c r="B618" s="82">
        <f t="shared" si="70"/>
        <v>0</v>
      </c>
      <c r="C618" s="58">
        <f t="shared" si="74"/>
        <v>156.29037528357509</v>
      </c>
      <c r="D618" s="83">
        <f t="shared" si="71"/>
        <v>666.66666666666663</v>
      </c>
      <c r="E618">
        <f t="shared" si="67"/>
        <v>0</v>
      </c>
      <c r="G618">
        <v>568</v>
      </c>
      <c r="H618" s="13">
        <f t="shared" si="72"/>
        <v>-7.7831728503952036E-4</v>
      </c>
      <c r="I618">
        <f t="shared" si="73"/>
        <v>155.84829106567264</v>
      </c>
      <c r="J618">
        <f t="shared" si="68"/>
        <v>665.76809593018925</v>
      </c>
      <c r="K618" s="27">
        <f t="shared" si="69"/>
        <v>-344.98609755106139</v>
      </c>
    </row>
    <row r="619" spans="1:11">
      <c r="A619" s="26">
        <v>569</v>
      </c>
      <c r="B619" s="82">
        <f t="shared" si="70"/>
        <v>0</v>
      </c>
      <c r="C619" s="58">
        <f t="shared" si="74"/>
        <v>156.29037528357509</v>
      </c>
      <c r="D619" s="83">
        <f t="shared" si="71"/>
        <v>666.66666666666663</v>
      </c>
      <c r="E619">
        <f t="shared" si="67"/>
        <v>0</v>
      </c>
      <c r="G619">
        <v>569</v>
      </c>
      <c r="H619" s="13">
        <f t="shared" si="72"/>
        <v>-7.7831728503952036E-4</v>
      </c>
      <c r="I619">
        <f t="shared" si="73"/>
        <v>155.8475127483876</v>
      </c>
      <c r="J619">
        <f t="shared" si="68"/>
        <v>665.76650049248349</v>
      </c>
      <c r="K619" s="27">
        <f t="shared" si="69"/>
        <v>-344.98444408614893</v>
      </c>
    </row>
    <row r="620" spans="1:11">
      <c r="A620" s="26">
        <v>570</v>
      </c>
      <c r="B620" s="82">
        <f t="shared" si="70"/>
        <v>0</v>
      </c>
      <c r="C620" s="58">
        <f t="shared" si="74"/>
        <v>156.29037528357509</v>
      </c>
      <c r="D620" s="83">
        <f t="shared" si="71"/>
        <v>666.66666666666663</v>
      </c>
      <c r="E620">
        <f t="shared" si="67"/>
        <v>0</v>
      </c>
      <c r="G620">
        <v>570</v>
      </c>
      <c r="H620" s="13">
        <f t="shared" si="72"/>
        <v>-7.7831728503952036E-4</v>
      </c>
      <c r="I620">
        <f t="shared" si="73"/>
        <v>155.84673443110256</v>
      </c>
      <c r="J620">
        <f t="shared" si="68"/>
        <v>665.76490500686145</v>
      </c>
      <c r="K620" s="27">
        <f t="shared" si="69"/>
        <v>-344.98279057553918</v>
      </c>
    </row>
    <row r="621" spans="1:11">
      <c r="A621" s="26">
        <v>571</v>
      </c>
      <c r="B621" s="82">
        <f t="shared" si="70"/>
        <v>0</v>
      </c>
      <c r="C621" s="58">
        <f t="shared" si="74"/>
        <v>156.29037528357509</v>
      </c>
      <c r="D621" s="83">
        <f t="shared" si="71"/>
        <v>666.66666666666663</v>
      </c>
      <c r="E621">
        <f t="shared" si="67"/>
        <v>0</v>
      </c>
      <c r="G621">
        <v>571</v>
      </c>
      <c r="H621" s="13">
        <f t="shared" si="72"/>
        <v>-7.7831728503952036E-4</v>
      </c>
      <c r="I621">
        <f t="shared" si="73"/>
        <v>155.84595611381752</v>
      </c>
      <c r="J621">
        <f t="shared" si="68"/>
        <v>665.76330947331996</v>
      </c>
      <c r="K621" s="27">
        <f t="shared" si="69"/>
        <v>-344.98113701922892</v>
      </c>
    </row>
    <row r="622" spans="1:11">
      <c r="A622" s="26">
        <v>572</v>
      </c>
      <c r="B622" s="82">
        <f t="shared" si="70"/>
        <v>0</v>
      </c>
      <c r="C622" s="58">
        <f t="shared" si="74"/>
        <v>156.29037528357509</v>
      </c>
      <c r="D622" s="83">
        <f t="shared" si="71"/>
        <v>666.66666666666663</v>
      </c>
      <c r="E622">
        <f t="shared" si="67"/>
        <v>0</v>
      </c>
      <c r="G622">
        <v>572</v>
      </c>
      <c r="H622" s="13">
        <f t="shared" si="72"/>
        <v>-7.7831728503952036E-4</v>
      </c>
      <c r="I622">
        <f t="shared" si="73"/>
        <v>155.84517779653248</v>
      </c>
      <c r="J622">
        <f t="shared" si="68"/>
        <v>665.76171389185527</v>
      </c>
      <c r="K622" s="27">
        <f t="shared" si="69"/>
        <v>-344.97948341721468</v>
      </c>
    </row>
    <row r="623" spans="1:11">
      <c r="A623" s="26">
        <v>573</v>
      </c>
      <c r="B623" s="82">
        <f t="shared" si="70"/>
        <v>0</v>
      </c>
      <c r="C623" s="58">
        <f t="shared" si="74"/>
        <v>156.29037528357509</v>
      </c>
      <c r="D623" s="83">
        <f t="shared" si="71"/>
        <v>666.66666666666663</v>
      </c>
      <c r="E623">
        <f t="shared" si="67"/>
        <v>0</v>
      </c>
      <c r="G623">
        <v>573</v>
      </c>
      <c r="H623" s="13">
        <f t="shared" si="72"/>
        <v>-7.7831728503952036E-4</v>
      </c>
      <c r="I623">
        <f t="shared" si="73"/>
        <v>155.84439947924744</v>
      </c>
      <c r="J623">
        <f t="shared" si="68"/>
        <v>665.76011826246406</v>
      </c>
      <c r="K623" s="27">
        <f t="shared" si="69"/>
        <v>-344.97782976949344</v>
      </c>
    </row>
    <row r="624" spans="1:11">
      <c r="A624" s="26">
        <v>574</v>
      </c>
      <c r="B624" s="82">
        <f t="shared" si="70"/>
        <v>0</v>
      </c>
      <c r="C624" s="58">
        <f t="shared" si="74"/>
        <v>156.29037528357509</v>
      </c>
      <c r="D624" s="83">
        <f t="shared" si="71"/>
        <v>666.66666666666663</v>
      </c>
      <c r="E624">
        <f t="shared" si="67"/>
        <v>0</v>
      </c>
      <c r="G624">
        <v>574</v>
      </c>
      <c r="H624" s="13">
        <f t="shared" si="72"/>
        <v>-7.7831728503952036E-4</v>
      </c>
      <c r="I624">
        <f t="shared" si="73"/>
        <v>155.8436211619624</v>
      </c>
      <c r="J624">
        <f t="shared" si="68"/>
        <v>665.75852258514271</v>
      </c>
      <c r="K624" s="27">
        <f t="shared" si="69"/>
        <v>-344.9761760760619</v>
      </c>
    </row>
    <row r="625" spans="1:11">
      <c r="A625" s="26">
        <v>575</v>
      </c>
      <c r="B625" s="82">
        <f t="shared" si="70"/>
        <v>0</v>
      </c>
      <c r="C625" s="58">
        <f t="shared" si="74"/>
        <v>156.29037528357509</v>
      </c>
      <c r="D625" s="83">
        <f t="shared" si="71"/>
        <v>666.66666666666663</v>
      </c>
      <c r="E625">
        <f t="shared" si="67"/>
        <v>0</v>
      </c>
      <c r="G625">
        <v>575</v>
      </c>
      <c r="H625" s="13">
        <f t="shared" si="72"/>
        <v>-7.7831728503952036E-4</v>
      </c>
      <c r="I625">
        <f t="shared" si="73"/>
        <v>155.84284284467736</v>
      </c>
      <c r="J625">
        <f t="shared" si="68"/>
        <v>665.75692685988793</v>
      </c>
      <c r="K625" s="27">
        <f t="shared" si="69"/>
        <v>-344.97452233691661</v>
      </c>
    </row>
    <row r="626" spans="1:11">
      <c r="A626" s="26">
        <v>576</v>
      </c>
      <c r="B626" s="82">
        <f t="shared" si="70"/>
        <v>0</v>
      </c>
      <c r="C626" s="58">
        <f t="shared" si="74"/>
        <v>156.29037528357509</v>
      </c>
      <c r="D626" s="83">
        <f t="shared" si="71"/>
        <v>666.66666666666663</v>
      </c>
      <c r="E626">
        <f t="shared" si="67"/>
        <v>0</v>
      </c>
      <c r="G626">
        <v>576</v>
      </c>
      <c r="H626" s="13">
        <f t="shared" si="72"/>
        <v>-7.7831728503952036E-4</v>
      </c>
      <c r="I626">
        <f t="shared" si="73"/>
        <v>155.84206452739232</v>
      </c>
      <c r="J626">
        <f t="shared" si="68"/>
        <v>665.75533108669595</v>
      </c>
      <c r="K626" s="27">
        <f t="shared" si="69"/>
        <v>-344.97286855205442</v>
      </c>
    </row>
    <row r="627" spans="1:11">
      <c r="A627" s="26">
        <v>577</v>
      </c>
      <c r="B627" s="82">
        <f t="shared" si="70"/>
        <v>0</v>
      </c>
      <c r="C627" s="58">
        <f t="shared" si="74"/>
        <v>156.29037528357509</v>
      </c>
      <c r="D627" s="83">
        <f t="shared" si="71"/>
        <v>666.66666666666663</v>
      </c>
      <c r="E627">
        <f t="shared" ref="E627:E690" si="75">((D627^2)+(D627*D628)+(D628^2))*B628/3</f>
        <v>0</v>
      </c>
      <c r="G627">
        <v>577</v>
      </c>
      <c r="H627" s="13">
        <f t="shared" si="72"/>
        <v>-7.7831728503952036E-4</v>
      </c>
      <c r="I627">
        <f t="shared" si="73"/>
        <v>155.84128621010728</v>
      </c>
      <c r="J627">
        <f t="shared" ref="J627:J690" si="76">IF($G$28&lt;$C$14,0,((($C$11^2)-((I627-$C$13)^2))^0.5)+$C$16)</f>
        <v>665.75373526556348</v>
      </c>
      <c r="K627" s="27">
        <f t="shared" ref="K627:K690" si="77">((J627^2)+(J627*J628)+(J628^2))*H628/3</f>
        <v>-344.97121472147211</v>
      </c>
    </row>
    <row r="628" spans="1:11">
      <c r="A628" s="26">
        <v>578</v>
      </c>
      <c r="B628" s="82">
        <f t="shared" ref="B628:B691" si="78">C628-C627</f>
        <v>0</v>
      </c>
      <c r="C628" s="58">
        <f t="shared" si="74"/>
        <v>156.29037528357509</v>
      </c>
      <c r="D628" s="83">
        <f t="shared" ref="D628:D691" si="79">IF($G$28&lt;$C$14,0,((($C$11^2)-((C628-$C$13)^2))^0.5)+$C$16)</f>
        <v>666.66666666666663</v>
      </c>
      <c r="E628">
        <f t="shared" si="75"/>
        <v>0</v>
      </c>
      <c r="G628">
        <v>578</v>
      </c>
      <c r="H628" s="13">
        <f t="shared" ref="H628:H691" si="80">I628-I627</f>
        <v>-7.7831728503952036E-4</v>
      </c>
      <c r="I628">
        <f t="shared" ref="I628:I691" si="81">($G$27-$C$14)/2000+I627</f>
        <v>155.84050789282225</v>
      </c>
      <c r="J628">
        <f t="shared" si="76"/>
        <v>665.752139396487</v>
      </c>
      <c r="K628" s="27">
        <f t="shared" si="77"/>
        <v>-344.96956084516637</v>
      </c>
    </row>
    <row r="629" spans="1:11">
      <c r="A629" s="26">
        <v>579</v>
      </c>
      <c r="B629" s="82">
        <f t="shared" si="78"/>
        <v>0</v>
      </c>
      <c r="C629" s="58">
        <f t="shared" si="74"/>
        <v>156.29037528357509</v>
      </c>
      <c r="D629" s="83">
        <f t="shared" si="79"/>
        <v>666.66666666666663</v>
      </c>
      <c r="E629">
        <f t="shared" si="75"/>
        <v>0</v>
      </c>
      <c r="G629">
        <v>579</v>
      </c>
      <c r="H629" s="13">
        <f t="shared" si="80"/>
        <v>-7.7831728503952036E-4</v>
      </c>
      <c r="I629">
        <f t="shared" si="81"/>
        <v>155.83972957553721</v>
      </c>
      <c r="J629">
        <f t="shared" si="76"/>
        <v>665.75054347946298</v>
      </c>
      <c r="K629" s="27">
        <f t="shared" si="77"/>
        <v>-344.96790692313397</v>
      </c>
    </row>
    <row r="630" spans="1:11">
      <c r="A630" s="26">
        <v>580</v>
      </c>
      <c r="B630" s="82">
        <f t="shared" si="78"/>
        <v>0</v>
      </c>
      <c r="C630" s="58">
        <f t="shared" si="74"/>
        <v>156.29037528357509</v>
      </c>
      <c r="D630" s="83">
        <f t="shared" si="79"/>
        <v>666.66666666666663</v>
      </c>
      <c r="E630">
        <f t="shared" si="75"/>
        <v>0</v>
      </c>
      <c r="G630">
        <v>580</v>
      </c>
      <c r="H630" s="13">
        <f t="shared" si="80"/>
        <v>-7.7831728503952036E-4</v>
      </c>
      <c r="I630">
        <f t="shared" si="81"/>
        <v>155.83895125825217</v>
      </c>
      <c r="J630">
        <f t="shared" si="76"/>
        <v>665.7489475144879</v>
      </c>
      <c r="K630" s="27">
        <f t="shared" si="77"/>
        <v>-344.9662529553716</v>
      </c>
    </row>
    <row r="631" spans="1:11">
      <c r="A631" s="26">
        <v>581</v>
      </c>
      <c r="B631" s="82">
        <f t="shared" si="78"/>
        <v>0</v>
      </c>
      <c r="C631" s="58">
        <f t="shared" si="74"/>
        <v>156.29037528357509</v>
      </c>
      <c r="D631" s="83">
        <f t="shared" si="79"/>
        <v>666.66666666666663</v>
      </c>
      <c r="E631">
        <f t="shared" si="75"/>
        <v>0</v>
      </c>
      <c r="G631">
        <v>581</v>
      </c>
      <c r="H631" s="13">
        <f t="shared" si="80"/>
        <v>-7.7831728503952036E-4</v>
      </c>
      <c r="I631">
        <f t="shared" si="81"/>
        <v>155.83817294096713</v>
      </c>
      <c r="J631">
        <f t="shared" si="76"/>
        <v>665.74735150155834</v>
      </c>
      <c r="K631" s="27">
        <f t="shared" si="77"/>
        <v>-344.96459894187598</v>
      </c>
    </row>
    <row r="632" spans="1:11">
      <c r="A632" s="26">
        <v>582</v>
      </c>
      <c r="B632" s="82">
        <f t="shared" si="78"/>
        <v>0</v>
      </c>
      <c r="C632" s="58">
        <f t="shared" si="74"/>
        <v>156.29037528357509</v>
      </c>
      <c r="D632" s="83">
        <f t="shared" si="79"/>
        <v>666.66666666666663</v>
      </c>
      <c r="E632">
        <f t="shared" si="75"/>
        <v>0</v>
      </c>
      <c r="G632">
        <v>582</v>
      </c>
      <c r="H632" s="13">
        <f t="shared" si="80"/>
        <v>-7.7831728503952036E-4</v>
      </c>
      <c r="I632">
        <f t="shared" si="81"/>
        <v>155.83739462368209</v>
      </c>
      <c r="J632">
        <f t="shared" si="76"/>
        <v>665.74575544067068</v>
      </c>
      <c r="K632" s="27">
        <f t="shared" si="77"/>
        <v>-344.96294488264408</v>
      </c>
    </row>
    <row r="633" spans="1:11">
      <c r="A633" s="26">
        <v>583</v>
      </c>
      <c r="B633" s="82">
        <f t="shared" si="78"/>
        <v>0</v>
      </c>
      <c r="C633" s="58">
        <f t="shared" si="74"/>
        <v>156.29037528357509</v>
      </c>
      <c r="D633" s="83">
        <f t="shared" si="79"/>
        <v>666.66666666666663</v>
      </c>
      <c r="E633">
        <f t="shared" si="75"/>
        <v>0</v>
      </c>
      <c r="G633">
        <v>583</v>
      </c>
      <c r="H633" s="13">
        <f t="shared" si="80"/>
        <v>-7.7831728503952036E-4</v>
      </c>
      <c r="I633">
        <f t="shared" si="81"/>
        <v>155.83661630639705</v>
      </c>
      <c r="J633">
        <f t="shared" si="76"/>
        <v>665.74415933182172</v>
      </c>
      <c r="K633" s="27">
        <f t="shared" si="77"/>
        <v>-344.96129077767233</v>
      </c>
    </row>
    <row r="634" spans="1:11">
      <c r="A634" s="26">
        <v>584</v>
      </c>
      <c r="B634" s="82">
        <f t="shared" si="78"/>
        <v>0</v>
      </c>
      <c r="C634" s="58">
        <f t="shared" si="74"/>
        <v>156.29037528357509</v>
      </c>
      <c r="D634" s="83">
        <f t="shared" si="79"/>
        <v>666.66666666666663</v>
      </c>
      <c r="E634">
        <f t="shared" si="75"/>
        <v>0</v>
      </c>
      <c r="G634">
        <v>584</v>
      </c>
      <c r="H634" s="13">
        <f t="shared" si="80"/>
        <v>-7.7831728503952036E-4</v>
      </c>
      <c r="I634">
        <f t="shared" si="81"/>
        <v>155.83583798911201</v>
      </c>
      <c r="J634">
        <f t="shared" si="76"/>
        <v>665.7425631750076</v>
      </c>
      <c r="K634" s="27">
        <f t="shared" si="77"/>
        <v>-344.95963662695772</v>
      </c>
    </row>
    <row r="635" spans="1:11">
      <c r="A635" s="26">
        <v>585</v>
      </c>
      <c r="B635" s="82">
        <f t="shared" si="78"/>
        <v>0</v>
      </c>
      <c r="C635" s="58">
        <f t="shared" si="74"/>
        <v>156.29037528357509</v>
      </c>
      <c r="D635" s="83">
        <f t="shared" si="79"/>
        <v>666.66666666666663</v>
      </c>
      <c r="E635">
        <f t="shared" si="75"/>
        <v>0</v>
      </c>
      <c r="G635">
        <v>585</v>
      </c>
      <c r="H635" s="13">
        <f t="shared" si="80"/>
        <v>-7.7831728503952036E-4</v>
      </c>
      <c r="I635">
        <f t="shared" si="81"/>
        <v>155.83505967182697</v>
      </c>
      <c r="J635">
        <f t="shared" si="76"/>
        <v>665.74096697022514</v>
      </c>
      <c r="K635" s="27">
        <f t="shared" si="77"/>
        <v>-344.95798243049677</v>
      </c>
    </row>
    <row r="636" spans="1:11">
      <c r="A636" s="26">
        <v>586</v>
      </c>
      <c r="B636" s="82">
        <f t="shared" si="78"/>
        <v>0</v>
      </c>
      <c r="C636" s="58">
        <f t="shared" si="74"/>
        <v>156.29037528357509</v>
      </c>
      <c r="D636" s="83">
        <f t="shared" si="79"/>
        <v>666.66666666666663</v>
      </c>
      <c r="E636">
        <f t="shared" si="75"/>
        <v>0</v>
      </c>
      <c r="G636">
        <v>586</v>
      </c>
      <c r="H636" s="13">
        <f t="shared" si="80"/>
        <v>-7.7831728503952036E-4</v>
      </c>
      <c r="I636">
        <f t="shared" si="81"/>
        <v>155.83428135454193</v>
      </c>
      <c r="J636">
        <f t="shared" si="76"/>
        <v>665.73937071747059</v>
      </c>
      <c r="K636" s="27">
        <f t="shared" si="77"/>
        <v>-344.95632818828636</v>
      </c>
    </row>
    <row r="637" spans="1:11">
      <c r="A637" s="26">
        <v>587</v>
      </c>
      <c r="B637" s="82">
        <f t="shared" si="78"/>
        <v>0</v>
      </c>
      <c r="C637" s="58">
        <f t="shared" si="74"/>
        <v>156.29037528357509</v>
      </c>
      <c r="D637" s="83">
        <f t="shared" si="79"/>
        <v>666.66666666666663</v>
      </c>
      <c r="E637">
        <f t="shared" si="75"/>
        <v>0</v>
      </c>
      <c r="G637">
        <v>587</v>
      </c>
      <c r="H637" s="13">
        <f t="shared" si="80"/>
        <v>-7.7831728503952036E-4</v>
      </c>
      <c r="I637">
        <f t="shared" si="81"/>
        <v>155.83350303725689</v>
      </c>
      <c r="J637">
        <f t="shared" si="76"/>
        <v>665.73777441674065</v>
      </c>
      <c r="K637" s="27">
        <f t="shared" si="77"/>
        <v>-344.95467390032314</v>
      </c>
    </row>
    <row r="638" spans="1:11">
      <c r="A638" s="26">
        <v>588</v>
      </c>
      <c r="B638" s="82">
        <f t="shared" si="78"/>
        <v>0</v>
      </c>
      <c r="C638" s="58">
        <f t="shared" si="74"/>
        <v>156.29037528357509</v>
      </c>
      <c r="D638" s="83">
        <f t="shared" si="79"/>
        <v>666.66666666666663</v>
      </c>
      <c r="E638">
        <f t="shared" si="75"/>
        <v>0</v>
      </c>
      <c r="G638">
        <v>588</v>
      </c>
      <c r="H638" s="13">
        <f t="shared" si="80"/>
        <v>-7.7831728503952036E-4</v>
      </c>
      <c r="I638">
        <f t="shared" si="81"/>
        <v>155.83272471997185</v>
      </c>
      <c r="J638">
        <f t="shared" si="76"/>
        <v>665.73617806803168</v>
      </c>
      <c r="K638" s="27">
        <f t="shared" si="77"/>
        <v>-344.95301956660387</v>
      </c>
    </row>
    <row r="639" spans="1:11">
      <c r="A639" s="26">
        <v>589</v>
      </c>
      <c r="B639" s="82">
        <f t="shared" si="78"/>
        <v>0</v>
      </c>
      <c r="C639" s="58">
        <f t="shared" si="74"/>
        <v>156.29037528357509</v>
      </c>
      <c r="D639" s="83">
        <f t="shared" si="79"/>
        <v>666.66666666666663</v>
      </c>
      <c r="E639">
        <f t="shared" si="75"/>
        <v>0</v>
      </c>
      <c r="G639">
        <v>589</v>
      </c>
      <c r="H639" s="13">
        <f t="shared" si="80"/>
        <v>-7.7831728503952036E-4</v>
      </c>
      <c r="I639">
        <f t="shared" si="81"/>
        <v>155.83194640268681</v>
      </c>
      <c r="J639">
        <f t="shared" si="76"/>
        <v>665.73458167134027</v>
      </c>
      <c r="K639" s="27">
        <f t="shared" si="77"/>
        <v>-344.9513651871253</v>
      </c>
    </row>
    <row r="640" spans="1:11">
      <c r="A640" s="26">
        <v>590</v>
      </c>
      <c r="B640" s="82">
        <f t="shared" si="78"/>
        <v>0</v>
      </c>
      <c r="C640" s="58">
        <f t="shared" si="74"/>
        <v>156.29037528357509</v>
      </c>
      <c r="D640" s="83">
        <f t="shared" si="79"/>
        <v>666.66666666666663</v>
      </c>
      <c r="E640">
        <f t="shared" si="75"/>
        <v>0</v>
      </c>
      <c r="G640">
        <v>590</v>
      </c>
      <c r="H640" s="13">
        <f t="shared" si="80"/>
        <v>-7.7831728503952036E-4</v>
      </c>
      <c r="I640">
        <f t="shared" si="81"/>
        <v>155.83116808540177</v>
      </c>
      <c r="J640">
        <f t="shared" si="76"/>
        <v>665.73298522666289</v>
      </c>
      <c r="K640" s="27">
        <f t="shared" si="77"/>
        <v>-344.94971076188409</v>
      </c>
    </row>
    <row r="641" spans="1:11">
      <c r="A641" s="26">
        <v>591</v>
      </c>
      <c r="B641" s="82">
        <f t="shared" si="78"/>
        <v>0</v>
      </c>
      <c r="C641" s="58">
        <f t="shared" si="74"/>
        <v>156.29037528357509</v>
      </c>
      <c r="D641" s="83">
        <f t="shared" si="79"/>
        <v>666.66666666666663</v>
      </c>
      <c r="E641">
        <f t="shared" si="75"/>
        <v>0</v>
      </c>
      <c r="G641">
        <v>591</v>
      </c>
      <c r="H641" s="13">
        <f t="shared" si="80"/>
        <v>-7.7831728503952036E-4</v>
      </c>
      <c r="I641">
        <f t="shared" si="81"/>
        <v>155.83038976811673</v>
      </c>
      <c r="J641">
        <f t="shared" si="76"/>
        <v>665.73138873399603</v>
      </c>
      <c r="K641" s="27">
        <f t="shared" si="77"/>
        <v>-344.94805629087728</v>
      </c>
    </row>
    <row r="642" spans="1:11">
      <c r="A642" s="26">
        <v>592</v>
      </c>
      <c r="B642" s="82">
        <f t="shared" si="78"/>
        <v>0</v>
      </c>
      <c r="C642" s="58">
        <f t="shared" si="74"/>
        <v>156.29037528357509</v>
      </c>
      <c r="D642" s="83">
        <f t="shared" si="79"/>
        <v>666.66666666666663</v>
      </c>
      <c r="E642">
        <f t="shared" si="75"/>
        <v>0</v>
      </c>
      <c r="G642">
        <v>592</v>
      </c>
      <c r="H642" s="13">
        <f t="shared" si="80"/>
        <v>-7.7831728503952036E-4</v>
      </c>
      <c r="I642">
        <f t="shared" si="81"/>
        <v>155.82961145083169</v>
      </c>
      <c r="J642">
        <f t="shared" si="76"/>
        <v>665.72979219333638</v>
      </c>
      <c r="K642" s="27">
        <f t="shared" si="77"/>
        <v>-344.94640177410116</v>
      </c>
    </row>
    <row r="643" spans="1:11">
      <c r="A643" s="26">
        <v>593</v>
      </c>
      <c r="B643" s="82">
        <f t="shared" si="78"/>
        <v>0</v>
      </c>
      <c r="C643" s="58">
        <f t="shared" si="74"/>
        <v>156.29037528357509</v>
      </c>
      <c r="D643" s="83">
        <f t="shared" si="79"/>
        <v>666.66666666666663</v>
      </c>
      <c r="E643">
        <f t="shared" si="75"/>
        <v>0</v>
      </c>
      <c r="G643">
        <v>593</v>
      </c>
      <c r="H643" s="13">
        <f t="shared" si="80"/>
        <v>-7.7831728503952036E-4</v>
      </c>
      <c r="I643">
        <f t="shared" si="81"/>
        <v>155.82883313354665</v>
      </c>
      <c r="J643">
        <f t="shared" si="76"/>
        <v>665.72819560468008</v>
      </c>
      <c r="K643" s="27">
        <f t="shared" si="77"/>
        <v>-344.94474721155274</v>
      </c>
    </row>
    <row r="644" spans="1:11">
      <c r="A644" s="26">
        <v>594</v>
      </c>
      <c r="B644" s="82">
        <f t="shared" si="78"/>
        <v>0</v>
      </c>
      <c r="C644" s="58">
        <f t="shared" si="74"/>
        <v>156.29037528357509</v>
      </c>
      <c r="D644" s="83">
        <f t="shared" si="79"/>
        <v>666.66666666666663</v>
      </c>
      <c r="E644">
        <f t="shared" si="75"/>
        <v>0</v>
      </c>
      <c r="G644">
        <v>594</v>
      </c>
      <c r="H644" s="13">
        <f t="shared" si="80"/>
        <v>-7.7831728503952036E-4</v>
      </c>
      <c r="I644">
        <f t="shared" si="81"/>
        <v>155.82805481626161</v>
      </c>
      <c r="J644">
        <f t="shared" si="76"/>
        <v>665.72659896802395</v>
      </c>
      <c r="K644" s="27">
        <f t="shared" si="77"/>
        <v>-344.94309260322871</v>
      </c>
    </row>
    <row r="645" spans="1:11">
      <c r="A645" s="26">
        <v>595</v>
      </c>
      <c r="B645" s="82">
        <f t="shared" si="78"/>
        <v>0</v>
      </c>
      <c r="C645" s="58">
        <f t="shared" si="74"/>
        <v>156.29037528357509</v>
      </c>
      <c r="D645" s="83">
        <f t="shared" si="79"/>
        <v>666.66666666666663</v>
      </c>
      <c r="E645">
        <f t="shared" si="75"/>
        <v>0</v>
      </c>
      <c r="G645">
        <v>595</v>
      </c>
      <c r="H645" s="13">
        <f t="shared" si="80"/>
        <v>-7.7831728503952036E-4</v>
      </c>
      <c r="I645">
        <f t="shared" si="81"/>
        <v>155.82727649897657</v>
      </c>
      <c r="J645">
        <f t="shared" si="76"/>
        <v>665.72500228336435</v>
      </c>
      <c r="K645" s="27">
        <f t="shared" si="77"/>
        <v>-344.94143794912583</v>
      </c>
    </row>
    <row r="646" spans="1:11">
      <c r="A646" s="26">
        <v>596</v>
      </c>
      <c r="B646" s="82">
        <f t="shared" si="78"/>
        <v>0</v>
      </c>
      <c r="C646" s="58">
        <f t="shared" si="74"/>
        <v>156.29037528357509</v>
      </c>
      <c r="D646" s="83">
        <f t="shared" si="79"/>
        <v>666.66666666666663</v>
      </c>
      <c r="E646">
        <f t="shared" si="75"/>
        <v>0</v>
      </c>
      <c r="G646">
        <v>596</v>
      </c>
      <c r="H646" s="13">
        <f t="shared" si="80"/>
        <v>-7.7831728503952036E-4</v>
      </c>
      <c r="I646">
        <f t="shared" si="81"/>
        <v>155.82649818169153</v>
      </c>
      <c r="J646">
        <f t="shared" si="76"/>
        <v>665.72340555069786</v>
      </c>
      <c r="K646" s="27">
        <f t="shared" si="77"/>
        <v>-344.93978324924069</v>
      </c>
    </row>
    <row r="647" spans="1:11">
      <c r="A647" s="26">
        <v>597</v>
      </c>
      <c r="B647" s="82">
        <f t="shared" si="78"/>
        <v>0</v>
      </c>
      <c r="C647" s="58">
        <f t="shared" si="74"/>
        <v>156.29037528357509</v>
      </c>
      <c r="D647" s="83">
        <f t="shared" si="79"/>
        <v>666.66666666666663</v>
      </c>
      <c r="E647">
        <f t="shared" si="75"/>
        <v>0</v>
      </c>
      <c r="G647">
        <v>597</v>
      </c>
      <c r="H647" s="13">
        <f t="shared" si="80"/>
        <v>-7.7831728503952036E-4</v>
      </c>
      <c r="I647">
        <f t="shared" si="81"/>
        <v>155.82571986440649</v>
      </c>
      <c r="J647">
        <f t="shared" si="76"/>
        <v>665.72180877002086</v>
      </c>
      <c r="K647" s="27">
        <f t="shared" si="77"/>
        <v>-344.93812850357017</v>
      </c>
    </row>
    <row r="648" spans="1:11">
      <c r="A648" s="26">
        <v>598</v>
      </c>
      <c r="B648" s="82">
        <f t="shared" si="78"/>
        <v>0</v>
      </c>
      <c r="C648" s="58">
        <f t="shared" si="74"/>
        <v>156.29037528357509</v>
      </c>
      <c r="D648" s="83">
        <f t="shared" si="79"/>
        <v>666.66666666666663</v>
      </c>
      <c r="E648">
        <f t="shared" si="75"/>
        <v>0</v>
      </c>
      <c r="G648">
        <v>598</v>
      </c>
      <c r="H648" s="13">
        <f t="shared" si="80"/>
        <v>-7.7831728503952036E-4</v>
      </c>
      <c r="I648">
        <f t="shared" si="81"/>
        <v>155.82494154712145</v>
      </c>
      <c r="J648">
        <f t="shared" si="76"/>
        <v>665.72021194132992</v>
      </c>
      <c r="K648" s="27">
        <f t="shared" si="77"/>
        <v>-344.93647371211085</v>
      </c>
    </row>
    <row r="649" spans="1:11">
      <c r="A649" s="26">
        <v>599</v>
      </c>
      <c r="B649" s="82">
        <f t="shared" si="78"/>
        <v>0</v>
      </c>
      <c r="C649" s="58">
        <f t="shared" si="74"/>
        <v>156.29037528357509</v>
      </c>
      <c r="D649" s="83">
        <f t="shared" si="79"/>
        <v>666.66666666666663</v>
      </c>
      <c r="E649">
        <f t="shared" si="75"/>
        <v>0</v>
      </c>
      <c r="G649">
        <v>599</v>
      </c>
      <c r="H649" s="13">
        <f t="shared" si="80"/>
        <v>-7.7831728503952036E-4</v>
      </c>
      <c r="I649">
        <f t="shared" si="81"/>
        <v>155.82416322983642</v>
      </c>
      <c r="J649">
        <f t="shared" si="76"/>
        <v>665.71861506462153</v>
      </c>
      <c r="K649" s="27">
        <f t="shared" si="77"/>
        <v>-344.93481887485967</v>
      </c>
    </row>
    <row r="650" spans="1:11">
      <c r="A650" s="26">
        <v>600</v>
      </c>
      <c r="B650" s="82">
        <f t="shared" si="78"/>
        <v>0</v>
      </c>
      <c r="C650" s="58">
        <f t="shared" si="74"/>
        <v>156.29037528357509</v>
      </c>
      <c r="D650" s="83">
        <f t="shared" si="79"/>
        <v>666.66666666666663</v>
      </c>
      <c r="E650">
        <f t="shared" si="75"/>
        <v>0</v>
      </c>
      <c r="G650">
        <v>600</v>
      </c>
      <c r="H650" s="13">
        <f t="shared" si="80"/>
        <v>-7.7831728503952036E-4</v>
      </c>
      <c r="I650">
        <f t="shared" si="81"/>
        <v>155.82338491255138</v>
      </c>
      <c r="J650">
        <f t="shared" si="76"/>
        <v>665.71701813989228</v>
      </c>
      <c r="K650" s="27">
        <f t="shared" si="77"/>
        <v>-344.93316399181316</v>
      </c>
    </row>
    <row r="651" spans="1:11">
      <c r="A651" s="26">
        <v>601</v>
      </c>
      <c r="B651" s="82">
        <f t="shared" si="78"/>
        <v>0</v>
      </c>
      <c r="C651" s="58">
        <f t="shared" si="74"/>
        <v>156.29037528357509</v>
      </c>
      <c r="D651" s="83">
        <f t="shared" si="79"/>
        <v>666.66666666666663</v>
      </c>
      <c r="E651">
        <f t="shared" si="75"/>
        <v>0</v>
      </c>
      <c r="G651">
        <v>601</v>
      </c>
      <c r="H651" s="13">
        <f t="shared" si="80"/>
        <v>-7.7831728503952036E-4</v>
      </c>
      <c r="I651">
        <f t="shared" si="81"/>
        <v>155.82260659526634</v>
      </c>
      <c r="J651">
        <f t="shared" si="76"/>
        <v>665.71542116713852</v>
      </c>
      <c r="K651" s="27">
        <f t="shared" si="77"/>
        <v>-344.93150906296825</v>
      </c>
    </row>
    <row r="652" spans="1:11">
      <c r="A652" s="26">
        <v>602</v>
      </c>
      <c r="B652" s="82">
        <f t="shared" si="78"/>
        <v>0</v>
      </c>
      <c r="C652" s="58">
        <f t="shared" si="74"/>
        <v>156.29037528357509</v>
      </c>
      <c r="D652" s="83">
        <f t="shared" si="79"/>
        <v>666.66666666666663</v>
      </c>
      <c r="E652">
        <f t="shared" si="75"/>
        <v>0</v>
      </c>
      <c r="G652">
        <v>602</v>
      </c>
      <c r="H652" s="13">
        <f t="shared" si="80"/>
        <v>-7.7831728503952036E-4</v>
      </c>
      <c r="I652">
        <f t="shared" si="81"/>
        <v>155.8218282779813</v>
      </c>
      <c r="J652">
        <f t="shared" si="76"/>
        <v>665.71382414635684</v>
      </c>
      <c r="K652" s="27">
        <f t="shared" si="77"/>
        <v>-344.92985408832146</v>
      </c>
    </row>
    <row r="653" spans="1:11">
      <c r="A653" s="26">
        <v>603</v>
      </c>
      <c r="B653" s="82">
        <f t="shared" si="78"/>
        <v>0</v>
      </c>
      <c r="C653" s="58">
        <f t="shared" si="74"/>
        <v>156.29037528357509</v>
      </c>
      <c r="D653" s="83">
        <f t="shared" si="79"/>
        <v>666.66666666666663</v>
      </c>
      <c r="E653">
        <f t="shared" si="75"/>
        <v>0</v>
      </c>
      <c r="G653">
        <v>603</v>
      </c>
      <c r="H653" s="13">
        <f t="shared" si="80"/>
        <v>-7.7831728503952036E-4</v>
      </c>
      <c r="I653">
        <f t="shared" si="81"/>
        <v>155.82104996069626</v>
      </c>
      <c r="J653">
        <f t="shared" si="76"/>
        <v>665.71222707754373</v>
      </c>
      <c r="K653" s="27">
        <f t="shared" si="77"/>
        <v>-344.92819906786963</v>
      </c>
    </row>
    <row r="654" spans="1:11">
      <c r="A654" s="26">
        <v>604</v>
      </c>
      <c r="B654" s="82">
        <f t="shared" si="78"/>
        <v>0</v>
      </c>
      <c r="C654" s="58">
        <f t="shared" si="74"/>
        <v>156.29037528357509</v>
      </c>
      <c r="D654" s="83">
        <f t="shared" si="79"/>
        <v>666.66666666666663</v>
      </c>
      <c r="E654">
        <f t="shared" si="75"/>
        <v>0</v>
      </c>
      <c r="G654">
        <v>604</v>
      </c>
      <c r="H654" s="13">
        <f t="shared" si="80"/>
        <v>-7.7831728503952036E-4</v>
      </c>
      <c r="I654">
        <f t="shared" si="81"/>
        <v>155.82027164341122</v>
      </c>
      <c r="J654">
        <f t="shared" si="76"/>
        <v>665.71062996069566</v>
      </c>
      <c r="K654" s="27">
        <f t="shared" si="77"/>
        <v>-344.9265440016095</v>
      </c>
    </row>
    <row r="655" spans="1:11">
      <c r="A655" s="26">
        <v>605</v>
      </c>
      <c r="B655" s="82">
        <f t="shared" si="78"/>
        <v>0</v>
      </c>
      <c r="C655" s="58">
        <f t="shared" si="74"/>
        <v>156.29037528357509</v>
      </c>
      <c r="D655" s="83">
        <f t="shared" si="79"/>
        <v>666.66666666666663</v>
      </c>
      <c r="E655">
        <f t="shared" si="75"/>
        <v>0</v>
      </c>
      <c r="G655">
        <v>605</v>
      </c>
      <c r="H655" s="13">
        <f t="shared" si="80"/>
        <v>-7.7831728503952036E-4</v>
      </c>
      <c r="I655">
        <f t="shared" si="81"/>
        <v>155.81949332612618</v>
      </c>
      <c r="J655">
        <f t="shared" si="76"/>
        <v>665.70903279580909</v>
      </c>
      <c r="K655" s="27">
        <f t="shared" si="77"/>
        <v>-344.92488888953773</v>
      </c>
    </row>
    <row r="656" spans="1:11">
      <c r="A656" s="26">
        <v>606</v>
      </c>
      <c r="B656" s="82">
        <f t="shared" si="78"/>
        <v>0</v>
      </c>
      <c r="C656" s="58">
        <f t="shared" ref="C656:C719" si="82">($C$37-$C$36)/2000+C655</f>
        <v>156.29037528357509</v>
      </c>
      <c r="D656" s="83">
        <f t="shared" si="79"/>
        <v>666.66666666666663</v>
      </c>
      <c r="E656">
        <f t="shared" si="75"/>
        <v>0</v>
      </c>
      <c r="G656">
        <v>606</v>
      </c>
      <c r="H656" s="13">
        <f t="shared" si="80"/>
        <v>-7.7831728503952036E-4</v>
      </c>
      <c r="I656">
        <f t="shared" si="81"/>
        <v>155.81871500884114</v>
      </c>
      <c r="J656">
        <f t="shared" si="76"/>
        <v>665.70743558288063</v>
      </c>
      <c r="K656" s="27">
        <f t="shared" si="77"/>
        <v>-344.92323373165101</v>
      </c>
    </row>
    <row r="657" spans="1:11">
      <c r="A657" s="26">
        <v>607</v>
      </c>
      <c r="B657" s="82">
        <f t="shared" si="78"/>
        <v>0</v>
      </c>
      <c r="C657" s="58">
        <f t="shared" si="82"/>
        <v>156.29037528357509</v>
      </c>
      <c r="D657" s="83">
        <f t="shared" si="79"/>
        <v>666.66666666666663</v>
      </c>
      <c r="E657">
        <f t="shared" si="75"/>
        <v>0</v>
      </c>
      <c r="G657">
        <v>607</v>
      </c>
      <c r="H657" s="13">
        <f t="shared" si="80"/>
        <v>-7.7831728503952036E-4</v>
      </c>
      <c r="I657">
        <f t="shared" si="81"/>
        <v>155.8179366915561</v>
      </c>
      <c r="J657">
        <f t="shared" si="76"/>
        <v>665.70583832190664</v>
      </c>
      <c r="K657" s="27">
        <f t="shared" si="77"/>
        <v>-344.92157852794634</v>
      </c>
    </row>
    <row r="658" spans="1:11">
      <c r="A658" s="26">
        <v>608</v>
      </c>
      <c r="B658" s="82">
        <f t="shared" si="78"/>
        <v>0</v>
      </c>
      <c r="C658" s="58">
        <f t="shared" si="82"/>
        <v>156.29037528357509</v>
      </c>
      <c r="D658" s="83">
        <f t="shared" si="79"/>
        <v>666.66666666666663</v>
      </c>
      <c r="E658">
        <f t="shared" si="75"/>
        <v>0</v>
      </c>
      <c r="G658">
        <v>608</v>
      </c>
      <c r="H658" s="13">
        <f t="shared" si="80"/>
        <v>-7.7831728503952036E-4</v>
      </c>
      <c r="I658">
        <f t="shared" si="81"/>
        <v>155.81715837427106</v>
      </c>
      <c r="J658">
        <f t="shared" si="76"/>
        <v>665.70424101288381</v>
      </c>
      <c r="K658" s="27">
        <f t="shared" si="77"/>
        <v>-344.91992327842013</v>
      </c>
    </row>
    <row r="659" spans="1:11">
      <c r="A659" s="26">
        <v>609</v>
      </c>
      <c r="B659" s="82">
        <f t="shared" si="78"/>
        <v>0</v>
      </c>
      <c r="C659" s="58">
        <f t="shared" si="82"/>
        <v>156.29037528357509</v>
      </c>
      <c r="D659" s="83">
        <f t="shared" si="79"/>
        <v>666.66666666666663</v>
      </c>
      <c r="E659">
        <f t="shared" si="75"/>
        <v>0</v>
      </c>
      <c r="G659">
        <v>609</v>
      </c>
      <c r="H659" s="13">
        <f t="shared" si="80"/>
        <v>-7.7831728503952036E-4</v>
      </c>
      <c r="I659">
        <f t="shared" si="81"/>
        <v>155.81638005698602</v>
      </c>
      <c r="J659">
        <f t="shared" si="76"/>
        <v>665.7026436558084</v>
      </c>
      <c r="K659" s="27">
        <f t="shared" si="77"/>
        <v>-344.91826798306926</v>
      </c>
    </row>
    <row r="660" spans="1:11">
      <c r="A660" s="26">
        <v>610</v>
      </c>
      <c r="B660" s="82">
        <f t="shared" si="78"/>
        <v>0</v>
      </c>
      <c r="C660" s="58">
        <f t="shared" si="82"/>
        <v>156.29037528357509</v>
      </c>
      <c r="D660" s="83">
        <f t="shared" si="79"/>
        <v>666.66666666666663</v>
      </c>
      <c r="E660">
        <f t="shared" si="75"/>
        <v>0</v>
      </c>
      <c r="G660">
        <v>610</v>
      </c>
      <c r="H660" s="13">
        <f t="shared" si="80"/>
        <v>-7.7831728503952036E-4</v>
      </c>
      <c r="I660">
        <f t="shared" si="81"/>
        <v>155.81560173970098</v>
      </c>
      <c r="J660">
        <f t="shared" si="76"/>
        <v>665.70104625067711</v>
      </c>
      <c r="K660" s="27">
        <f t="shared" si="77"/>
        <v>-344.91661264189042</v>
      </c>
    </row>
    <row r="661" spans="1:11">
      <c r="A661" s="26">
        <v>611</v>
      </c>
      <c r="B661" s="82">
        <f t="shared" si="78"/>
        <v>0</v>
      </c>
      <c r="C661" s="58">
        <f t="shared" si="82"/>
        <v>156.29037528357509</v>
      </c>
      <c r="D661" s="83">
        <f t="shared" si="79"/>
        <v>666.66666666666663</v>
      </c>
      <c r="E661">
        <f t="shared" si="75"/>
        <v>0</v>
      </c>
      <c r="G661">
        <v>611</v>
      </c>
      <c r="H661" s="13">
        <f t="shared" si="80"/>
        <v>-7.7831728503952036E-4</v>
      </c>
      <c r="I661">
        <f t="shared" si="81"/>
        <v>155.81482342241594</v>
      </c>
      <c r="J661">
        <f t="shared" si="76"/>
        <v>665.6994487974863</v>
      </c>
      <c r="K661" s="27">
        <f t="shared" si="77"/>
        <v>-344.91495725488045</v>
      </c>
    </row>
    <row r="662" spans="1:11">
      <c r="A662" s="26">
        <v>612</v>
      </c>
      <c r="B662" s="82">
        <f t="shared" si="78"/>
        <v>0</v>
      </c>
      <c r="C662" s="58">
        <f t="shared" si="82"/>
        <v>156.29037528357509</v>
      </c>
      <c r="D662" s="83">
        <f t="shared" si="79"/>
        <v>666.66666666666663</v>
      </c>
      <c r="E662">
        <f t="shared" si="75"/>
        <v>0</v>
      </c>
      <c r="G662">
        <v>612</v>
      </c>
      <c r="H662" s="13">
        <f t="shared" si="80"/>
        <v>-7.7831728503952036E-4</v>
      </c>
      <c r="I662">
        <f t="shared" si="81"/>
        <v>155.8140451051309</v>
      </c>
      <c r="J662">
        <f t="shared" si="76"/>
        <v>665.69785129623256</v>
      </c>
      <c r="K662" s="27">
        <f t="shared" si="77"/>
        <v>-344.91330182203592</v>
      </c>
    </row>
    <row r="663" spans="1:11">
      <c r="A663" s="26">
        <v>613</v>
      </c>
      <c r="B663" s="82">
        <f t="shared" si="78"/>
        <v>0</v>
      </c>
      <c r="C663" s="58">
        <f t="shared" si="82"/>
        <v>156.29037528357509</v>
      </c>
      <c r="D663" s="83">
        <f t="shared" si="79"/>
        <v>666.66666666666663</v>
      </c>
      <c r="E663">
        <f t="shared" si="75"/>
        <v>0</v>
      </c>
      <c r="G663">
        <v>613</v>
      </c>
      <c r="H663" s="13">
        <f t="shared" si="80"/>
        <v>-7.7831728503952036E-4</v>
      </c>
      <c r="I663">
        <f t="shared" si="81"/>
        <v>155.81326678784586</v>
      </c>
      <c r="J663">
        <f t="shared" si="76"/>
        <v>665.69625374691225</v>
      </c>
      <c r="K663" s="27">
        <f t="shared" si="77"/>
        <v>-344.91164634335354</v>
      </c>
    </row>
    <row r="664" spans="1:11">
      <c r="A664" s="26">
        <v>614</v>
      </c>
      <c r="B664" s="82">
        <f t="shared" si="78"/>
        <v>0</v>
      </c>
      <c r="C664" s="58">
        <f t="shared" si="82"/>
        <v>156.29037528357509</v>
      </c>
      <c r="D664" s="83">
        <f t="shared" si="79"/>
        <v>666.66666666666663</v>
      </c>
      <c r="E664">
        <f t="shared" si="75"/>
        <v>0</v>
      </c>
      <c r="G664">
        <v>614</v>
      </c>
      <c r="H664" s="13">
        <f t="shared" si="80"/>
        <v>-7.7831728503952036E-4</v>
      </c>
      <c r="I664">
        <f t="shared" si="81"/>
        <v>155.81248847056082</v>
      </c>
      <c r="J664">
        <f t="shared" si="76"/>
        <v>665.69465614952196</v>
      </c>
      <c r="K664" s="27">
        <f t="shared" si="77"/>
        <v>-344.90999081883007</v>
      </c>
    </row>
    <row r="665" spans="1:11">
      <c r="A665" s="26">
        <v>615</v>
      </c>
      <c r="B665" s="82">
        <f t="shared" si="78"/>
        <v>0</v>
      </c>
      <c r="C665" s="58">
        <f t="shared" si="82"/>
        <v>156.29037528357509</v>
      </c>
      <c r="D665" s="83">
        <f t="shared" si="79"/>
        <v>666.66666666666663</v>
      </c>
      <c r="E665">
        <f t="shared" si="75"/>
        <v>0</v>
      </c>
      <c r="G665">
        <v>615</v>
      </c>
      <c r="H665" s="13">
        <f t="shared" si="80"/>
        <v>-7.7831728503952036E-4</v>
      </c>
      <c r="I665">
        <f t="shared" si="81"/>
        <v>155.81171015327578</v>
      </c>
      <c r="J665">
        <f t="shared" si="76"/>
        <v>665.69305850405817</v>
      </c>
      <c r="K665" s="27">
        <f t="shared" si="77"/>
        <v>-344.90833524846238</v>
      </c>
    </row>
    <row r="666" spans="1:11">
      <c r="A666" s="26">
        <v>616</v>
      </c>
      <c r="B666" s="82">
        <f t="shared" si="78"/>
        <v>0</v>
      </c>
      <c r="C666" s="58">
        <f t="shared" si="82"/>
        <v>156.29037528357509</v>
      </c>
      <c r="D666" s="83">
        <f t="shared" si="79"/>
        <v>666.66666666666663</v>
      </c>
      <c r="E666">
        <f t="shared" si="75"/>
        <v>0</v>
      </c>
      <c r="G666">
        <v>616</v>
      </c>
      <c r="H666" s="13">
        <f t="shared" si="80"/>
        <v>-7.7831728503952036E-4</v>
      </c>
      <c r="I666">
        <f t="shared" si="81"/>
        <v>155.81093183599074</v>
      </c>
      <c r="J666">
        <f t="shared" si="76"/>
        <v>665.69146081051747</v>
      </c>
      <c r="K666" s="27">
        <f t="shared" si="77"/>
        <v>-344.90667963224706</v>
      </c>
    </row>
    <row r="667" spans="1:11">
      <c r="A667" s="26">
        <v>617</v>
      </c>
      <c r="B667" s="82">
        <f t="shared" si="78"/>
        <v>0</v>
      </c>
      <c r="C667" s="58">
        <f t="shared" si="82"/>
        <v>156.29037528357509</v>
      </c>
      <c r="D667" s="83">
        <f t="shared" si="79"/>
        <v>666.66666666666663</v>
      </c>
      <c r="E667">
        <f t="shared" si="75"/>
        <v>0</v>
      </c>
      <c r="G667">
        <v>617</v>
      </c>
      <c r="H667" s="13">
        <f t="shared" si="80"/>
        <v>-7.7831728503952036E-4</v>
      </c>
      <c r="I667">
        <f t="shared" si="81"/>
        <v>155.8101535187057</v>
      </c>
      <c r="J667">
        <f t="shared" si="76"/>
        <v>665.68986306889622</v>
      </c>
      <c r="K667" s="27">
        <f t="shared" si="77"/>
        <v>-344.90502397018076</v>
      </c>
    </row>
    <row r="668" spans="1:11">
      <c r="A668" s="26">
        <v>618</v>
      </c>
      <c r="B668" s="82">
        <f t="shared" si="78"/>
        <v>0</v>
      </c>
      <c r="C668" s="58">
        <f t="shared" si="82"/>
        <v>156.29037528357509</v>
      </c>
      <c r="D668" s="83">
        <f t="shared" si="79"/>
        <v>666.66666666666663</v>
      </c>
      <c r="E668">
        <f t="shared" si="75"/>
        <v>0</v>
      </c>
      <c r="G668">
        <v>618</v>
      </c>
      <c r="H668" s="13">
        <f t="shared" si="80"/>
        <v>-7.7831728503952036E-4</v>
      </c>
      <c r="I668">
        <f t="shared" si="81"/>
        <v>155.80937520142066</v>
      </c>
      <c r="J668">
        <f t="shared" si="76"/>
        <v>665.68826527919089</v>
      </c>
      <c r="K668" s="27">
        <f t="shared" si="77"/>
        <v>-344.90336826226036</v>
      </c>
    </row>
    <row r="669" spans="1:11">
      <c r="A669" s="26">
        <v>619</v>
      </c>
      <c r="B669" s="82">
        <f t="shared" si="78"/>
        <v>0</v>
      </c>
      <c r="C669" s="58">
        <f t="shared" si="82"/>
        <v>156.29037528357509</v>
      </c>
      <c r="D669" s="83">
        <f t="shared" si="79"/>
        <v>666.66666666666663</v>
      </c>
      <c r="E669">
        <f t="shared" si="75"/>
        <v>0</v>
      </c>
      <c r="G669">
        <v>619</v>
      </c>
      <c r="H669" s="13">
        <f t="shared" si="80"/>
        <v>-7.7831728503952036E-4</v>
      </c>
      <c r="I669">
        <f t="shared" si="81"/>
        <v>155.80859688413562</v>
      </c>
      <c r="J669">
        <f t="shared" si="76"/>
        <v>665.68666744139807</v>
      </c>
      <c r="K669" s="27">
        <f t="shared" si="77"/>
        <v>-344.9017125084826</v>
      </c>
    </row>
    <row r="670" spans="1:11">
      <c r="A670" s="26">
        <v>620</v>
      </c>
      <c r="B670" s="82">
        <f t="shared" si="78"/>
        <v>0</v>
      </c>
      <c r="C670" s="58">
        <f t="shared" si="82"/>
        <v>156.29037528357509</v>
      </c>
      <c r="D670" s="83">
        <f t="shared" si="79"/>
        <v>666.66666666666663</v>
      </c>
      <c r="E670">
        <f t="shared" si="75"/>
        <v>0</v>
      </c>
      <c r="G670">
        <v>620</v>
      </c>
      <c r="H670" s="13">
        <f t="shared" si="80"/>
        <v>-7.7831728503952036E-4</v>
      </c>
      <c r="I670">
        <f t="shared" si="81"/>
        <v>155.80781856685059</v>
      </c>
      <c r="J670">
        <f t="shared" si="76"/>
        <v>665.68506955551425</v>
      </c>
      <c r="K670" s="27">
        <f t="shared" si="77"/>
        <v>-344.90005670884403</v>
      </c>
    </row>
    <row r="671" spans="1:11">
      <c r="A671" s="26">
        <v>621</v>
      </c>
      <c r="B671" s="82">
        <f t="shared" si="78"/>
        <v>0</v>
      </c>
      <c r="C671" s="58">
        <f t="shared" si="82"/>
        <v>156.29037528357509</v>
      </c>
      <c r="D671" s="83">
        <f t="shared" si="79"/>
        <v>666.66666666666663</v>
      </c>
      <c r="E671">
        <f t="shared" si="75"/>
        <v>0</v>
      </c>
      <c r="G671">
        <v>621</v>
      </c>
      <c r="H671" s="13">
        <f t="shared" si="80"/>
        <v>-7.7831728503952036E-4</v>
      </c>
      <c r="I671">
        <f t="shared" si="81"/>
        <v>155.80704024956555</v>
      </c>
      <c r="J671">
        <f t="shared" si="76"/>
        <v>665.68347162153577</v>
      </c>
      <c r="K671" s="27">
        <f t="shared" si="77"/>
        <v>-344.89840086334146</v>
      </c>
    </row>
    <row r="672" spans="1:11">
      <c r="A672" s="26">
        <v>622</v>
      </c>
      <c r="B672" s="82">
        <f t="shared" si="78"/>
        <v>0</v>
      </c>
      <c r="C672" s="58">
        <f t="shared" si="82"/>
        <v>156.29037528357509</v>
      </c>
      <c r="D672" s="83">
        <f t="shared" si="79"/>
        <v>666.66666666666663</v>
      </c>
      <c r="E672">
        <f t="shared" si="75"/>
        <v>0</v>
      </c>
      <c r="G672">
        <v>622</v>
      </c>
      <c r="H672" s="13">
        <f t="shared" si="80"/>
        <v>-7.7831728503952036E-4</v>
      </c>
      <c r="I672">
        <f t="shared" si="81"/>
        <v>155.80626193228051</v>
      </c>
      <c r="J672">
        <f t="shared" si="76"/>
        <v>665.68187363945924</v>
      </c>
      <c r="K672" s="27">
        <f t="shared" si="77"/>
        <v>-344.8967449719716</v>
      </c>
    </row>
    <row r="673" spans="1:11">
      <c r="A673" s="26">
        <v>623</v>
      </c>
      <c r="B673" s="82">
        <f t="shared" si="78"/>
        <v>0</v>
      </c>
      <c r="C673" s="58">
        <f t="shared" si="82"/>
        <v>156.29037528357509</v>
      </c>
      <c r="D673" s="83">
        <f t="shared" si="79"/>
        <v>666.66666666666663</v>
      </c>
      <c r="E673">
        <f t="shared" si="75"/>
        <v>0</v>
      </c>
      <c r="G673">
        <v>623</v>
      </c>
      <c r="H673" s="13">
        <f t="shared" si="80"/>
        <v>-7.7831728503952036E-4</v>
      </c>
      <c r="I673">
        <f t="shared" si="81"/>
        <v>155.80548361499547</v>
      </c>
      <c r="J673">
        <f t="shared" si="76"/>
        <v>665.68027560928124</v>
      </c>
      <c r="K673" s="27">
        <f t="shared" si="77"/>
        <v>-344.8950890347312</v>
      </c>
    </row>
    <row r="674" spans="1:11">
      <c r="A674" s="26">
        <v>624</v>
      </c>
      <c r="B674" s="82">
        <f t="shared" si="78"/>
        <v>0</v>
      </c>
      <c r="C674" s="58">
        <f t="shared" si="82"/>
        <v>156.29037528357509</v>
      </c>
      <c r="D674" s="83">
        <f t="shared" si="79"/>
        <v>666.66666666666663</v>
      </c>
      <c r="E674">
        <f t="shared" si="75"/>
        <v>0</v>
      </c>
      <c r="G674">
        <v>624</v>
      </c>
      <c r="H674" s="13">
        <f t="shared" si="80"/>
        <v>-7.7831728503952036E-4</v>
      </c>
      <c r="I674">
        <f t="shared" si="81"/>
        <v>155.80470529771043</v>
      </c>
      <c r="J674">
        <f t="shared" si="76"/>
        <v>665.67867753099802</v>
      </c>
      <c r="K674" s="27">
        <f t="shared" si="77"/>
        <v>-344.8934330516168</v>
      </c>
    </row>
    <row r="675" spans="1:11">
      <c r="A675" s="26">
        <v>625</v>
      </c>
      <c r="B675" s="82">
        <f t="shared" si="78"/>
        <v>0</v>
      </c>
      <c r="C675" s="58">
        <f t="shared" si="82"/>
        <v>156.29037528357509</v>
      </c>
      <c r="D675" s="83">
        <f t="shared" si="79"/>
        <v>666.66666666666663</v>
      </c>
      <c r="E675">
        <f t="shared" si="75"/>
        <v>0</v>
      </c>
      <c r="G675">
        <v>625</v>
      </c>
      <c r="H675" s="13">
        <f t="shared" si="80"/>
        <v>-7.7831728503952036E-4</v>
      </c>
      <c r="I675">
        <f t="shared" si="81"/>
        <v>155.80392698042539</v>
      </c>
      <c r="J675">
        <f t="shared" si="76"/>
        <v>665.67707940460627</v>
      </c>
      <c r="K675" s="27">
        <f t="shared" si="77"/>
        <v>-344.8917770226256</v>
      </c>
    </row>
    <row r="676" spans="1:11">
      <c r="A676" s="26">
        <v>626</v>
      </c>
      <c r="B676" s="82">
        <f t="shared" si="78"/>
        <v>0</v>
      </c>
      <c r="C676" s="58">
        <f t="shared" si="82"/>
        <v>156.29037528357509</v>
      </c>
      <c r="D676" s="83">
        <f t="shared" si="79"/>
        <v>666.66666666666663</v>
      </c>
      <c r="E676">
        <f t="shared" si="75"/>
        <v>0</v>
      </c>
      <c r="G676">
        <v>626</v>
      </c>
      <c r="H676" s="13">
        <f t="shared" si="80"/>
        <v>-7.7831728503952036E-4</v>
      </c>
      <c r="I676">
        <f t="shared" si="81"/>
        <v>155.80314866314035</v>
      </c>
      <c r="J676">
        <f t="shared" si="76"/>
        <v>665.67548123010249</v>
      </c>
      <c r="K676" s="27">
        <f t="shared" si="77"/>
        <v>-344.89012094775381</v>
      </c>
    </row>
    <row r="677" spans="1:11">
      <c r="A677" s="26">
        <v>627</v>
      </c>
      <c r="B677" s="82">
        <f t="shared" si="78"/>
        <v>0</v>
      </c>
      <c r="C677" s="58">
        <f t="shared" si="82"/>
        <v>156.29037528357509</v>
      </c>
      <c r="D677" s="83">
        <f t="shared" si="79"/>
        <v>666.66666666666663</v>
      </c>
      <c r="E677">
        <f t="shared" si="75"/>
        <v>0</v>
      </c>
      <c r="G677">
        <v>627</v>
      </c>
      <c r="H677" s="13">
        <f t="shared" si="80"/>
        <v>-7.7831728503952036E-4</v>
      </c>
      <c r="I677">
        <f t="shared" si="81"/>
        <v>155.80237034585531</v>
      </c>
      <c r="J677">
        <f t="shared" si="76"/>
        <v>665.67388300748303</v>
      </c>
      <c r="K677" s="27">
        <f t="shared" si="77"/>
        <v>-344.88846482699842</v>
      </c>
    </row>
    <row r="678" spans="1:11">
      <c r="A678" s="26">
        <v>628</v>
      </c>
      <c r="B678" s="82">
        <f t="shared" si="78"/>
        <v>0</v>
      </c>
      <c r="C678" s="58">
        <f t="shared" si="82"/>
        <v>156.29037528357509</v>
      </c>
      <c r="D678" s="83">
        <f t="shared" si="79"/>
        <v>666.66666666666663</v>
      </c>
      <c r="E678">
        <f t="shared" si="75"/>
        <v>0</v>
      </c>
      <c r="G678">
        <v>628</v>
      </c>
      <c r="H678" s="13">
        <f t="shared" si="80"/>
        <v>-7.7831728503952036E-4</v>
      </c>
      <c r="I678">
        <f t="shared" si="81"/>
        <v>155.80159202857027</v>
      </c>
      <c r="J678">
        <f t="shared" si="76"/>
        <v>665.67228473674436</v>
      </c>
      <c r="K678" s="27">
        <f t="shared" si="77"/>
        <v>-344.88680866035605</v>
      </c>
    </row>
    <row r="679" spans="1:11">
      <c r="A679" s="26">
        <v>629</v>
      </c>
      <c r="B679" s="82">
        <f t="shared" si="78"/>
        <v>0</v>
      </c>
      <c r="C679" s="58">
        <f t="shared" si="82"/>
        <v>156.29037528357509</v>
      </c>
      <c r="D679" s="83">
        <f t="shared" si="79"/>
        <v>666.66666666666663</v>
      </c>
      <c r="E679">
        <f t="shared" si="75"/>
        <v>0</v>
      </c>
      <c r="G679">
        <v>629</v>
      </c>
      <c r="H679" s="13">
        <f t="shared" si="80"/>
        <v>-7.7831728503952036E-4</v>
      </c>
      <c r="I679">
        <f t="shared" si="81"/>
        <v>155.80081371128523</v>
      </c>
      <c r="J679">
        <f t="shared" si="76"/>
        <v>665.67068641788319</v>
      </c>
      <c r="K679" s="27">
        <f t="shared" si="77"/>
        <v>-344.88515244782343</v>
      </c>
    </row>
    <row r="680" spans="1:11">
      <c r="A680" s="26">
        <v>630</v>
      </c>
      <c r="B680" s="82">
        <f t="shared" si="78"/>
        <v>0</v>
      </c>
      <c r="C680" s="58">
        <f t="shared" si="82"/>
        <v>156.29037528357509</v>
      </c>
      <c r="D680" s="83">
        <f t="shared" si="79"/>
        <v>666.66666666666663</v>
      </c>
      <c r="E680">
        <f t="shared" si="75"/>
        <v>0</v>
      </c>
      <c r="G680">
        <v>630</v>
      </c>
      <c r="H680" s="13">
        <f t="shared" si="80"/>
        <v>-7.7831728503952036E-4</v>
      </c>
      <c r="I680">
        <f t="shared" si="81"/>
        <v>155.80003539400019</v>
      </c>
      <c r="J680">
        <f t="shared" si="76"/>
        <v>665.66908805089577</v>
      </c>
      <c r="K680" s="27">
        <f t="shared" si="77"/>
        <v>-344.88349618939725</v>
      </c>
    </row>
    <row r="681" spans="1:11">
      <c r="A681" s="26">
        <v>631</v>
      </c>
      <c r="B681" s="82">
        <f t="shared" si="78"/>
        <v>0</v>
      </c>
      <c r="C681" s="58">
        <f t="shared" si="82"/>
        <v>156.29037528357509</v>
      </c>
      <c r="D681" s="83">
        <f t="shared" si="79"/>
        <v>666.66666666666663</v>
      </c>
      <c r="E681">
        <f t="shared" si="75"/>
        <v>0</v>
      </c>
      <c r="G681">
        <v>631</v>
      </c>
      <c r="H681" s="13">
        <f t="shared" si="80"/>
        <v>-7.7831728503952036E-4</v>
      </c>
      <c r="I681">
        <f t="shared" si="81"/>
        <v>155.79925707671515</v>
      </c>
      <c r="J681">
        <f t="shared" si="76"/>
        <v>665.66748963577868</v>
      </c>
      <c r="K681" s="27">
        <f t="shared" si="77"/>
        <v>-344.88183988507427</v>
      </c>
    </row>
    <row r="682" spans="1:11">
      <c r="A682" s="26">
        <v>632</v>
      </c>
      <c r="B682" s="82">
        <f t="shared" si="78"/>
        <v>0</v>
      </c>
      <c r="C682" s="58">
        <f t="shared" si="82"/>
        <v>156.29037528357509</v>
      </c>
      <c r="D682" s="83">
        <f t="shared" si="79"/>
        <v>666.66666666666663</v>
      </c>
      <c r="E682">
        <f t="shared" si="75"/>
        <v>0</v>
      </c>
      <c r="G682">
        <v>632</v>
      </c>
      <c r="H682" s="13">
        <f t="shared" si="80"/>
        <v>-7.7831728503952036E-4</v>
      </c>
      <c r="I682">
        <f t="shared" si="81"/>
        <v>155.79847875943011</v>
      </c>
      <c r="J682">
        <f t="shared" si="76"/>
        <v>665.6658911725284</v>
      </c>
      <c r="K682" s="27">
        <f t="shared" si="77"/>
        <v>-344.88018353485126</v>
      </c>
    </row>
    <row r="683" spans="1:11">
      <c r="A683" s="26">
        <v>633</v>
      </c>
      <c r="B683" s="82">
        <f t="shared" si="78"/>
        <v>0</v>
      </c>
      <c r="C683" s="58">
        <f t="shared" si="82"/>
        <v>156.29037528357509</v>
      </c>
      <c r="D683" s="83">
        <f t="shared" si="79"/>
        <v>666.66666666666663</v>
      </c>
      <c r="E683">
        <f t="shared" si="75"/>
        <v>0</v>
      </c>
      <c r="G683">
        <v>633</v>
      </c>
      <c r="H683" s="13">
        <f t="shared" si="80"/>
        <v>-7.7831728503952036E-4</v>
      </c>
      <c r="I683">
        <f t="shared" si="81"/>
        <v>155.79770044214507</v>
      </c>
      <c r="J683">
        <f t="shared" si="76"/>
        <v>665.66429266114142</v>
      </c>
      <c r="K683" s="27">
        <f t="shared" si="77"/>
        <v>-344.87852713872485</v>
      </c>
    </row>
    <row r="684" spans="1:11">
      <c r="A684" s="26">
        <v>634</v>
      </c>
      <c r="B684" s="82">
        <f t="shared" si="78"/>
        <v>0</v>
      </c>
      <c r="C684" s="58">
        <f t="shared" si="82"/>
        <v>156.29037528357509</v>
      </c>
      <c r="D684" s="83">
        <f t="shared" si="79"/>
        <v>666.66666666666663</v>
      </c>
      <c r="E684">
        <f t="shared" si="75"/>
        <v>0</v>
      </c>
      <c r="G684">
        <v>634</v>
      </c>
      <c r="H684" s="13">
        <f t="shared" si="80"/>
        <v>-7.7831728503952036E-4</v>
      </c>
      <c r="I684">
        <f t="shared" si="81"/>
        <v>155.79692212486003</v>
      </c>
      <c r="J684">
        <f t="shared" si="76"/>
        <v>665.66269410161431</v>
      </c>
      <c r="K684" s="27">
        <f t="shared" si="77"/>
        <v>-344.87687069669181</v>
      </c>
    </row>
    <row r="685" spans="1:11">
      <c r="A685" s="26">
        <v>635</v>
      </c>
      <c r="B685" s="82">
        <f t="shared" si="78"/>
        <v>0</v>
      </c>
      <c r="C685" s="58">
        <f t="shared" si="82"/>
        <v>156.29037528357509</v>
      </c>
      <c r="D685" s="83">
        <f t="shared" si="79"/>
        <v>666.66666666666663</v>
      </c>
      <c r="E685">
        <f t="shared" si="75"/>
        <v>0</v>
      </c>
      <c r="G685">
        <v>635</v>
      </c>
      <c r="H685" s="13">
        <f t="shared" si="80"/>
        <v>-7.7831728503952036E-4</v>
      </c>
      <c r="I685">
        <f t="shared" si="81"/>
        <v>155.79614380757499</v>
      </c>
      <c r="J685">
        <f t="shared" si="76"/>
        <v>665.66109549394332</v>
      </c>
      <c r="K685" s="27">
        <f t="shared" si="77"/>
        <v>-344.87521420874873</v>
      </c>
    </row>
    <row r="686" spans="1:11">
      <c r="A686" s="26">
        <v>636</v>
      </c>
      <c r="B686" s="82">
        <f t="shared" si="78"/>
        <v>0</v>
      </c>
      <c r="C686" s="58">
        <f t="shared" si="82"/>
        <v>156.29037528357509</v>
      </c>
      <c r="D686" s="83">
        <f t="shared" si="79"/>
        <v>666.66666666666663</v>
      </c>
      <c r="E686">
        <f t="shared" si="75"/>
        <v>0</v>
      </c>
      <c r="G686">
        <v>636</v>
      </c>
      <c r="H686" s="13">
        <f t="shared" si="80"/>
        <v>-7.7831728503952036E-4</v>
      </c>
      <c r="I686">
        <f t="shared" si="81"/>
        <v>155.79536549028995</v>
      </c>
      <c r="J686">
        <f t="shared" si="76"/>
        <v>665.65949683812516</v>
      </c>
      <c r="K686" s="27">
        <f t="shared" si="77"/>
        <v>-344.87355767489265</v>
      </c>
    </row>
    <row r="687" spans="1:11">
      <c r="A687" s="26">
        <v>637</v>
      </c>
      <c r="B687" s="82">
        <f t="shared" si="78"/>
        <v>0</v>
      </c>
      <c r="C687" s="58">
        <f t="shared" si="82"/>
        <v>156.29037528357509</v>
      </c>
      <c r="D687" s="83">
        <f t="shared" si="79"/>
        <v>666.66666666666663</v>
      </c>
      <c r="E687">
        <f t="shared" si="75"/>
        <v>0</v>
      </c>
      <c r="G687">
        <v>637</v>
      </c>
      <c r="H687" s="13">
        <f t="shared" si="80"/>
        <v>-7.7831728503952036E-4</v>
      </c>
      <c r="I687">
        <f t="shared" si="81"/>
        <v>155.79458717300491</v>
      </c>
      <c r="J687">
        <f t="shared" si="76"/>
        <v>665.65789813415631</v>
      </c>
      <c r="K687" s="27">
        <f t="shared" si="77"/>
        <v>-344.87190109511994</v>
      </c>
    </row>
    <row r="688" spans="1:11">
      <c r="A688" s="26">
        <v>638</v>
      </c>
      <c r="B688" s="82">
        <f t="shared" si="78"/>
        <v>0</v>
      </c>
      <c r="C688" s="58">
        <f t="shared" si="82"/>
        <v>156.29037528357509</v>
      </c>
      <c r="D688" s="83">
        <f t="shared" si="79"/>
        <v>666.66666666666663</v>
      </c>
      <c r="E688">
        <f t="shared" si="75"/>
        <v>0</v>
      </c>
      <c r="G688">
        <v>638</v>
      </c>
      <c r="H688" s="13">
        <f t="shared" si="80"/>
        <v>-7.7831728503952036E-4</v>
      </c>
      <c r="I688">
        <f t="shared" si="81"/>
        <v>155.79380885571987</v>
      </c>
      <c r="J688">
        <f t="shared" si="76"/>
        <v>665.65629938203301</v>
      </c>
      <c r="K688" s="27">
        <f t="shared" si="77"/>
        <v>-344.87024446942729</v>
      </c>
    </row>
    <row r="689" spans="1:11">
      <c r="A689" s="26">
        <v>639</v>
      </c>
      <c r="B689" s="82">
        <f t="shared" si="78"/>
        <v>0</v>
      </c>
      <c r="C689" s="58">
        <f t="shared" si="82"/>
        <v>156.29037528357509</v>
      </c>
      <c r="D689" s="83">
        <f t="shared" si="79"/>
        <v>666.66666666666663</v>
      </c>
      <c r="E689">
        <f t="shared" si="75"/>
        <v>0</v>
      </c>
      <c r="G689">
        <v>639</v>
      </c>
      <c r="H689" s="13">
        <f t="shared" si="80"/>
        <v>-7.7831728503952036E-4</v>
      </c>
      <c r="I689">
        <f t="shared" si="81"/>
        <v>155.79303053843483</v>
      </c>
      <c r="J689">
        <f t="shared" si="76"/>
        <v>665.65470058175197</v>
      </c>
      <c r="K689" s="27">
        <f t="shared" si="77"/>
        <v>-344.8685877978117</v>
      </c>
    </row>
    <row r="690" spans="1:11">
      <c r="A690" s="26">
        <v>640</v>
      </c>
      <c r="B690" s="82">
        <f t="shared" si="78"/>
        <v>0</v>
      </c>
      <c r="C690" s="58">
        <f t="shared" si="82"/>
        <v>156.29037528357509</v>
      </c>
      <c r="D690" s="83">
        <f t="shared" si="79"/>
        <v>666.66666666666663</v>
      </c>
      <c r="E690">
        <f t="shared" si="75"/>
        <v>0</v>
      </c>
      <c r="G690">
        <v>640</v>
      </c>
      <c r="H690" s="13">
        <f t="shared" si="80"/>
        <v>-7.7831728503952036E-4</v>
      </c>
      <c r="I690">
        <f t="shared" si="81"/>
        <v>155.79225222114979</v>
      </c>
      <c r="J690">
        <f t="shared" si="76"/>
        <v>665.65310173330965</v>
      </c>
      <c r="K690" s="27">
        <f t="shared" si="77"/>
        <v>-344.86693108026992</v>
      </c>
    </row>
    <row r="691" spans="1:11">
      <c r="A691" s="26">
        <v>641</v>
      </c>
      <c r="B691" s="82">
        <f t="shared" si="78"/>
        <v>0</v>
      </c>
      <c r="C691" s="58">
        <f t="shared" si="82"/>
        <v>156.29037528357509</v>
      </c>
      <c r="D691" s="83">
        <f t="shared" si="79"/>
        <v>666.66666666666663</v>
      </c>
      <c r="E691">
        <f t="shared" ref="E691:E754" si="83">((D691^2)+(D691*D692)+(D692^2))*B692/3</f>
        <v>0</v>
      </c>
      <c r="G691">
        <v>641</v>
      </c>
      <c r="H691" s="13">
        <f t="shared" si="80"/>
        <v>-7.7831728503952036E-4</v>
      </c>
      <c r="I691">
        <f t="shared" si="81"/>
        <v>155.79147390386476</v>
      </c>
      <c r="J691">
        <f t="shared" ref="J691:J754" si="84">IF($G$28&lt;$C$14,0,((($C$11^2)-((I691-$C$13)^2))^0.5)+$C$16)</f>
        <v>665.65150283670255</v>
      </c>
      <c r="K691" s="27">
        <f t="shared" ref="K691:K754" si="85">((J691^2)+(J691*J692)+(J692^2))*H692/3</f>
        <v>-344.86527431679821</v>
      </c>
    </row>
    <row r="692" spans="1:11">
      <c r="A692" s="26">
        <v>642</v>
      </c>
      <c r="B692" s="82">
        <f t="shared" ref="B692:B755" si="86">C692-C691</f>
        <v>0</v>
      </c>
      <c r="C692" s="58">
        <f t="shared" si="82"/>
        <v>156.29037528357509</v>
      </c>
      <c r="D692" s="83">
        <f t="shared" ref="D692:D755" si="87">IF($G$28&lt;$C$14,0,((($C$11^2)-((C692-$C$13)^2))^0.5)+$C$16)</f>
        <v>666.66666666666663</v>
      </c>
      <c r="E692">
        <f t="shared" si="83"/>
        <v>0</v>
      </c>
      <c r="G692">
        <v>642</v>
      </c>
      <c r="H692" s="13">
        <f t="shared" ref="H692:H755" si="88">I692-I691</f>
        <v>-7.7831728503952036E-4</v>
      </c>
      <c r="I692">
        <f t="shared" ref="I692:I755" si="89">($G$27-$C$14)/2000+I691</f>
        <v>155.79069558657972</v>
      </c>
      <c r="J692">
        <f t="shared" si="84"/>
        <v>665.6499038919269</v>
      </c>
      <c r="K692" s="27">
        <f t="shared" si="85"/>
        <v>-344.86361750739366</v>
      </c>
    </row>
    <row r="693" spans="1:11">
      <c r="A693" s="26">
        <v>643</v>
      </c>
      <c r="B693" s="82">
        <f t="shared" si="86"/>
        <v>0</v>
      </c>
      <c r="C693" s="58">
        <f t="shared" si="82"/>
        <v>156.29037528357509</v>
      </c>
      <c r="D693" s="83">
        <f t="shared" si="87"/>
        <v>666.66666666666663</v>
      </c>
      <c r="E693">
        <f t="shared" si="83"/>
        <v>0</v>
      </c>
      <c r="G693">
        <v>643</v>
      </c>
      <c r="H693" s="13">
        <f t="shared" si="88"/>
        <v>-7.7831728503952036E-4</v>
      </c>
      <c r="I693">
        <f t="shared" si="89"/>
        <v>155.78991726929468</v>
      </c>
      <c r="J693">
        <f t="shared" si="84"/>
        <v>665.64830489897952</v>
      </c>
      <c r="K693" s="27">
        <f t="shared" si="85"/>
        <v>-344.86196065205291</v>
      </c>
    </row>
    <row r="694" spans="1:11">
      <c r="A694" s="26">
        <v>644</v>
      </c>
      <c r="B694" s="82">
        <f t="shared" si="86"/>
        <v>0</v>
      </c>
      <c r="C694" s="58">
        <f t="shared" si="82"/>
        <v>156.29037528357509</v>
      </c>
      <c r="D694" s="83">
        <f t="shared" si="87"/>
        <v>666.66666666666663</v>
      </c>
      <c r="E694">
        <f t="shared" si="83"/>
        <v>0</v>
      </c>
      <c r="G694">
        <v>644</v>
      </c>
      <c r="H694" s="13">
        <f t="shared" si="88"/>
        <v>-7.7831728503952036E-4</v>
      </c>
      <c r="I694">
        <f t="shared" si="89"/>
        <v>155.78913895200964</v>
      </c>
      <c r="J694">
        <f t="shared" si="84"/>
        <v>665.64670585785666</v>
      </c>
      <c r="K694" s="27">
        <f t="shared" si="85"/>
        <v>-344.86030375077257</v>
      </c>
    </row>
    <row r="695" spans="1:11">
      <c r="A695" s="26">
        <v>645</v>
      </c>
      <c r="B695" s="82">
        <f t="shared" si="86"/>
        <v>0</v>
      </c>
      <c r="C695" s="58">
        <f t="shared" si="82"/>
        <v>156.29037528357509</v>
      </c>
      <c r="D695" s="83">
        <f t="shared" si="87"/>
        <v>666.66666666666663</v>
      </c>
      <c r="E695">
        <f t="shared" si="83"/>
        <v>0</v>
      </c>
      <c r="G695">
        <v>645</v>
      </c>
      <c r="H695" s="13">
        <f t="shared" si="88"/>
        <v>-7.7831728503952036E-4</v>
      </c>
      <c r="I695">
        <f t="shared" si="89"/>
        <v>155.7883606347246</v>
      </c>
      <c r="J695">
        <f t="shared" si="84"/>
        <v>665.64510676855491</v>
      </c>
      <c r="K695" s="27">
        <f t="shared" si="85"/>
        <v>-344.85864680354945</v>
      </c>
    </row>
    <row r="696" spans="1:11">
      <c r="A696" s="26">
        <v>646</v>
      </c>
      <c r="B696" s="82">
        <f t="shared" si="86"/>
        <v>0</v>
      </c>
      <c r="C696" s="58">
        <f t="shared" si="82"/>
        <v>156.29037528357509</v>
      </c>
      <c r="D696" s="83">
        <f t="shared" si="87"/>
        <v>666.66666666666663</v>
      </c>
      <c r="E696">
        <f t="shared" si="83"/>
        <v>0</v>
      </c>
      <c r="G696">
        <v>646</v>
      </c>
      <c r="H696" s="13">
        <f t="shared" si="88"/>
        <v>-7.7831728503952036E-4</v>
      </c>
      <c r="I696">
        <f t="shared" si="89"/>
        <v>155.78758231743956</v>
      </c>
      <c r="J696">
        <f t="shared" si="84"/>
        <v>665.64350763107075</v>
      </c>
      <c r="K696" s="27">
        <f t="shared" si="85"/>
        <v>-344.85698981038036</v>
      </c>
    </row>
    <row r="697" spans="1:11">
      <c r="A697" s="26">
        <v>647</v>
      </c>
      <c r="B697" s="82">
        <f t="shared" si="86"/>
        <v>0</v>
      </c>
      <c r="C697" s="58">
        <f t="shared" si="82"/>
        <v>156.29037528357509</v>
      </c>
      <c r="D697" s="83">
        <f t="shared" si="87"/>
        <v>666.66666666666663</v>
      </c>
      <c r="E697">
        <f t="shared" si="83"/>
        <v>0</v>
      </c>
      <c r="G697">
        <v>647</v>
      </c>
      <c r="H697" s="13">
        <f t="shared" si="88"/>
        <v>-7.7831728503952036E-4</v>
      </c>
      <c r="I697">
        <f t="shared" si="89"/>
        <v>155.78680400015452</v>
      </c>
      <c r="J697">
        <f t="shared" si="84"/>
        <v>665.64190844540065</v>
      </c>
      <c r="K697" s="27">
        <f t="shared" si="85"/>
        <v>-344.85533277126183</v>
      </c>
    </row>
    <row r="698" spans="1:11">
      <c r="A698" s="26">
        <v>648</v>
      </c>
      <c r="B698" s="82">
        <f t="shared" si="86"/>
        <v>0</v>
      </c>
      <c r="C698" s="58">
        <f t="shared" si="82"/>
        <v>156.29037528357509</v>
      </c>
      <c r="D698" s="83">
        <f t="shared" si="87"/>
        <v>666.66666666666663</v>
      </c>
      <c r="E698">
        <f t="shared" si="83"/>
        <v>0</v>
      </c>
      <c r="G698">
        <v>648</v>
      </c>
      <c r="H698" s="13">
        <f t="shared" si="88"/>
        <v>-7.7831728503952036E-4</v>
      </c>
      <c r="I698">
        <f t="shared" si="89"/>
        <v>155.78602568286948</v>
      </c>
      <c r="J698">
        <f t="shared" si="84"/>
        <v>665.64030921154097</v>
      </c>
      <c r="K698" s="27">
        <f t="shared" si="85"/>
        <v>-344.85367568619057</v>
      </c>
    </row>
    <row r="699" spans="1:11">
      <c r="A699" s="26">
        <v>649</v>
      </c>
      <c r="B699" s="82">
        <f t="shared" si="86"/>
        <v>0</v>
      </c>
      <c r="C699" s="58">
        <f t="shared" si="82"/>
        <v>156.29037528357509</v>
      </c>
      <c r="D699" s="83">
        <f t="shared" si="87"/>
        <v>666.66666666666663</v>
      </c>
      <c r="E699">
        <f t="shared" si="83"/>
        <v>0</v>
      </c>
      <c r="G699">
        <v>649</v>
      </c>
      <c r="H699" s="13">
        <f t="shared" si="88"/>
        <v>-7.7831728503952036E-4</v>
      </c>
      <c r="I699">
        <f t="shared" si="89"/>
        <v>155.78524736558444</v>
      </c>
      <c r="J699">
        <f t="shared" si="84"/>
        <v>665.63870992948841</v>
      </c>
      <c r="K699" s="27">
        <f t="shared" si="85"/>
        <v>-344.8520185551634</v>
      </c>
    </row>
    <row r="700" spans="1:11">
      <c r="A700" s="26">
        <v>650</v>
      </c>
      <c r="B700" s="82">
        <f t="shared" si="86"/>
        <v>0</v>
      </c>
      <c r="C700" s="58">
        <f t="shared" si="82"/>
        <v>156.29037528357509</v>
      </c>
      <c r="D700" s="83">
        <f t="shared" si="87"/>
        <v>666.66666666666663</v>
      </c>
      <c r="E700">
        <f t="shared" si="83"/>
        <v>0</v>
      </c>
      <c r="G700">
        <v>650</v>
      </c>
      <c r="H700" s="13">
        <f t="shared" si="88"/>
        <v>-7.7831728503952036E-4</v>
      </c>
      <c r="I700">
        <f t="shared" si="89"/>
        <v>155.7844690482994</v>
      </c>
      <c r="J700">
        <f t="shared" si="84"/>
        <v>665.63711059923924</v>
      </c>
      <c r="K700" s="27">
        <f t="shared" si="85"/>
        <v>-344.85036137817701</v>
      </c>
    </row>
    <row r="701" spans="1:11">
      <c r="A701" s="26">
        <v>651</v>
      </c>
      <c r="B701" s="82">
        <f t="shared" si="86"/>
        <v>0</v>
      </c>
      <c r="C701" s="58">
        <f t="shared" si="82"/>
        <v>156.29037528357509</v>
      </c>
      <c r="D701" s="83">
        <f t="shared" si="87"/>
        <v>666.66666666666663</v>
      </c>
      <c r="E701">
        <f t="shared" si="83"/>
        <v>0</v>
      </c>
      <c r="G701">
        <v>651</v>
      </c>
      <c r="H701" s="13">
        <f t="shared" si="88"/>
        <v>-7.7831728503952036E-4</v>
      </c>
      <c r="I701">
        <f t="shared" si="89"/>
        <v>155.78369073101436</v>
      </c>
      <c r="J701">
        <f t="shared" si="84"/>
        <v>665.63551122079002</v>
      </c>
      <c r="K701" s="27">
        <f t="shared" si="85"/>
        <v>-344.84870415522795</v>
      </c>
    </row>
    <row r="702" spans="1:11">
      <c r="A702" s="26">
        <v>652</v>
      </c>
      <c r="B702" s="82">
        <f t="shared" si="86"/>
        <v>0</v>
      </c>
      <c r="C702" s="58">
        <f t="shared" si="82"/>
        <v>156.29037528357509</v>
      </c>
      <c r="D702" s="83">
        <f t="shared" si="87"/>
        <v>666.66666666666663</v>
      </c>
      <c r="E702">
        <f t="shared" si="83"/>
        <v>0</v>
      </c>
      <c r="G702">
        <v>652</v>
      </c>
      <c r="H702" s="13">
        <f t="shared" si="88"/>
        <v>-7.7831728503952036E-4</v>
      </c>
      <c r="I702">
        <f t="shared" si="89"/>
        <v>155.78291241372932</v>
      </c>
      <c r="J702">
        <f t="shared" si="84"/>
        <v>665.63391179413713</v>
      </c>
      <c r="K702" s="27">
        <f t="shared" si="85"/>
        <v>-344.84704688631314</v>
      </c>
    </row>
    <row r="703" spans="1:11">
      <c r="A703" s="26">
        <v>653</v>
      </c>
      <c r="B703" s="82">
        <f t="shared" si="86"/>
        <v>0</v>
      </c>
      <c r="C703" s="58">
        <f t="shared" si="82"/>
        <v>156.29037528357509</v>
      </c>
      <c r="D703" s="83">
        <f t="shared" si="87"/>
        <v>666.66666666666663</v>
      </c>
      <c r="E703">
        <f t="shared" si="83"/>
        <v>0</v>
      </c>
      <c r="G703">
        <v>653</v>
      </c>
      <c r="H703" s="13">
        <f t="shared" si="88"/>
        <v>-7.7831728503952036E-4</v>
      </c>
      <c r="I703">
        <f t="shared" si="89"/>
        <v>155.78213409644428</v>
      </c>
      <c r="J703">
        <f t="shared" si="84"/>
        <v>665.63231231927728</v>
      </c>
      <c r="K703" s="27">
        <f t="shared" si="85"/>
        <v>-344.84538957142922</v>
      </c>
    </row>
    <row r="704" spans="1:11">
      <c r="A704" s="26">
        <v>654</v>
      </c>
      <c r="B704" s="82">
        <f t="shared" si="86"/>
        <v>0</v>
      </c>
      <c r="C704" s="58">
        <f t="shared" si="82"/>
        <v>156.29037528357509</v>
      </c>
      <c r="D704" s="83">
        <f t="shared" si="87"/>
        <v>666.66666666666663</v>
      </c>
      <c r="E704">
        <f t="shared" si="83"/>
        <v>0</v>
      </c>
      <c r="G704">
        <v>654</v>
      </c>
      <c r="H704" s="13">
        <f t="shared" si="88"/>
        <v>-7.7831728503952036E-4</v>
      </c>
      <c r="I704">
        <f t="shared" si="89"/>
        <v>155.78135577915924</v>
      </c>
      <c r="J704">
        <f t="shared" si="84"/>
        <v>665.63071279620681</v>
      </c>
      <c r="K704" s="27">
        <f t="shared" si="85"/>
        <v>-344.84373221057285</v>
      </c>
    </row>
    <row r="705" spans="1:11">
      <c r="A705" s="26">
        <v>655</v>
      </c>
      <c r="B705" s="82">
        <f t="shared" si="86"/>
        <v>0</v>
      </c>
      <c r="C705" s="58">
        <f t="shared" si="82"/>
        <v>156.29037528357509</v>
      </c>
      <c r="D705" s="83">
        <f t="shared" si="87"/>
        <v>666.66666666666663</v>
      </c>
      <c r="E705">
        <f t="shared" si="83"/>
        <v>0</v>
      </c>
      <c r="G705">
        <v>655</v>
      </c>
      <c r="H705" s="13">
        <f t="shared" si="88"/>
        <v>-7.7831728503952036E-4</v>
      </c>
      <c r="I705">
        <f t="shared" si="89"/>
        <v>155.7805774618742</v>
      </c>
      <c r="J705">
        <f t="shared" si="84"/>
        <v>665.62911322492209</v>
      </c>
      <c r="K705" s="27">
        <f t="shared" si="85"/>
        <v>-344.84207480374079</v>
      </c>
    </row>
    <row r="706" spans="1:11">
      <c r="A706" s="26">
        <v>656</v>
      </c>
      <c r="B706" s="82">
        <f t="shared" si="86"/>
        <v>0</v>
      </c>
      <c r="C706" s="58">
        <f t="shared" si="82"/>
        <v>156.29037528357509</v>
      </c>
      <c r="D706" s="83">
        <f t="shared" si="87"/>
        <v>666.66666666666663</v>
      </c>
      <c r="E706">
        <f t="shared" si="83"/>
        <v>0</v>
      </c>
      <c r="G706">
        <v>656</v>
      </c>
      <c r="H706" s="13">
        <f t="shared" si="88"/>
        <v>-7.7831728503952036E-4</v>
      </c>
      <c r="I706">
        <f t="shared" si="89"/>
        <v>155.77979914458916</v>
      </c>
      <c r="J706">
        <f t="shared" si="84"/>
        <v>665.62751360541984</v>
      </c>
      <c r="K706" s="27">
        <f t="shared" si="85"/>
        <v>-344.84041735092978</v>
      </c>
    </row>
    <row r="707" spans="1:11">
      <c r="A707" s="26">
        <v>657</v>
      </c>
      <c r="B707" s="82">
        <f t="shared" si="86"/>
        <v>0</v>
      </c>
      <c r="C707" s="58">
        <f t="shared" si="82"/>
        <v>156.29037528357509</v>
      </c>
      <c r="D707" s="83">
        <f t="shared" si="87"/>
        <v>666.66666666666663</v>
      </c>
      <c r="E707">
        <f t="shared" si="83"/>
        <v>0</v>
      </c>
      <c r="G707">
        <v>657</v>
      </c>
      <c r="H707" s="13">
        <f t="shared" si="88"/>
        <v>-7.7831728503952036E-4</v>
      </c>
      <c r="I707">
        <f t="shared" si="89"/>
        <v>155.77902082730412</v>
      </c>
      <c r="J707">
        <f t="shared" si="84"/>
        <v>665.62591393769617</v>
      </c>
      <c r="K707" s="27">
        <f t="shared" si="85"/>
        <v>-344.83875985213643</v>
      </c>
    </row>
    <row r="708" spans="1:11">
      <c r="A708" s="26">
        <v>658</v>
      </c>
      <c r="B708" s="82">
        <f t="shared" si="86"/>
        <v>0</v>
      </c>
      <c r="C708" s="58">
        <f t="shared" si="82"/>
        <v>156.29037528357509</v>
      </c>
      <c r="D708" s="83">
        <f t="shared" si="87"/>
        <v>666.66666666666663</v>
      </c>
      <c r="E708">
        <f t="shared" si="83"/>
        <v>0</v>
      </c>
      <c r="G708">
        <v>658</v>
      </c>
      <c r="H708" s="13">
        <f t="shared" si="88"/>
        <v>-7.7831728503952036E-4</v>
      </c>
      <c r="I708">
        <f t="shared" si="89"/>
        <v>155.77824251001908</v>
      </c>
      <c r="J708">
        <f t="shared" si="84"/>
        <v>665.62431422174802</v>
      </c>
      <c r="K708" s="27">
        <f t="shared" si="85"/>
        <v>-344.83710230735738</v>
      </c>
    </row>
    <row r="709" spans="1:11">
      <c r="A709" s="26">
        <v>659</v>
      </c>
      <c r="B709" s="82">
        <f t="shared" si="86"/>
        <v>0</v>
      </c>
      <c r="C709" s="58">
        <f t="shared" si="82"/>
        <v>156.29037528357509</v>
      </c>
      <c r="D709" s="83">
        <f t="shared" si="87"/>
        <v>666.66666666666663</v>
      </c>
      <c r="E709">
        <f t="shared" si="83"/>
        <v>0</v>
      </c>
      <c r="G709">
        <v>659</v>
      </c>
      <c r="H709" s="13">
        <f t="shared" si="88"/>
        <v>-7.7831728503952036E-4</v>
      </c>
      <c r="I709">
        <f t="shared" si="89"/>
        <v>155.77746419273404</v>
      </c>
      <c r="J709">
        <f t="shared" si="84"/>
        <v>665.62271445757142</v>
      </c>
      <c r="K709" s="27">
        <f t="shared" si="85"/>
        <v>-344.83544471658956</v>
      </c>
    </row>
    <row r="710" spans="1:11">
      <c r="A710" s="26">
        <v>660</v>
      </c>
      <c r="B710" s="82">
        <f t="shared" si="86"/>
        <v>0</v>
      </c>
      <c r="C710" s="58">
        <f t="shared" si="82"/>
        <v>156.29037528357509</v>
      </c>
      <c r="D710" s="83">
        <f t="shared" si="87"/>
        <v>666.66666666666663</v>
      </c>
      <c r="E710">
        <f t="shared" si="83"/>
        <v>0</v>
      </c>
      <c r="G710">
        <v>660</v>
      </c>
      <c r="H710" s="13">
        <f t="shared" si="88"/>
        <v>-7.7831728503952036E-4</v>
      </c>
      <c r="I710">
        <f t="shared" si="89"/>
        <v>155.776685875449</v>
      </c>
      <c r="J710">
        <f t="shared" si="84"/>
        <v>665.62111464516317</v>
      </c>
      <c r="K710" s="27">
        <f t="shared" si="85"/>
        <v>-344.83378707982962</v>
      </c>
    </row>
    <row r="711" spans="1:11">
      <c r="A711" s="26">
        <v>661</v>
      </c>
      <c r="B711" s="82">
        <f t="shared" si="86"/>
        <v>0</v>
      </c>
      <c r="C711" s="58">
        <f t="shared" si="82"/>
        <v>156.29037528357509</v>
      </c>
      <c r="D711" s="83">
        <f t="shared" si="87"/>
        <v>666.66666666666663</v>
      </c>
      <c r="E711">
        <f t="shared" si="83"/>
        <v>0</v>
      </c>
      <c r="G711">
        <v>661</v>
      </c>
      <c r="H711" s="13">
        <f t="shared" si="88"/>
        <v>-7.7831728503952036E-4</v>
      </c>
      <c r="I711">
        <f t="shared" si="89"/>
        <v>155.77590755816396</v>
      </c>
      <c r="J711">
        <f t="shared" si="84"/>
        <v>665.61951478451954</v>
      </c>
      <c r="K711" s="27">
        <f t="shared" si="85"/>
        <v>-344.83212939707414</v>
      </c>
    </row>
    <row r="712" spans="1:11">
      <c r="A712" s="26">
        <v>662</v>
      </c>
      <c r="B712" s="82">
        <f t="shared" si="86"/>
        <v>0</v>
      </c>
      <c r="C712" s="58">
        <f t="shared" si="82"/>
        <v>156.29037528357509</v>
      </c>
      <c r="D712" s="83">
        <f t="shared" si="87"/>
        <v>666.66666666666663</v>
      </c>
      <c r="E712">
        <f t="shared" si="83"/>
        <v>0</v>
      </c>
      <c r="G712">
        <v>662</v>
      </c>
      <c r="H712" s="13">
        <f t="shared" si="88"/>
        <v>-7.7831728503952036E-4</v>
      </c>
      <c r="I712">
        <f t="shared" si="89"/>
        <v>155.77512924087893</v>
      </c>
      <c r="J712">
        <f t="shared" si="84"/>
        <v>665.6179148756371</v>
      </c>
      <c r="K712" s="27">
        <f t="shared" si="85"/>
        <v>-344.83047166831994</v>
      </c>
    </row>
    <row r="713" spans="1:11">
      <c r="A713" s="26">
        <v>663</v>
      </c>
      <c r="B713" s="82">
        <f t="shared" si="86"/>
        <v>0</v>
      </c>
      <c r="C713" s="58">
        <f t="shared" si="82"/>
        <v>156.29037528357509</v>
      </c>
      <c r="D713" s="83">
        <f t="shared" si="87"/>
        <v>666.66666666666663</v>
      </c>
      <c r="E713">
        <f t="shared" si="83"/>
        <v>0</v>
      </c>
      <c r="G713">
        <v>663</v>
      </c>
      <c r="H713" s="13">
        <f t="shared" si="88"/>
        <v>-7.7831728503952036E-4</v>
      </c>
      <c r="I713">
        <f t="shared" si="89"/>
        <v>155.77435092359389</v>
      </c>
      <c r="J713">
        <f t="shared" si="84"/>
        <v>665.61631491851233</v>
      </c>
      <c r="K713" s="27">
        <f t="shared" si="85"/>
        <v>-344.82881389356368</v>
      </c>
    </row>
    <row r="714" spans="1:11">
      <c r="A714" s="26">
        <v>664</v>
      </c>
      <c r="B714" s="82">
        <f t="shared" si="86"/>
        <v>0</v>
      </c>
      <c r="C714" s="58">
        <f t="shared" si="82"/>
        <v>156.29037528357509</v>
      </c>
      <c r="D714" s="83">
        <f t="shared" si="87"/>
        <v>666.66666666666663</v>
      </c>
      <c r="E714">
        <f t="shared" si="83"/>
        <v>0</v>
      </c>
      <c r="G714">
        <v>664</v>
      </c>
      <c r="H714" s="13">
        <f t="shared" si="88"/>
        <v>-7.7831728503952036E-4</v>
      </c>
      <c r="I714">
        <f t="shared" si="89"/>
        <v>155.77357260630885</v>
      </c>
      <c r="J714">
        <f t="shared" si="84"/>
        <v>665.6147149131416</v>
      </c>
      <c r="K714" s="27">
        <f t="shared" si="85"/>
        <v>-344.82715607280198</v>
      </c>
    </row>
    <row r="715" spans="1:11">
      <c r="A715" s="26">
        <v>665</v>
      </c>
      <c r="B715" s="82">
        <f t="shared" si="86"/>
        <v>0</v>
      </c>
      <c r="C715" s="58">
        <f t="shared" si="82"/>
        <v>156.29037528357509</v>
      </c>
      <c r="D715" s="83">
        <f t="shared" si="87"/>
        <v>666.66666666666663</v>
      </c>
      <c r="E715">
        <f t="shared" si="83"/>
        <v>0</v>
      </c>
      <c r="G715">
        <v>665</v>
      </c>
      <c r="H715" s="13">
        <f t="shared" si="88"/>
        <v>-7.7831728503952036E-4</v>
      </c>
      <c r="I715">
        <f t="shared" si="89"/>
        <v>155.77279428902381</v>
      </c>
      <c r="J715">
        <f t="shared" si="84"/>
        <v>665.61311485952149</v>
      </c>
      <c r="K715" s="27">
        <f t="shared" si="85"/>
        <v>-344.82549820603168</v>
      </c>
    </row>
    <row r="716" spans="1:11">
      <c r="A716" s="26">
        <v>666</v>
      </c>
      <c r="B716" s="82">
        <f t="shared" si="86"/>
        <v>0</v>
      </c>
      <c r="C716" s="58">
        <f t="shared" si="82"/>
        <v>156.29037528357509</v>
      </c>
      <c r="D716" s="83">
        <f t="shared" si="87"/>
        <v>666.66666666666663</v>
      </c>
      <c r="E716">
        <f t="shared" si="83"/>
        <v>0</v>
      </c>
      <c r="G716">
        <v>666</v>
      </c>
      <c r="H716" s="13">
        <f t="shared" si="88"/>
        <v>-7.7831728503952036E-4</v>
      </c>
      <c r="I716">
        <f t="shared" si="89"/>
        <v>155.77201597173877</v>
      </c>
      <c r="J716">
        <f t="shared" si="84"/>
        <v>665.61151475764837</v>
      </c>
      <c r="K716" s="27">
        <f t="shared" si="85"/>
        <v>-344.82384029324948</v>
      </c>
    </row>
    <row r="717" spans="1:11">
      <c r="A717" s="26">
        <v>667</v>
      </c>
      <c r="B717" s="82">
        <f t="shared" si="86"/>
        <v>0</v>
      </c>
      <c r="C717" s="58">
        <f t="shared" si="82"/>
        <v>156.29037528357509</v>
      </c>
      <c r="D717" s="83">
        <f t="shared" si="87"/>
        <v>666.66666666666663</v>
      </c>
      <c r="E717">
        <f t="shared" si="83"/>
        <v>0</v>
      </c>
      <c r="G717">
        <v>667</v>
      </c>
      <c r="H717" s="13">
        <f t="shared" si="88"/>
        <v>-7.7831728503952036E-4</v>
      </c>
      <c r="I717">
        <f t="shared" si="89"/>
        <v>155.77123765445373</v>
      </c>
      <c r="J717">
        <f t="shared" si="84"/>
        <v>665.60991460751882</v>
      </c>
      <c r="K717" s="27">
        <f t="shared" si="85"/>
        <v>-344.82218233445195</v>
      </c>
    </row>
    <row r="718" spans="1:11">
      <c r="A718" s="26">
        <v>668</v>
      </c>
      <c r="B718" s="82">
        <f t="shared" si="86"/>
        <v>0</v>
      </c>
      <c r="C718" s="58">
        <f t="shared" si="82"/>
        <v>156.29037528357509</v>
      </c>
      <c r="D718" s="83">
        <f t="shared" si="87"/>
        <v>666.66666666666663</v>
      </c>
      <c r="E718">
        <f t="shared" si="83"/>
        <v>0</v>
      </c>
      <c r="G718">
        <v>668</v>
      </c>
      <c r="H718" s="13">
        <f t="shared" si="88"/>
        <v>-7.7831728503952036E-4</v>
      </c>
      <c r="I718">
        <f t="shared" si="89"/>
        <v>155.77045933716869</v>
      </c>
      <c r="J718">
        <f t="shared" si="84"/>
        <v>665.60831440912921</v>
      </c>
      <c r="K718" s="27">
        <f t="shared" si="85"/>
        <v>-344.82052432963582</v>
      </c>
    </row>
    <row r="719" spans="1:11">
      <c r="A719" s="26">
        <v>669</v>
      </c>
      <c r="B719" s="82">
        <f t="shared" si="86"/>
        <v>0</v>
      </c>
      <c r="C719" s="58">
        <f t="shared" si="82"/>
        <v>156.29037528357509</v>
      </c>
      <c r="D719" s="83">
        <f t="shared" si="87"/>
        <v>666.66666666666663</v>
      </c>
      <c r="E719">
        <f t="shared" si="83"/>
        <v>0</v>
      </c>
      <c r="G719">
        <v>669</v>
      </c>
      <c r="H719" s="13">
        <f t="shared" si="88"/>
        <v>-7.7831728503952036E-4</v>
      </c>
      <c r="I719">
        <f t="shared" si="89"/>
        <v>155.76968101988365</v>
      </c>
      <c r="J719">
        <f t="shared" si="84"/>
        <v>665.60671416247612</v>
      </c>
      <c r="K719" s="27">
        <f t="shared" si="85"/>
        <v>-344.81886627879794</v>
      </c>
    </row>
    <row r="720" spans="1:11">
      <c r="A720" s="26">
        <v>670</v>
      </c>
      <c r="B720" s="82">
        <f t="shared" si="86"/>
        <v>0</v>
      </c>
      <c r="C720" s="58">
        <f t="shared" ref="C720:C783" si="90">($C$37-$C$36)/2000+C719</f>
        <v>156.29037528357509</v>
      </c>
      <c r="D720" s="83">
        <f t="shared" si="87"/>
        <v>666.66666666666663</v>
      </c>
      <c r="E720">
        <f t="shared" si="83"/>
        <v>0</v>
      </c>
      <c r="G720">
        <v>670</v>
      </c>
      <c r="H720" s="13">
        <f t="shared" si="88"/>
        <v>-7.7831728503952036E-4</v>
      </c>
      <c r="I720">
        <f t="shared" si="89"/>
        <v>155.76890270259861</v>
      </c>
      <c r="J720">
        <f t="shared" si="84"/>
        <v>665.60511386755593</v>
      </c>
      <c r="K720" s="27">
        <f t="shared" si="85"/>
        <v>-344.81720818193486</v>
      </c>
    </row>
    <row r="721" spans="1:11">
      <c r="A721" s="26">
        <v>671</v>
      </c>
      <c r="B721" s="82">
        <f t="shared" si="86"/>
        <v>0</v>
      </c>
      <c r="C721" s="58">
        <f t="shared" si="90"/>
        <v>156.29037528357509</v>
      </c>
      <c r="D721" s="83">
        <f t="shared" si="87"/>
        <v>666.66666666666663</v>
      </c>
      <c r="E721">
        <f t="shared" si="83"/>
        <v>0</v>
      </c>
      <c r="G721">
        <v>671</v>
      </c>
      <c r="H721" s="13">
        <f t="shared" si="88"/>
        <v>-7.7831728503952036E-4</v>
      </c>
      <c r="I721">
        <f t="shared" si="89"/>
        <v>155.76812438531357</v>
      </c>
      <c r="J721">
        <f t="shared" si="84"/>
        <v>665.6035135243651</v>
      </c>
      <c r="K721" s="27">
        <f t="shared" si="85"/>
        <v>-344.81555003904333</v>
      </c>
    </row>
    <row r="722" spans="1:11">
      <c r="A722" s="26">
        <v>672</v>
      </c>
      <c r="B722" s="82">
        <f t="shared" si="86"/>
        <v>0</v>
      </c>
      <c r="C722" s="58">
        <f t="shared" si="90"/>
        <v>156.29037528357509</v>
      </c>
      <c r="D722" s="83">
        <f t="shared" si="87"/>
        <v>666.66666666666663</v>
      </c>
      <c r="E722">
        <f t="shared" si="83"/>
        <v>0</v>
      </c>
      <c r="G722">
        <v>672</v>
      </c>
      <c r="H722" s="13">
        <f t="shared" si="88"/>
        <v>-7.7831728503952036E-4</v>
      </c>
      <c r="I722">
        <f t="shared" si="89"/>
        <v>155.76734606802853</v>
      </c>
      <c r="J722">
        <f t="shared" si="84"/>
        <v>665.60191313290011</v>
      </c>
      <c r="K722" s="27">
        <f t="shared" si="85"/>
        <v>-344.81389185012011</v>
      </c>
    </row>
    <row r="723" spans="1:11">
      <c r="A723" s="26">
        <v>673</v>
      </c>
      <c r="B723" s="82">
        <f t="shared" si="86"/>
        <v>0</v>
      </c>
      <c r="C723" s="58">
        <f t="shared" si="90"/>
        <v>156.29037528357509</v>
      </c>
      <c r="D723" s="83">
        <f t="shared" si="87"/>
        <v>666.66666666666663</v>
      </c>
      <c r="E723">
        <f t="shared" si="83"/>
        <v>0</v>
      </c>
      <c r="G723">
        <v>673</v>
      </c>
      <c r="H723" s="13">
        <f t="shared" si="88"/>
        <v>-7.7831728503952036E-4</v>
      </c>
      <c r="I723">
        <f t="shared" si="89"/>
        <v>155.76656775074349</v>
      </c>
      <c r="J723">
        <f t="shared" si="84"/>
        <v>665.60031269315743</v>
      </c>
      <c r="K723" s="27">
        <f t="shared" si="85"/>
        <v>-344.8122336151618</v>
      </c>
    </row>
    <row r="724" spans="1:11">
      <c r="A724" s="26">
        <v>674</v>
      </c>
      <c r="B724" s="82">
        <f t="shared" si="86"/>
        <v>0</v>
      </c>
      <c r="C724" s="58">
        <f t="shared" si="90"/>
        <v>156.29037528357509</v>
      </c>
      <c r="D724" s="83">
        <f t="shared" si="87"/>
        <v>666.66666666666663</v>
      </c>
      <c r="E724">
        <f t="shared" si="83"/>
        <v>0</v>
      </c>
      <c r="G724">
        <v>674</v>
      </c>
      <c r="H724" s="13">
        <f t="shared" si="88"/>
        <v>-7.7831728503952036E-4</v>
      </c>
      <c r="I724">
        <f t="shared" si="89"/>
        <v>155.76578943345845</v>
      </c>
      <c r="J724">
        <f t="shared" si="84"/>
        <v>665.59871220513367</v>
      </c>
      <c r="K724" s="27">
        <f t="shared" si="85"/>
        <v>-344.81057533416515</v>
      </c>
    </row>
    <row r="725" spans="1:11">
      <c r="A725" s="26">
        <v>675</v>
      </c>
      <c r="B725" s="82">
        <f t="shared" si="86"/>
        <v>0</v>
      </c>
      <c r="C725" s="58">
        <f t="shared" si="90"/>
        <v>156.29037528357509</v>
      </c>
      <c r="D725" s="83">
        <f t="shared" si="87"/>
        <v>666.66666666666663</v>
      </c>
      <c r="E725">
        <f t="shared" si="83"/>
        <v>0</v>
      </c>
      <c r="G725">
        <v>675</v>
      </c>
      <c r="H725" s="13">
        <f t="shared" si="88"/>
        <v>-7.7831728503952036E-4</v>
      </c>
      <c r="I725">
        <f t="shared" si="89"/>
        <v>155.76501111617341</v>
      </c>
      <c r="J725">
        <f t="shared" si="84"/>
        <v>665.59711166882505</v>
      </c>
      <c r="K725" s="27">
        <f t="shared" si="85"/>
        <v>-344.80891700712687</v>
      </c>
    </row>
    <row r="726" spans="1:11">
      <c r="A726" s="26">
        <v>676</v>
      </c>
      <c r="B726" s="82">
        <f t="shared" si="86"/>
        <v>0</v>
      </c>
      <c r="C726" s="58">
        <f t="shared" si="90"/>
        <v>156.29037528357509</v>
      </c>
      <c r="D726" s="83">
        <f t="shared" si="87"/>
        <v>666.66666666666663</v>
      </c>
      <c r="E726">
        <f t="shared" si="83"/>
        <v>0</v>
      </c>
      <c r="G726">
        <v>676</v>
      </c>
      <c r="H726" s="13">
        <f t="shared" si="88"/>
        <v>-7.7831728503952036E-4</v>
      </c>
      <c r="I726">
        <f t="shared" si="89"/>
        <v>155.76423279888837</v>
      </c>
      <c r="J726">
        <f t="shared" si="84"/>
        <v>665.59551108422818</v>
      </c>
      <c r="K726" s="27">
        <f t="shared" si="85"/>
        <v>-344.80725863404376</v>
      </c>
    </row>
    <row r="727" spans="1:11">
      <c r="A727" s="26">
        <v>677</v>
      </c>
      <c r="B727" s="82">
        <f t="shared" si="86"/>
        <v>0</v>
      </c>
      <c r="C727" s="58">
        <f t="shared" si="90"/>
        <v>156.29037528357509</v>
      </c>
      <c r="D727" s="83">
        <f t="shared" si="87"/>
        <v>666.66666666666663</v>
      </c>
      <c r="E727">
        <f t="shared" si="83"/>
        <v>0</v>
      </c>
      <c r="G727">
        <v>677</v>
      </c>
      <c r="H727" s="13">
        <f t="shared" si="88"/>
        <v>-7.7831728503952036E-4</v>
      </c>
      <c r="I727">
        <f t="shared" si="89"/>
        <v>155.76345448160333</v>
      </c>
      <c r="J727">
        <f t="shared" si="84"/>
        <v>665.59391045133953</v>
      </c>
      <c r="K727" s="27">
        <f t="shared" si="85"/>
        <v>-344.8056002149122</v>
      </c>
    </row>
    <row r="728" spans="1:11">
      <c r="A728" s="26">
        <v>678</v>
      </c>
      <c r="B728" s="82">
        <f t="shared" si="86"/>
        <v>0</v>
      </c>
      <c r="C728" s="58">
        <f t="shared" si="90"/>
        <v>156.29037528357509</v>
      </c>
      <c r="D728" s="83">
        <f t="shared" si="87"/>
        <v>666.66666666666663</v>
      </c>
      <c r="E728">
        <f t="shared" si="83"/>
        <v>0</v>
      </c>
      <c r="G728">
        <v>678</v>
      </c>
      <c r="H728" s="13">
        <f t="shared" si="88"/>
        <v>-7.7831728503952036E-4</v>
      </c>
      <c r="I728">
        <f t="shared" si="89"/>
        <v>155.76267616431829</v>
      </c>
      <c r="J728">
        <f t="shared" si="84"/>
        <v>665.59230977015545</v>
      </c>
      <c r="K728" s="27">
        <f t="shared" si="85"/>
        <v>-344.80394174972912</v>
      </c>
    </row>
    <row r="729" spans="1:11">
      <c r="A729" s="26">
        <v>679</v>
      </c>
      <c r="B729" s="82">
        <f t="shared" si="86"/>
        <v>0</v>
      </c>
      <c r="C729" s="58">
        <f t="shared" si="90"/>
        <v>156.29037528357509</v>
      </c>
      <c r="D729" s="83">
        <f t="shared" si="87"/>
        <v>666.66666666666663</v>
      </c>
      <c r="E729">
        <f t="shared" si="83"/>
        <v>0</v>
      </c>
      <c r="G729">
        <v>679</v>
      </c>
      <c r="H729" s="13">
        <f t="shared" si="88"/>
        <v>-7.7831728503952036E-4</v>
      </c>
      <c r="I729">
        <f t="shared" si="89"/>
        <v>155.76189784703325</v>
      </c>
      <c r="J729">
        <f t="shared" si="84"/>
        <v>665.59070904067255</v>
      </c>
      <c r="K729" s="27">
        <f t="shared" si="85"/>
        <v>-344.80228323849127</v>
      </c>
    </row>
    <row r="730" spans="1:11">
      <c r="A730" s="26">
        <v>680</v>
      </c>
      <c r="B730" s="82">
        <f t="shared" si="86"/>
        <v>0</v>
      </c>
      <c r="C730" s="58">
        <f t="shared" si="90"/>
        <v>156.29037528357509</v>
      </c>
      <c r="D730" s="83">
        <f t="shared" si="87"/>
        <v>666.66666666666663</v>
      </c>
      <c r="E730">
        <f t="shared" si="83"/>
        <v>0</v>
      </c>
      <c r="G730">
        <v>680</v>
      </c>
      <c r="H730" s="13">
        <f t="shared" si="88"/>
        <v>-7.7831728503952036E-4</v>
      </c>
      <c r="I730">
        <f t="shared" si="89"/>
        <v>155.76111952974821</v>
      </c>
      <c r="J730">
        <f t="shared" si="84"/>
        <v>665.58910826288729</v>
      </c>
      <c r="K730" s="27">
        <f t="shared" si="85"/>
        <v>-344.8006246811953</v>
      </c>
    </row>
    <row r="731" spans="1:11">
      <c r="A731" s="26">
        <v>681</v>
      </c>
      <c r="B731" s="82">
        <f t="shared" si="86"/>
        <v>0</v>
      </c>
      <c r="C731" s="58">
        <f t="shared" si="90"/>
        <v>156.29037528357509</v>
      </c>
      <c r="D731" s="83">
        <f t="shared" si="87"/>
        <v>666.66666666666663</v>
      </c>
      <c r="E731">
        <f t="shared" si="83"/>
        <v>0</v>
      </c>
      <c r="G731">
        <v>681</v>
      </c>
      <c r="H731" s="13">
        <f t="shared" si="88"/>
        <v>-7.7831728503952036E-4</v>
      </c>
      <c r="I731">
        <f t="shared" si="89"/>
        <v>155.76034121246317</v>
      </c>
      <c r="J731">
        <f t="shared" si="84"/>
        <v>665.58750743679593</v>
      </c>
      <c r="K731" s="27">
        <f t="shared" si="85"/>
        <v>-344.79896607783775</v>
      </c>
    </row>
    <row r="732" spans="1:11">
      <c r="A732" s="26">
        <v>682</v>
      </c>
      <c r="B732" s="82">
        <f t="shared" si="86"/>
        <v>0</v>
      </c>
      <c r="C732" s="58">
        <f t="shared" si="90"/>
        <v>156.29037528357509</v>
      </c>
      <c r="D732" s="83">
        <f t="shared" si="87"/>
        <v>666.66666666666663</v>
      </c>
      <c r="E732">
        <f t="shared" si="83"/>
        <v>0</v>
      </c>
      <c r="G732">
        <v>682</v>
      </c>
      <c r="H732" s="13">
        <f t="shared" si="88"/>
        <v>-7.7831728503952036E-4</v>
      </c>
      <c r="I732">
        <f t="shared" si="89"/>
        <v>155.75956289517814</v>
      </c>
      <c r="J732">
        <f t="shared" si="84"/>
        <v>665.58590656239517</v>
      </c>
      <c r="K732" s="27">
        <f t="shared" si="85"/>
        <v>-344.79730742841548</v>
      </c>
    </row>
    <row r="733" spans="1:11">
      <c r="A733" s="26">
        <v>683</v>
      </c>
      <c r="B733" s="82">
        <f t="shared" si="86"/>
        <v>0</v>
      </c>
      <c r="C733" s="58">
        <f t="shared" si="90"/>
        <v>156.29037528357509</v>
      </c>
      <c r="D733" s="83">
        <f t="shared" si="87"/>
        <v>666.66666666666663</v>
      </c>
      <c r="E733">
        <f t="shared" si="83"/>
        <v>0</v>
      </c>
      <c r="G733">
        <v>683</v>
      </c>
      <c r="H733" s="13">
        <f t="shared" si="88"/>
        <v>-7.7831728503952036E-4</v>
      </c>
      <c r="I733">
        <f t="shared" si="89"/>
        <v>155.7587845778931</v>
      </c>
      <c r="J733">
        <f t="shared" si="84"/>
        <v>665.58430563968136</v>
      </c>
      <c r="K733" s="27">
        <f t="shared" si="85"/>
        <v>-344.79564873292514</v>
      </c>
    </row>
    <row r="734" spans="1:11">
      <c r="A734" s="26">
        <v>684</v>
      </c>
      <c r="B734" s="82">
        <f t="shared" si="86"/>
        <v>0</v>
      </c>
      <c r="C734" s="58">
        <f t="shared" si="90"/>
        <v>156.29037528357509</v>
      </c>
      <c r="D734" s="83">
        <f t="shared" si="87"/>
        <v>666.66666666666663</v>
      </c>
      <c r="E734">
        <f t="shared" si="83"/>
        <v>0</v>
      </c>
      <c r="G734">
        <v>684</v>
      </c>
      <c r="H734" s="13">
        <f t="shared" si="88"/>
        <v>-7.7831728503952036E-4</v>
      </c>
      <c r="I734">
        <f t="shared" si="89"/>
        <v>155.75800626060806</v>
      </c>
      <c r="J734">
        <f t="shared" si="84"/>
        <v>665.58270466865099</v>
      </c>
      <c r="K734" s="27">
        <f t="shared" si="85"/>
        <v>-344.7939899913635</v>
      </c>
    </row>
    <row r="735" spans="1:11">
      <c r="A735" s="26">
        <v>685</v>
      </c>
      <c r="B735" s="82">
        <f t="shared" si="86"/>
        <v>0</v>
      </c>
      <c r="C735" s="58">
        <f t="shared" si="90"/>
        <v>156.29037528357509</v>
      </c>
      <c r="D735" s="83">
        <f t="shared" si="87"/>
        <v>666.66666666666663</v>
      </c>
      <c r="E735">
        <f t="shared" si="83"/>
        <v>0</v>
      </c>
      <c r="G735">
        <v>685</v>
      </c>
      <c r="H735" s="13">
        <f t="shared" si="88"/>
        <v>-7.7831728503952036E-4</v>
      </c>
      <c r="I735">
        <f t="shared" si="89"/>
        <v>155.75722794332302</v>
      </c>
      <c r="J735">
        <f t="shared" si="84"/>
        <v>665.58110364930053</v>
      </c>
      <c r="K735" s="27">
        <f t="shared" si="85"/>
        <v>-344.79233120372709</v>
      </c>
    </row>
    <row r="736" spans="1:11">
      <c r="A736" s="26">
        <v>686</v>
      </c>
      <c r="B736" s="82">
        <f t="shared" si="86"/>
        <v>0</v>
      </c>
      <c r="C736" s="58">
        <f t="shared" si="90"/>
        <v>156.29037528357509</v>
      </c>
      <c r="D736" s="83">
        <f t="shared" si="87"/>
        <v>666.66666666666663</v>
      </c>
      <c r="E736">
        <f t="shared" si="83"/>
        <v>0</v>
      </c>
      <c r="G736">
        <v>686</v>
      </c>
      <c r="H736" s="13">
        <f t="shared" si="88"/>
        <v>-7.7831728503952036E-4</v>
      </c>
      <c r="I736">
        <f t="shared" si="89"/>
        <v>155.75644962603798</v>
      </c>
      <c r="J736">
        <f t="shared" si="84"/>
        <v>665.57950258162634</v>
      </c>
      <c r="K736" s="27">
        <f t="shared" si="85"/>
        <v>-344.79067237001271</v>
      </c>
    </row>
    <row r="737" spans="1:11">
      <c r="A737" s="26">
        <v>687</v>
      </c>
      <c r="B737" s="82">
        <f t="shared" si="86"/>
        <v>0</v>
      </c>
      <c r="C737" s="58">
        <f t="shared" si="90"/>
        <v>156.29037528357509</v>
      </c>
      <c r="D737" s="83">
        <f t="shared" si="87"/>
        <v>666.66666666666663</v>
      </c>
      <c r="E737">
        <f t="shared" si="83"/>
        <v>0</v>
      </c>
      <c r="G737">
        <v>687</v>
      </c>
      <c r="H737" s="13">
        <f t="shared" si="88"/>
        <v>-7.7831728503952036E-4</v>
      </c>
      <c r="I737">
        <f t="shared" si="89"/>
        <v>155.75567130875294</v>
      </c>
      <c r="J737">
        <f t="shared" si="84"/>
        <v>665.57790146562502</v>
      </c>
      <c r="K737" s="27">
        <f t="shared" si="85"/>
        <v>-344.78901349021709</v>
      </c>
    </row>
    <row r="738" spans="1:11">
      <c r="A738" s="26">
        <v>688</v>
      </c>
      <c r="B738" s="82">
        <f t="shared" si="86"/>
        <v>0</v>
      </c>
      <c r="C738" s="58">
        <f t="shared" si="90"/>
        <v>156.29037528357509</v>
      </c>
      <c r="D738" s="83">
        <f t="shared" si="87"/>
        <v>666.66666666666663</v>
      </c>
      <c r="E738">
        <f t="shared" si="83"/>
        <v>0</v>
      </c>
      <c r="G738">
        <v>688</v>
      </c>
      <c r="H738" s="13">
        <f t="shared" si="88"/>
        <v>-7.7831728503952036E-4</v>
      </c>
      <c r="I738">
        <f t="shared" si="89"/>
        <v>155.7548929914679</v>
      </c>
      <c r="J738">
        <f t="shared" si="84"/>
        <v>665.57630030129303</v>
      </c>
      <c r="K738" s="27">
        <f t="shared" si="85"/>
        <v>-344.78735456433679</v>
      </c>
    </row>
    <row r="739" spans="1:11">
      <c r="A739" s="26">
        <v>689</v>
      </c>
      <c r="B739" s="82">
        <f t="shared" si="86"/>
        <v>0</v>
      </c>
      <c r="C739" s="58">
        <f t="shared" si="90"/>
        <v>156.29037528357509</v>
      </c>
      <c r="D739" s="83">
        <f t="shared" si="87"/>
        <v>666.66666666666663</v>
      </c>
      <c r="E739">
        <f t="shared" si="83"/>
        <v>0</v>
      </c>
      <c r="G739">
        <v>689</v>
      </c>
      <c r="H739" s="13">
        <f t="shared" si="88"/>
        <v>-7.7831728503952036E-4</v>
      </c>
      <c r="I739">
        <f t="shared" si="89"/>
        <v>155.75411467418286</v>
      </c>
      <c r="J739">
        <f t="shared" si="84"/>
        <v>665.57469908862663</v>
      </c>
      <c r="K739" s="27">
        <f t="shared" si="85"/>
        <v>-344.78569559236865</v>
      </c>
    </row>
    <row r="740" spans="1:11">
      <c r="A740" s="26">
        <v>690</v>
      </c>
      <c r="B740" s="82">
        <f t="shared" si="86"/>
        <v>0</v>
      </c>
      <c r="C740" s="58">
        <f t="shared" si="90"/>
        <v>156.29037528357509</v>
      </c>
      <c r="D740" s="83">
        <f t="shared" si="87"/>
        <v>666.66666666666663</v>
      </c>
      <c r="E740">
        <f t="shared" si="83"/>
        <v>0</v>
      </c>
      <c r="G740">
        <v>690</v>
      </c>
      <c r="H740" s="13">
        <f t="shared" si="88"/>
        <v>-7.7831728503952036E-4</v>
      </c>
      <c r="I740">
        <f t="shared" si="89"/>
        <v>155.75333635689782</v>
      </c>
      <c r="J740">
        <f t="shared" si="84"/>
        <v>665.57309782762252</v>
      </c>
      <c r="K740" s="27">
        <f t="shared" si="85"/>
        <v>-344.78403657430931</v>
      </c>
    </row>
    <row r="741" spans="1:11">
      <c r="A741" s="26">
        <v>691</v>
      </c>
      <c r="B741" s="82">
        <f t="shared" si="86"/>
        <v>0</v>
      </c>
      <c r="C741" s="58">
        <f t="shared" si="90"/>
        <v>156.29037528357509</v>
      </c>
      <c r="D741" s="83">
        <f t="shared" si="87"/>
        <v>666.66666666666663</v>
      </c>
      <c r="E741">
        <f t="shared" si="83"/>
        <v>0</v>
      </c>
      <c r="G741">
        <v>691</v>
      </c>
      <c r="H741" s="13">
        <f t="shared" si="88"/>
        <v>-7.7831728503952036E-4</v>
      </c>
      <c r="I741">
        <f t="shared" si="89"/>
        <v>155.75255803961278</v>
      </c>
      <c r="J741">
        <f t="shared" si="84"/>
        <v>665.57149651827706</v>
      </c>
      <c r="K741" s="27">
        <f t="shared" si="85"/>
        <v>-344.78237751015553</v>
      </c>
    </row>
    <row r="742" spans="1:11">
      <c r="A742" s="26">
        <v>692</v>
      </c>
      <c r="B742" s="82">
        <f t="shared" si="86"/>
        <v>0</v>
      </c>
      <c r="C742" s="58">
        <f t="shared" si="90"/>
        <v>156.29037528357509</v>
      </c>
      <c r="D742" s="83">
        <f t="shared" si="87"/>
        <v>666.66666666666663</v>
      </c>
      <c r="E742">
        <f t="shared" si="83"/>
        <v>0</v>
      </c>
      <c r="G742">
        <v>692</v>
      </c>
      <c r="H742" s="13">
        <f t="shared" si="88"/>
        <v>-7.7831728503952036E-4</v>
      </c>
      <c r="I742">
        <f t="shared" si="89"/>
        <v>155.75177972232774</v>
      </c>
      <c r="J742">
        <f t="shared" si="84"/>
        <v>665.56989516058673</v>
      </c>
      <c r="K742" s="27">
        <f t="shared" si="85"/>
        <v>-344.78071839990372</v>
      </c>
    </row>
    <row r="743" spans="1:11">
      <c r="A743" s="26">
        <v>693</v>
      </c>
      <c r="B743" s="82">
        <f t="shared" si="86"/>
        <v>0</v>
      </c>
      <c r="C743" s="58">
        <f t="shared" si="90"/>
        <v>156.29037528357509</v>
      </c>
      <c r="D743" s="83">
        <f t="shared" si="87"/>
        <v>666.66666666666663</v>
      </c>
      <c r="E743">
        <f t="shared" si="83"/>
        <v>0</v>
      </c>
      <c r="G743">
        <v>693</v>
      </c>
      <c r="H743" s="13">
        <f t="shared" si="88"/>
        <v>-7.7831728503952036E-4</v>
      </c>
      <c r="I743">
        <f t="shared" si="89"/>
        <v>155.7510014050427</v>
      </c>
      <c r="J743">
        <f t="shared" si="84"/>
        <v>665.56829375454788</v>
      </c>
      <c r="K743" s="27">
        <f t="shared" si="85"/>
        <v>-344.77905924355088</v>
      </c>
    </row>
    <row r="744" spans="1:11">
      <c r="A744" s="26">
        <v>694</v>
      </c>
      <c r="B744" s="82">
        <f t="shared" si="86"/>
        <v>0</v>
      </c>
      <c r="C744" s="58">
        <f t="shared" si="90"/>
        <v>156.29037528357509</v>
      </c>
      <c r="D744" s="83">
        <f t="shared" si="87"/>
        <v>666.66666666666663</v>
      </c>
      <c r="E744">
        <f t="shared" si="83"/>
        <v>0</v>
      </c>
      <c r="G744">
        <v>694</v>
      </c>
      <c r="H744" s="13">
        <f t="shared" si="88"/>
        <v>-7.7831728503952036E-4</v>
      </c>
      <c r="I744">
        <f t="shared" si="89"/>
        <v>155.75022308775766</v>
      </c>
      <c r="J744">
        <f t="shared" si="84"/>
        <v>665.56669230015711</v>
      </c>
      <c r="K744" s="27">
        <f t="shared" si="85"/>
        <v>-344.77740004109359</v>
      </c>
    </row>
    <row r="745" spans="1:11">
      <c r="A745" s="26">
        <v>695</v>
      </c>
      <c r="B745" s="82">
        <f t="shared" si="86"/>
        <v>0</v>
      </c>
      <c r="C745" s="58">
        <f t="shared" si="90"/>
        <v>156.29037528357509</v>
      </c>
      <c r="D745" s="83">
        <f t="shared" si="87"/>
        <v>666.66666666666663</v>
      </c>
      <c r="E745">
        <f t="shared" si="83"/>
        <v>0</v>
      </c>
      <c r="G745">
        <v>695</v>
      </c>
      <c r="H745" s="13">
        <f t="shared" si="88"/>
        <v>-7.7831728503952036E-4</v>
      </c>
      <c r="I745">
        <f t="shared" si="89"/>
        <v>155.74944477047262</v>
      </c>
      <c r="J745">
        <f t="shared" si="84"/>
        <v>665.56509079741079</v>
      </c>
      <c r="K745" s="27">
        <f t="shared" si="85"/>
        <v>-344.77574079252855</v>
      </c>
    </row>
    <row r="746" spans="1:11">
      <c r="A746" s="26">
        <v>696</v>
      </c>
      <c r="B746" s="82">
        <f t="shared" si="86"/>
        <v>0</v>
      </c>
      <c r="C746" s="58">
        <f t="shared" si="90"/>
        <v>156.29037528357509</v>
      </c>
      <c r="D746" s="83">
        <f t="shared" si="87"/>
        <v>666.66666666666663</v>
      </c>
      <c r="E746">
        <f t="shared" si="83"/>
        <v>0</v>
      </c>
      <c r="G746">
        <v>696</v>
      </c>
      <c r="H746" s="13">
        <f t="shared" si="88"/>
        <v>-7.7831728503952036E-4</v>
      </c>
      <c r="I746">
        <f t="shared" si="89"/>
        <v>155.74866645318758</v>
      </c>
      <c r="J746">
        <f t="shared" si="84"/>
        <v>665.56348924630549</v>
      </c>
      <c r="K746" s="27">
        <f t="shared" si="85"/>
        <v>-344.77408149785242</v>
      </c>
    </row>
    <row r="747" spans="1:11">
      <c r="A747" s="26">
        <v>697</v>
      </c>
      <c r="B747" s="82">
        <f t="shared" si="86"/>
        <v>0</v>
      </c>
      <c r="C747" s="58">
        <f t="shared" si="90"/>
        <v>156.29037528357509</v>
      </c>
      <c r="D747" s="83">
        <f t="shared" si="87"/>
        <v>666.66666666666663</v>
      </c>
      <c r="E747">
        <f t="shared" si="83"/>
        <v>0</v>
      </c>
      <c r="G747">
        <v>697</v>
      </c>
      <c r="H747" s="13">
        <f t="shared" si="88"/>
        <v>-7.7831728503952036E-4</v>
      </c>
      <c r="I747">
        <f t="shared" si="89"/>
        <v>155.74788813590254</v>
      </c>
      <c r="J747">
        <f t="shared" si="84"/>
        <v>665.56188764683748</v>
      </c>
      <c r="K747" s="27">
        <f t="shared" si="85"/>
        <v>-344.77242215706201</v>
      </c>
    </row>
    <row r="748" spans="1:11">
      <c r="A748" s="26">
        <v>698</v>
      </c>
      <c r="B748" s="82">
        <f t="shared" si="86"/>
        <v>0</v>
      </c>
      <c r="C748" s="58">
        <f t="shared" si="90"/>
        <v>156.29037528357509</v>
      </c>
      <c r="D748" s="83">
        <f t="shared" si="87"/>
        <v>666.66666666666663</v>
      </c>
      <c r="E748">
        <f t="shared" si="83"/>
        <v>0</v>
      </c>
      <c r="G748">
        <v>698</v>
      </c>
      <c r="H748" s="13">
        <f t="shared" si="88"/>
        <v>-7.7831728503952036E-4</v>
      </c>
      <c r="I748">
        <f t="shared" si="89"/>
        <v>155.7471098186175</v>
      </c>
      <c r="J748">
        <f t="shared" si="84"/>
        <v>665.56028599900333</v>
      </c>
      <c r="K748" s="27">
        <f t="shared" si="85"/>
        <v>-344.77076277015379</v>
      </c>
    </row>
    <row r="749" spans="1:11">
      <c r="A749" s="26">
        <v>699</v>
      </c>
      <c r="B749" s="82">
        <f t="shared" si="86"/>
        <v>0</v>
      </c>
      <c r="C749" s="58">
        <f t="shared" si="90"/>
        <v>156.29037528357509</v>
      </c>
      <c r="D749" s="83">
        <f t="shared" si="87"/>
        <v>666.66666666666663</v>
      </c>
      <c r="E749">
        <f t="shared" si="83"/>
        <v>0</v>
      </c>
      <c r="G749">
        <v>699</v>
      </c>
      <c r="H749" s="13">
        <f t="shared" si="88"/>
        <v>-7.7831728503952036E-4</v>
      </c>
      <c r="I749">
        <f t="shared" si="89"/>
        <v>155.74633150133246</v>
      </c>
      <c r="J749">
        <f t="shared" si="84"/>
        <v>665.55868430279952</v>
      </c>
      <c r="K749" s="27">
        <f t="shared" si="85"/>
        <v>-344.7691033371247</v>
      </c>
    </row>
    <row r="750" spans="1:11">
      <c r="A750" s="26">
        <v>700</v>
      </c>
      <c r="B750" s="82">
        <f t="shared" si="86"/>
        <v>0</v>
      </c>
      <c r="C750" s="58">
        <f t="shared" si="90"/>
        <v>156.29037528357509</v>
      </c>
      <c r="D750" s="83">
        <f t="shared" si="87"/>
        <v>666.66666666666663</v>
      </c>
      <c r="E750">
        <f t="shared" si="83"/>
        <v>0</v>
      </c>
      <c r="G750">
        <v>700</v>
      </c>
      <c r="H750" s="13">
        <f t="shared" si="88"/>
        <v>-7.7831728503952036E-4</v>
      </c>
      <c r="I750">
        <f t="shared" si="89"/>
        <v>155.74555318404742</v>
      </c>
      <c r="J750">
        <f t="shared" si="84"/>
        <v>665.55708255822253</v>
      </c>
      <c r="K750" s="27">
        <f t="shared" si="85"/>
        <v>-344.76744385797127</v>
      </c>
    </row>
    <row r="751" spans="1:11">
      <c r="A751" s="26">
        <v>701</v>
      </c>
      <c r="B751" s="82">
        <f t="shared" si="86"/>
        <v>0</v>
      </c>
      <c r="C751" s="58">
        <f t="shared" si="90"/>
        <v>156.29037528357509</v>
      </c>
      <c r="D751" s="83">
        <f t="shared" si="87"/>
        <v>666.66666666666663</v>
      </c>
      <c r="E751">
        <f t="shared" si="83"/>
        <v>0</v>
      </c>
      <c r="G751">
        <v>701</v>
      </c>
      <c r="H751" s="13">
        <f t="shared" si="88"/>
        <v>-7.7831728503952036E-4</v>
      </c>
      <c r="I751">
        <f t="shared" si="89"/>
        <v>155.74477486676238</v>
      </c>
      <c r="J751">
        <f t="shared" si="84"/>
        <v>665.55548076526873</v>
      </c>
      <c r="K751" s="27">
        <f t="shared" si="85"/>
        <v>-344.7657843326902</v>
      </c>
    </row>
    <row r="752" spans="1:11">
      <c r="A752" s="26">
        <v>702</v>
      </c>
      <c r="B752" s="82">
        <f t="shared" si="86"/>
        <v>0</v>
      </c>
      <c r="C752" s="58">
        <f t="shared" si="90"/>
        <v>156.29037528357509</v>
      </c>
      <c r="D752" s="83">
        <f t="shared" si="87"/>
        <v>666.66666666666663</v>
      </c>
      <c r="E752">
        <f t="shared" si="83"/>
        <v>0</v>
      </c>
      <c r="G752">
        <v>702</v>
      </c>
      <c r="H752" s="13">
        <f t="shared" si="88"/>
        <v>-7.7831728503952036E-4</v>
      </c>
      <c r="I752">
        <f t="shared" si="89"/>
        <v>155.74399654947734</v>
      </c>
      <c r="J752">
        <f t="shared" si="84"/>
        <v>665.55387892393458</v>
      </c>
      <c r="K752" s="27">
        <f t="shared" si="85"/>
        <v>-344.7641247612782</v>
      </c>
    </row>
    <row r="753" spans="1:11">
      <c r="A753" s="26">
        <v>703</v>
      </c>
      <c r="B753" s="82">
        <f t="shared" si="86"/>
        <v>0</v>
      </c>
      <c r="C753" s="58">
        <f t="shared" si="90"/>
        <v>156.29037528357509</v>
      </c>
      <c r="D753" s="83">
        <f t="shared" si="87"/>
        <v>666.66666666666663</v>
      </c>
      <c r="E753">
        <f t="shared" si="83"/>
        <v>0</v>
      </c>
      <c r="G753">
        <v>703</v>
      </c>
      <c r="H753" s="13">
        <f t="shared" si="88"/>
        <v>-7.7831728503952036E-4</v>
      </c>
      <c r="I753">
        <f t="shared" si="89"/>
        <v>155.74321823219231</v>
      </c>
      <c r="J753">
        <f t="shared" si="84"/>
        <v>665.55227703421656</v>
      </c>
      <c r="K753" s="27">
        <f t="shared" si="85"/>
        <v>-344.76246514373196</v>
      </c>
    </row>
    <row r="754" spans="1:11">
      <c r="A754" s="26">
        <v>704</v>
      </c>
      <c r="B754" s="82">
        <f t="shared" si="86"/>
        <v>0</v>
      </c>
      <c r="C754" s="58">
        <f t="shared" si="90"/>
        <v>156.29037528357509</v>
      </c>
      <c r="D754" s="83">
        <f t="shared" si="87"/>
        <v>666.66666666666663</v>
      </c>
      <c r="E754">
        <f t="shared" si="83"/>
        <v>0</v>
      </c>
      <c r="G754">
        <v>704</v>
      </c>
      <c r="H754" s="13">
        <f t="shared" si="88"/>
        <v>-7.7831728503952036E-4</v>
      </c>
      <c r="I754">
        <f t="shared" si="89"/>
        <v>155.74243991490727</v>
      </c>
      <c r="J754">
        <f t="shared" si="84"/>
        <v>665.55067509611104</v>
      </c>
      <c r="K754" s="27">
        <f t="shared" si="85"/>
        <v>-344.76080548004819</v>
      </c>
    </row>
    <row r="755" spans="1:11">
      <c r="A755" s="26">
        <v>705</v>
      </c>
      <c r="B755" s="82">
        <f t="shared" si="86"/>
        <v>0</v>
      </c>
      <c r="C755" s="58">
        <f t="shared" si="90"/>
        <v>156.29037528357509</v>
      </c>
      <c r="D755" s="83">
        <f t="shared" si="87"/>
        <v>666.66666666666663</v>
      </c>
      <c r="E755">
        <f t="shared" ref="E755:E818" si="91">((D755^2)+(D755*D756)+(D756^2))*B756/3</f>
        <v>0</v>
      </c>
      <c r="G755">
        <v>705</v>
      </c>
      <c r="H755" s="13">
        <f t="shared" si="88"/>
        <v>-7.7831728503952036E-4</v>
      </c>
      <c r="I755">
        <f t="shared" si="89"/>
        <v>155.74166159762223</v>
      </c>
      <c r="J755">
        <f t="shared" ref="J755:J818" si="92">IF($G$28&lt;$C$14,0,((($C$11^2)-((I755-$C$13)^2))^0.5)+$C$16)</f>
        <v>665.5490731096146</v>
      </c>
      <c r="K755" s="27">
        <f t="shared" ref="K755:K818" si="93">((J755^2)+(J755*J756)+(J756^2))*H756/3</f>
        <v>-344.75914577022348</v>
      </c>
    </row>
    <row r="756" spans="1:11">
      <c r="A756" s="26">
        <v>706</v>
      </c>
      <c r="B756" s="82">
        <f t="shared" ref="B756:B819" si="94">C756-C755</f>
        <v>0</v>
      </c>
      <c r="C756" s="58">
        <f t="shared" si="90"/>
        <v>156.29037528357509</v>
      </c>
      <c r="D756" s="83">
        <f t="shared" ref="D756:D819" si="95">IF($G$28&lt;$C$14,0,((($C$11^2)-((C756-$C$13)^2))^0.5)+$C$16)</f>
        <v>666.66666666666663</v>
      </c>
      <c r="E756">
        <f t="shared" si="91"/>
        <v>0</v>
      </c>
      <c r="G756">
        <v>706</v>
      </c>
      <c r="H756" s="13">
        <f t="shared" ref="H756:H819" si="96">I756-I755</f>
        <v>-7.7831728503952036E-4</v>
      </c>
      <c r="I756">
        <f t="shared" ref="I756:I819" si="97">($G$27-$C$14)/2000+I755</f>
        <v>155.74088328033719</v>
      </c>
      <c r="J756">
        <f t="shared" si="92"/>
        <v>665.5474710747236</v>
      </c>
      <c r="K756" s="27">
        <f t="shared" si="93"/>
        <v>-344.75748601425454</v>
      </c>
    </row>
    <row r="757" spans="1:11">
      <c r="A757" s="26">
        <v>707</v>
      </c>
      <c r="B757" s="82">
        <f t="shared" si="94"/>
        <v>0</v>
      </c>
      <c r="C757" s="58">
        <f t="shared" si="90"/>
        <v>156.29037528357509</v>
      </c>
      <c r="D757" s="83">
        <f t="shared" si="95"/>
        <v>666.66666666666663</v>
      </c>
      <c r="E757">
        <f t="shared" si="91"/>
        <v>0</v>
      </c>
      <c r="G757">
        <v>707</v>
      </c>
      <c r="H757" s="13">
        <f t="shared" si="96"/>
        <v>-7.7831728503952036E-4</v>
      </c>
      <c r="I757">
        <f t="shared" si="97"/>
        <v>155.74010496305215</v>
      </c>
      <c r="J757">
        <f t="shared" si="92"/>
        <v>665.54586899143453</v>
      </c>
      <c r="K757" s="27">
        <f t="shared" si="93"/>
        <v>-344.75582621213817</v>
      </c>
    </row>
    <row r="758" spans="1:11">
      <c r="A758" s="26">
        <v>708</v>
      </c>
      <c r="B758" s="82">
        <f t="shared" si="94"/>
        <v>0</v>
      </c>
      <c r="C758" s="58">
        <f t="shared" si="90"/>
        <v>156.29037528357509</v>
      </c>
      <c r="D758" s="83">
        <f t="shared" si="95"/>
        <v>666.66666666666663</v>
      </c>
      <c r="E758">
        <f t="shared" si="91"/>
        <v>0</v>
      </c>
      <c r="G758">
        <v>708</v>
      </c>
      <c r="H758" s="13">
        <f t="shared" si="96"/>
        <v>-7.7831728503952036E-4</v>
      </c>
      <c r="I758">
        <f t="shared" si="97"/>
        <v>155.73932664576711</v>
      </c>
      <c r="J758">
        <f t="shared" si="92"/>
        <v>665.54426685974386</v>
      </c>
      <c r="K758" s="27">
        <f t="shared" si="93"/>
        <v>-344.75416636387104</v>
      </c>
    </row>
    <row r="759" spans="1:11">
      <c r="A759" s="26">
        <v>709</v>
      </c>
      <c r="B759" s="82">
        <f t="shared" si="94"/>
        <v>0</v>
      </c>
      <c r="C759" s="58">
        <f t="shared" si="90"/>
        <v>156.29037528357509</v>
      </c>
      <c r="D759" s="83">
        <f t="shared" si="95"/>
        <v>666.66666666666663</v>
      </c>
      <c r="E759">
        <f t="shared" si="91"/>
        <v>0</v>
      </c>
      <c r="G759">
        <v>709</v>
      </c>
      <c r="H759" s="13">
        <f t="shared" si="96"/>
        <v>-7.7831728503952036E-4</v>
      </c>
      <c r="I759">
        <f t="shared" si="97"/>
        <v>155.73854832848207</v>
      </c>
      <c r="J759">
        <f t="shared" si="92"/>
        <v>665.54266467964806</v>
      </c>
      <c r="K759" s="27">
        <f t="shared" si="93"/>
        <v>-344.75250646944983</v>
      </c>
    </row>
    <row r="760" spans="1:11">
      <c r="A760" s="26">
        <v>710</v>
      </c>
      <c r="B760" s="82">
        <f t="shared" si="94"/>
        <v>0</v>
      </c>
      <c r="C760" s="58">
        <f t="shared" si="90"/>
        <v>156.29037528357509</v>
      </c>
      <c r="D760" s="83">
        <f t="shared" si="95"/>
        <v>666.66666666666663</v>
      </c>
      <c r="E760">
        <f t="shared" si="91"/>
        <v>0</v>
      </c>
      <c r="G760">
        <v>710</v>
      </c>
      <c r="H760" s="13">
        <f t="shared" si="96"/>
        <v>-7.7831728503952036E-4</v>
      </c>
      <c r="I760">
        <f t="shared" si="97"/>
        <v>155.73777001119703</v>
      </c>
      <c r="J760">
        <f t="shared" si="92"/>
        <v>665.5410624511436</v>
      </c>
      <c r="K760" s="27">
        <f t="shared" si="93"/>
        <v>-344.75084652887114</v>
      </c>
    </row>
    <row r="761" spans="1:11">
      <c r="A761" s="26">
        <v>711</v>
      </c>
      <c r="B761" s="82">
        <f t="shared" si="94"/>
        <v>0</v>
      </c>
      <c r="C761" s="58">
        <f t="shared" si="90"/>
        <v>156.29037528357509</v>
      </c>
      <c r="D761" s="83">
        <f t="shared" si="95"/>
        <v>666.66666666666663</v>
      </c>
      <c r="E761">
        <f t="shared" si="91"/>
        <v>0</v>
      </c>
      <c r="G761">
        <v>711</v>
      </c>
      <c r="H761" s="13">
        <f t="shared" si="96"/>
        <v>-7.7831728503952036E-4</v>
      </c>
      <c r="I761">
        <f t="shared" si="97"/>
        <v>155.73699169391199</v>
      </c>
      <c r="J761">
        <f t="shared" si="92"/>
        <v>665.53946017422675</v>
      </c>
      <c r="K761" s="27">
        <f t="shared" si="93"/>
        <v>-344.74918654213161</v>
      </c>
    </row>
    <row r="762" spans="1:11">
      <c r="A762" s="26">
        <v>712</v>
      </c>
      <c r="B762" s="82">
        <f t="shared" si="94"/>
        <v>0</v>
      </c>
      <c r="C762" s="58">
        <f t="shared" si="90"/>
        <v>156.29037528357509</v>
      </c>
      <c r="D762" s="83">
        <f t="shared" si="95"/>
        <v>666.66666666666663</v>
      </c>
      <c r="E762">
        <f t="shared" si="91"/>
        <v>0</v>
      </c>
      <c r="G762">
        <v>712</v>
      </c>
      <c r="H762" s="13">
        <f t="shared" si="96"/>
        <v>-7.7831728503952036E-4</v>
      </c>
      <c r="I762">
        <f t="shared" si="97"/>
        <v>155.73621337662695</v>
      </c>
      <c r="J762">
        <f t="shared" si="92"/>
        <v>665.53785784889408</v>
      </c>
      <c r="K762" s="27">
        <f t="shared" si="93"/>
        <v>-344.74752650922801</v>
      </c>
    </row>
    <row r="763" spans="1:11">
      <c r="A763" s="26">
        <v>713</v>
      </c>
      <c r="B763" s="82">
        <f t="shared" si="94"/>
        <v>0</v>
      </c>
      <c r="C763" s="58">
        <f t="shared" si="90"/>
        <v>156.29037528357509</v>
      </c>
      <c r="D763" s="83">
        <f t="shared" si="95"/>
        <v>666.66666666666663</v>
      </c>
      <c r="E763">
        <f t="shared" si="91"/>
        <v>0</v>
      </c>
      <c r="G763">
        <v>713</v>
      </c>
      <c r="H763" s="13">
        <f t="shared" si="96"/>
        <v>-7.7831728503952036E-4</v>
      </c>
      <c r="I763">
        <f t="shared" si="97"/>
        <v>155.73543505934191</v>
      </c>
      <c r="J763">
        <f t="shared" si="92"/>
        <v>665.53625547514207</v>
      </c>
      <c r="K763" s="27">
        <f t="shared" si="93"/>
        <v>-344.74586643015704</v>
      </c>
    </row>
    <row r="764" spans="1:11">
      <c r="A764" s="26">
        <v>714</v>
      </c>
      <c r="B764" s="82">
        <f t="shared" si="94"/>
        <v>0</v>
      </c>
      <c r="C764" s="58">
        <f t="shared" si="90"/>
        <v>156.29037528357509</v>
      </c>
      <c r="D764" s="83">
        <f t="shared" si="95"/>
        <v>666.66666666666663</v>
      </c>
      <c r="E764">
        <f t="shared" si="91"/>
        <v>0</v>
      </c>
      <c r="G764">
        <v>714</v>
      </c>
      <c r="H764" s="13">
        <f t="shared" si="96"/>
        <v>-7.7831728503952036E-4</v>
      </c>
      <c r="I764">
        <f t="shared" si="97"/>
        <v>155.73465674205687</v>
      </c>
      <c r="J764">
        <f t="shared" si="92"/>
        <v>665.5346530529672</v>
      </c>
      <c r="K764" s="27">
        <f t="shared" si="93"/>
        <v>-344.74420630491545</v>
      </c>
    </row>
    <row r="765" spans="1:11">
      <c r="A765" s="26">
        <v>715</v>
      </c>
      <c r="B765" s="82">
        <f t="shared" si="94"/>
        <v>0</v>
      </c>
      <c r="C765" s="58">
        <f t="shared" si="90"/>
        <v>156.29037528357509</v>
      </c>
      <c r="D765" s="83">
        <f t="shared" si="95"/>
        <v>666.66666666666663</v>
      </c>
      <c r="E765">
        <f t="shared" si="91"/>
        <v>0</v>
      </c>
      <c r="G765">
        <v>715</v>
      </c>
      <c r="H765" s="13">
        <f t="shared" si="96"/>
        <v>-7.7831728503952036E-4</v>
      </c>
      <c r="I765">
        <f t="shared" si="97"/>
        <v>155.73387842477183</v>
      </c>
      <c r="J765">
        <f t="shared" si="92"/>
        <v>665.53305058236583</v>
      </c>
      <c r="K765" s="27">
        <f t="shared" si="93"/>
        <v>-344.74254613349973</v>
      </c>
    </row>
    <row r="766" spans="1:11">
      <c r="A766" s="26">
        <v>716</v>
      </c>
      <c r="B766" s="82">
        <f t="shared" si="94"/>
        <v>0</v>
      </c>
      <c r="C766" s="58">
        <f t="shared" si="90"/>
        <v>156.29037528357509</v>
      </c>
      <c r="D766" s="83">
        <f t="shared" si="95"/>
        <v>666.66666666666663</v>
      </c>
      <c r="E766">
        <f t="shared" si="91"/>
        <v>0</v>
      </c>
      <c r="G766">
        <v>716</v>
      </c>
      <c r="H766" s="13">
        <f t="shared" si="96"/>
        <v>-7.7831728503952036E-4</v>
      </c>
      <c r="I766">
        <f t="shared" si="97"/>
        <v>155.73310010748679</v>
      </c>
      <c r="J766">
        <f t="shared" si="92"/>
        <v>665.53144806333432</v>
      </c>
      <c r="K766" s="27">
        <f t="shared" si="93"/>
        <v>-344.74088591590663</v>
      </c>
    </row>
    <row r="767" spans="1:11">
      <c r="A767" s="26">
        <v>717</v>
      </c>
      <c r="B767" s="82">
        <f t="shared" si="94"/>
        <v>0</v>
      </c>
      <c r="C767" s="58">
        <f t="shared" si="90"/>
        <v>156.29037528357509</v>
      </c>
      <c r="D767" s="83">
        <f t="shared" si="95"/>
        <v>666.66666666666663</v>
      </c>
      <c r="E767">
        <f t="shared" si="91"/>
        <v>0</v>
      </c>
      <c r="G767">
        <v>717</v>
      </c>
      <c r="H767" s="13">
        <f t="shared" si="96"/>
        <v>-7.7831728503952036E-4</v>
      </c>
      <c r="I767">
        <f t="shared" si="97"/>
        <v>155.73232179020175</v>
      </c>
      <c r="J767">
        <f t="shared" si="92"/>
        <v>665.52984549586938</v>
      </c>
      <c r="K767" s="27">
        <f t="shared" si="93"/>
        <v>-344.73922565213292</v>
      </c>
    </row>
    <row r="768" spans="1:11">
      <c r="A768" s="26">
        <v>718</v>
      </c>
      <c r="B768" s="82">
        <f t="shared" si="94"/>
        <v>0</v>
      </c>
      <c r="C768" s="58">
        <f t="shared" si="90"/>
        <v>156.29037528357509</v>
      </c>
      <c r="D768" s="83">
        <f t="shared" si="95"/>
        <v>666.66666666666663</v>
      </c>
      <c r="E768">
        <f t="shared" si="91"/>
        <v>0</v>
      </c>
      <c r="G768">
        <v>718</v>
      </c>
      <c r="H768" s="13">
        <f t="shared" si="96"/>
        <v>-7.7831728503952036E-4</v>
      </c>
      <c r="I768">
        <f t="shared" si="97"/>
        <v>155.73154347291671</v>
      </c>
      <c r="J768">
        <f t="shared" si="92"/>
        <v>665.52824287996714</v>
      </c>
      <c r="K768" s="27">
        <f t="shared" si="93"/>
        <v>-344.73756534217529</v>
      </c>
    </row>
    <row r="769" spans="1:11">
      <c r="A769" s="26">
        <v>719</v>
      </c>
      <c r="B769" s="82">
        <f t="shared" si="94"/>
        <v>0</v>
      </c>
      <c r="C769" s="58">
        <f t="shared" si="90"/>
        <v>156.29037528357509</v>
      </c>
      <c r="D769" s="83">
        <f t="shared" si="95"/>
        <v>666.66666666666663</v>
      </c>
      <c r="E769">
        <f t="shared" si="91"/>
        <v>0</v>
      </c>
      <c r="G769">
        <v>719</v>
      </c>
      <c r="H769" s="13">
        <f t="shared" si="96"/>
        <v>-7.7831728503952036E-4</v>
      </c>
      <c r="I769">
        <f t="shared" si="97"/>
        <v>155.73076515563167</v>
      </c>
      <c r="J769">
        <f t="shared" si="92"/>
        <v>665.52664021562441</v>
      </c>
      <c r="K769" s="27">
        <f t="shared" si="93"/>
        <v>-344.73590498603033</v>
      </c>
    </row>
    <row r="770" spans="1:11">
      <c r="A770" s="26">
        <v>720</v>
      </c>
      <c r="B770" s="82">
        <f t="shared" si="94"/>
        <v>0</v>
      </c>
      <c r="C770" s="58">
        <f t="shared" si="90"/>
        <v>156.29037528357509</v>
      </c>
      <c r="D770" s="83">
        <f t="shared" si="95"/>
        <v>666.66666666666663</v>
      </c>
      <c r="E770">
        <f t="shared" si="91"/>
        <v>0</v>
      </c>
      <c r="G770">
        <v>720</v>
      </c>
      <c r="H770" s="13">
        <f t="shared" si="96"/>
        <v>-7.7831728503952036E-4</v>
      </c>
      <c r="I770">
        <f t="shared" si="97"/>
        <v>155.72998683834663</v>
      </c>
      <c r="J770">
        <f t="shared" si="92"/>
        <v>665.52503750283734</v>
      </c>
      <c r="K770" s="27">
        <f t="shared" si="93"/>
        <v>-344.73424458369459</v>
      </c>
    </row>
    <row r="771" spans="1:11">
      <c r="A771" s="26">
        <v>721</v>
      </c>
      <c r="B771" s="82">
        <f t="shared" si="94"/>
        <v>0</v>
      </c>
      <c r="C771" s="58">
        <f t="shared" si="90"/>
        <v>156.29037528357509</v>
      </c>
      <c r="D771" s="83">
        <f t="shared" si="95"/>
        <v>666.66666666666663</v>
      </c>
      <c r="E771">
        <f t="shared" si="91"/>
        <v>0</v>
      </c>
      <c r="G771">
        <v>721</v>
      </c>
      <c r="H771" s="13">
        <f t="shared" si="96"/>
        <v>-7.7831728503952036E-4</v>
      </c>
      <c r="I771">
        <f t="shared" si="97"/>
        <v>155.72920852106159</v>
      </c>
      <c r="J771">
        <f t="shared" si="92"/>
        <v>665.52343474160239</v>
      </c>
      <c r="K771" s="27">
        <f t="shared" si="93"/>
        <v>-344.73258413516504</v>
      </c>
    </row>
    <row r="772" spans="1:11">
      <c r="A772" s="26">
        <v>722</v>
      </c>
      <c r="B772" s="82">
        <f t="shared" si="94"/>
        <v>0</v>
      </c>
      <c r="C772" s="58">
        <f t="shared" si="90"/>
        <v>156.29037528357509</v>
      </c>
      <c r="D772" s="83">
        <f t="shared" si="95"/>
        <v>666.66666666666663</v>
      </c>
      <c r="E772">
        <f t="shared" si="91"/>
        <v>0</v>
      </c>
      <c r="G772">
        <v>722</v>
      </c>
      <c r="H772" s="13">
        <f t="shared" si="96"/>
        <v>-7.7831728503952036E-4</v>
      </c>
      <c r="I772">
        <f t="shared" si="97"/>
        <v>155.72843020377655</v>
      </c>
      <c r="J772">
        <f t="shared" si="92"/>
        <v>665.52183193191615</v>
      </c>
      <c r="K772" s="27">
        <f t="shared" si="93"/>
        <v>-344.73092364043811</v>
      </c>
    </row>
    <row r="773" spans="1:11">
      <c r="A773" s="26">
        <v>723</v>
      </c>
      <c r="B773" s="82">
        <f t="shared" si="94"/>
        <v>0</v>
      </c>
      <c r="C773" s="58">
        <f t="shared" si="90"/>
        <v>156.29037528357509</v>
      </c>
      <c r="D773" s="83">
        <f t="shared" si="95"/>
        <v>666.66666666666663</v>
      </c>
      <c r="E773">
        <f t="shared" si="91"/>
        <v>0</v>
      </c>
      <c r="G773">
        <v>723</v>
      </c>
      <c r="H773" s="13">
        <f t="shared" si="96"/>
        <v>-7.7831728503952036E-4</v>
      </c>
      <c r="I773">
        <f t="shared" si="97"/>
        <v>155.72765188649151</v>
      </c>
      <c r="J773">
        <f t="shared" si="92"/>
        <v>665.520229073775</v>
      </c>
      <c r="K773" s="27">
        <f t="shared" si="93"/>
        <v>-344.72926309951072</v>
      </c>
    </row>
    <row r="774" spans="1:11">
      <c r="A774" s="26">
        <v>724</v>
      </c>
      <c r="B774" s="82">
        <f t="shared" si="94"/>
        <v>0</v>
      </c>
      <c r="C774" s="58">
        <f t="shared" si="90"/>
        <v>156.29037528357509</v>
      </c>
      <c r="D774" s="83">
        <f t="shared" si="95"/>
        <v>666.66666666666663</v>
      </c>
      <c r="E774">
        <f t="shared" si="91"/>
        <v>0</v>
      </c>
      <c r="G774">
        <v>724</v>
      </c>
      <c r="H774" s="13">
        <f t="shared" si="96"/>
        <v>-7.7831728503952036E-4</v>
      </c>
      <c r="I774">
        <f t="shared" si="97"/>
        <v>155.72687356920648</v>
      </c>
      <c r="J774">
        <f t="shared" si="92"/>
        <v>665.5186261671754</v>
      </c>
      <c r="K774" s="27">
        <f t="shared" si="93"/>
        <v>-344.72760251237946</v>
      </c>
    </row>
    <row r="775" spans="1:11">
      <c r="A775" s="26">
        <v>725</v>
      </c>
      <c r="B775" s="82">
        <f t="shared" si="94"/>
        <v>0</v>
      </c>
      <c r="C775" s="58">
        <f t="shared" si="90"/>
        <v>156.29037528357509</v>
      </c>
      <c r="D775" s="83">
        <f t="shared" si="95"/>
        <v>666.66666666666663</v>
      </c>
      <c r="E775">
        <f t="shared" si="91"/>
        <v>0</v>
      </c>
      <c r="G775">
        <v>725</v>
      </c>
      <c r="H775" s="13">
        <f t="shared" si="96"/>
        <v>-7.7831728503952036E-4</v>
      </c>
      <c r="I775">
        <f t="shared" si="97"/>
        <v>155.72609525192144</v>
      </c>
      <c r="J775">
        <f t="shared" si="92"/>
        <v>665.51702321211383</v>
      </c>
      <c r="K775" s="27">
        <f t="shared" si="93"/>
        <v>-344.72594187904087</v>
      </c>
    </row>
    <row r="776" spans="1:11">
      <c r="A776" s="26">
        <v>726</v>
      </c>
      <c r="B776" s="82">
        <f t="shared" si="94"/>
        <v>0</v>
      </c>
      <c r="C776" s="58">
        <f t="shared" si="90"/>
        <v>156.29037528357509</v>
      </c>
      <c r="D776" s="83">
        <f t="shared" si="95"/>
        <v>666.66666666666663</v>
      </c>
      <c r="E776">
        <f t="shared" si="91"/>
        <v>0</v>
      </c>
      <c r="G776">
        <v>726</v>
      </c>
      <c r="H776" s="13">
        <f t="shared" si="96"/>
        <v>-7.7831728503952036E-4</v>
      </c>
      <c r="I776">
        <f t="shared" si="97"/>
        <v>155.7253169346364</v>
      </c>
      <c r="J776">
        <f t="shared" si="92"/>
        <v>665.51542020858665</v>
      </c>
      <c r="K776" s="27">
        <f t="shared" si="93"/>
        <v>-344.72428119949177</v>
      </c>
    </row>
    <row r="777" spans="1:11">
      <c r="A777" s="26">
        <v>727</v>
      </c>
      <c r="B777" s="82">
        <f t="shared" si="94"/>
        <v>0</v>
      </c>
      <c r="C777" s="58">
        <f t="shared" si="90"/>
        <v>156.29037528357509</v>
      </c>
      <c r="D777" s="83">
        <f t="shared" si="95"/>
        <v>666.66666666666663</v>
      </c>
      <c r="E777">
        <f t="shared" si="91"/>
        <v>0</v>
      </c>
      <c r="G777">
        <v>727</v>
      </c>
      <c r="H777" s="13">
        <f t="shared" si="96"/>
        <v>-7.7831728503952036E-4</v>
      </c>
      <c r="I777">
        <f t="shared" si="97"/>
        <v>155.72453861735136</v>
      </c>
      <c r="J777">
        <f t="shared" si="92"/>
        <v>665.51381715659033</v>
      </c>
      <c r="K777" s="27">
        <f t="shared" si="93"/>
        <v>-344.7226204737288</v>
      </c>
    </row>
    <row r="778" spans="1:11">
      <c r="A778" s="26">
        <v>728</v>
      </c>
      <c r="B778" s="82">
        <f t="shared" si="94"/>
        <v>0</v>
      </c>
      <c r="C778" s="58">
        <f t="shared" si="90"/>
        <v>156.29037528357509</v>
      </c>
      <c r="D778" s="83">
        <f t="shared" si="95"/>
        <v>666.66666666666663</v>
      </c>
      <c r="E778">
        <f t="shared" si="91"/>
        <v>0</v>
      </c>
      <c r="G778">
        <v>728</v>
      </c>
      <c r="H778" s="13">
        <f t="shared" si="96"/>
        <v>-7.7831728503952036E-4</v>
      </c>
      <c r="I778">
        <f t="shared" si="97"/>
        <v>155.72376030006632</v>
      </c>
      <c r="J778">
        <f t="shared" si="92"/>
        <v>665.51221405612125</v>
      </c>
      <c r="K778" s="27">
        <f t="shared" si="93"/>
        <v>-344.72095970174854</v>
      </c>
    </row>
    <row r="779" spans="1:11">
      <c r="A779" s="26">
        <v>729</v>
      </c>
      <c r="B779" s="82">
        <f t="shared" si="94"/>
        <v>0</v>
      </c>
      <c r="C779" s="58">
        <f t="shared" si="90"/>
        <v>156.29037528357509</v>
      </c>
      <c r="D779" s="83">
        <f t="shared" si="95"/>
        <v>666.66666666666663</v>
      </c>
      <c r="E779">
        <f t="shared" si="91"/>
        <v>0</v>
      </c>
      <c r="G779">
        <v>729</v>
      </c>
      <c r="H779" s="13">
        <f t="shared" si="96"/>
        <v>-7.7831728503952036E-4</v>
      </c>
      <c r="I779">
        <f t="shared" si="97"/>
        <v>155.72298198278128</v>
      </c>
      <c r="J779">
        <f t="shared" si="92"/>
        <v>665.51061090717599</v>
      </c>
      <c r="K779" s="27">
        <f t="shared" si="93"/>
        <v>-344.71929888354788</v>
      </c>
    </row>
    <row r="780" spans="1:11">
      <c r="A780" s="26">
        <v>730</v>
      </c>
      <c r="B780" s="82">
        <f t="shared" si="94"/>
        <v>0</v>
      </c>
      <c r="C780" s="58">
        <f t="shared" si="90"/>
        <v>156.29037528357509</v>
      </c>
      <c r="D780" s="83">
        <f t="shared" si="95"/>
        <v>666.66666666666663</v>
      </c>
      <c r="E780">
        <f t="shared" si="91"/>
        <v>0</v>
      </c>
      <c r="G780">
        <v>730</v>
      </c>
      <c r="H780" s="13">
        <f t="shared" si="96"/>
        <v>-7.7831728503952036E-4</v>
      </c>
      <c r="I780">
        <f t="shared" si="97"/>
        <v>155.72220366549624</v>
      </c>
      <c r="J780">
        <f t="shared" si="92"/>
        <v>665.5090077097509</v>
      </c>
      <c r="K780" s="27">
        <f t="shared" si="93"/>
        <v>-344.71763801912334</v>
      </c>
    </row>
    <row r="781" spans="1:11">
      <c r="A781" s="26">
        <v>731</v>
      </c>
      <c r="B781" s="82">
        <f t="shared" si="94"/>
        <v>0</v>
      </c>
      <c r="C781" s="58">
        <f t="shared" si="90"/>
        <v>156.29037528357509</v>
      </c>
      <c r="D781" s="83">
        <f t="shared" si="95"/>
        <v>666.66666666666663</v>
      </c>
      <c r="E781">
        <f t="shared" si="91"/>
        <v>0</v>
      </c>
      <c r="G781">
        <v>731</v>
      </c>
      <c r="H781" s="13">
        <f t="shared" si="96"/>
        <v>-7.7831728503952036E-4</v>
      </c>
      <c r="I781">
        <f t="shared" si="97"/>
        <v>155.7214253482112</v>
      </c>
      <c r="J781">
        <f t="shared" si="92"/>
        <v>665.50740446384248</v>
      </c>
      <c r="K781" s="27">
        <f t="shared" si="93"/>
        <v>-344.71597710847163</v>
      </c>
    </row>
    <row r="782" spans="1:11">
      <c r="A782" s="26">
        <v>732</v>
      </c>
      <c r="B782" s="82">
        <f t="shared" si="94"/>
        <v>0</v>
      </c>
      <c r="C782" s="58">
        <f t="shared" si="90"/>
        <v>156.29037528357509</v>
      </c>
      <c r="D782" s="83">
        <f t="shared" si="95"/>
        <v>666.66666666666663</v>
      </c>
      <c r="E782">
        <f t="shared" si="91"/>
        <v>0</v>
      </c>
      <c r="G782">
        <v>732</v>
      </c>
      <c r="H782" s="13">
        <f t="shared" si="96"/>
        <v>-7.7831728503952036E-4</v>
      </c>
      <c r="I782">
        <f t="shared" si="97"/>
        <v>155.72064703092616</v>
      </c>
      <c r="J782">
        <f t="shared" si="92"/>
        <v>665.50580116944707</v>
      </c>
      <c r="K782" s="27">
        <f t="shared" si="93"/>
        <v>-344.71431615158934</v>
      </c>
    </row>
    <row r="783" spans="1:11">
      <c r="A783" s="26">
        <v>733</v>
      </c>
      <c r="B783" s="82">
        <f t="shared" si="94"/>
        <v>0</v>
      </c>
      <c r="C783" s="58">
        <f t="shared" si="90"/>
        <v>156.29037528357509</v>
      </c>
      <c r="D783" s="83">
        <f t="shared" si="95"/>
        <v>666.66666666666663</v>
      </c>
      <c r="E783">
        <f t="shared" si="91"/>
        <v>0</v>
      </c>
      <c r="G783">
        <v>733</v>
      </c>
      <c r="H783" s="13">
        <f t="shared" si="96"/>
        <v>-7.7831728503952036E-4</v>
      </c>
      <c r="I783">
        <f t="shared" si="97"/>
        <v>155.71986871364112</v>
      </c>
      <c r="J783">
        <f t="shared" si="92"/>
        <v>665.50419782656115</v>
      </c>
      <c r="K783" s="27">
        <f t="shared" si="93"/>
        <v>-344.71265514847323</v>
      </c>
    </row>
    <row r="784" spans="1:11">
      <c r="A784" s="26">
        <v>734</v>
      </c>
      <c r="B784" s="82">
        <f t="shared" si="94"/>
        <v>0</v>
      </c>
      <c r="C784" s="58">
        <f t="shared" ref="C784:C847" si="98">($C$37-$C$36)/2000+C783</f>
        <v>156.29037528357509</v>
      </c>
      <c r="D784" s="83">
        <f t="shared" si="95"/>
        <v>666.66666666666663</v>
      </c>
      <c r="E784">
        <f t="shared" si="91"/>
        <v>0</v>
      </c>
      <c r="G784">
        <v>734</v>
      </c>
      <c r="H784" s="13">
        <f t="shared" si="96"/>
        <v>-7.7831728503952036E-4</v>
      </c>
      <c r="I784">
        <f t="shared" si="97"/>
        <v>155.71909039635608</v>
      </c>
      <c r="J784">
        <f t="shared" si="92"/>
        <v>665.50259443518121</v>
      </c>
      <c r="K784" s="27">
        <f t="shared" si="93"/>
        <v>-344.71099409912011</v>
      </c>
    </row>
    <row r="785" spans="1:11">
      <c r="A785" s="26">
        <v>735</v>
      </c>
      <c r="B785" s="82">
        <f t="shared" si="94"/>
        <v>0</v>
      </c>
      <c r="C785" s="58">
        <f t="shared" si="98"/>
        <v>156.29037528357509</v>
      </c>
      <c r="D785" s="83">
        <f t="shared" si="95"/>
        <v>666.66666666666663</v>
      </c>
      <c r="E785">
        <f t="shared" si="91"/>
        <v>0</v>
      </c>
      <c r="G785">
        <v>735</v>
      </c>
      <c r="H785" s="13">
        <f t="shared" si="96"/>
        <v>-7.7831728503952036E-4</v>
      </c>
      <c r="I785">
        <f t="shared" si="97"/>
        <v>155.71831207907104</v>
      </c>
      <c r="J785">
        <f t="shared" si="92"/>
        <v>665.50099099530371</v>
      </c>
      <c r="K785" s="27">
        <f t="shared" si="93"/>
        <v>-344.70933300352652</v>
      </c>
    </row>
    <row r="786" spans="1:11">
      <c r="A786" s="26">
        <v>736</v>
      </c>
      <c r="B786" s="82">
        <f t="shared" si="94"/>
        <v>0</v>
      </c>
      <c r="C786" s="58">
        <f t="shared" si="98"/>
        <v>156.29037528357509</v>
      </c>
      <c r="D786" s="83">
        <f t="shared" si="95"/>
        <v>666.66666666666663</v>
      </c>
      <c r="E786">
        <f t="shared" si="91"/>
        <v>0</v>
      </c>
      <c r="G786">
        <v>736</v>
      </c>
      <c r="H786" s="13">
        <f t="shared" si="96"/>
        <v>-7.7831728503952036E-4</v>
      </c>
      <c r="I786">
        <f t="shared" si="97"/>
        <v>155.717533761786</v>
      </c>
      <c r="J786">
        <f t="shared" si="92"/>
        <v>665.49938750692502</v>
      </c>
      <c r="K786" s="27">
        <f t="shared" si="93"/>
        <v>-344.70767186168899</v>
      </c>
    </row>
    <row r="787" spans="1:11">
      <c r="A787" s="26">
        <v>737</v>
      </c>
      <c r="B787" s="82">
        <f t="shared" si="94"/>
        <v>0</v>
      </c>
      <c r="C787" s="58">
        <f t="shared" si="98"/>
        <v>156.29037528357509</v>
      </c>
      <c r="D787" s="83">
        <f t="shared" si="95"/>
        <v>666.66666666666663</v>
      </c>
      <c r="E787">
        <f t="shared" si="91"/>
        <v>0</v>
      </c>
      <c r="G787">
        <v>737</v>
      </c>
      <c r="H787" s="13">
        <f t="shared" si="96"/>
        <v>-7.7831728503952036E-4</v>
      </c>
      <c r="I787">
        <f t="shared" si="97"/>
        <v>155.71675544450096</v>
      </c>
      <c r="J787">
        <f t="shared" si="92"/>
        <v>665.4977839700415</v>
      </c>
      <c r="K787" s="27">
        <f t="shared" si="93"/>
        <v>-344.70601067360434</v>
      </c>
    </row>
    <row r="788" spans="1:11">
      <c r="A788" s="26">
        <v>738</v>
      </c>
      <c r="B788" s="82">
        <f t="shared" si="94"/>
        <v>0</v>
      </c>
      <c r="C788" s="58">
        <f t="shared" si="98"/>
        <v>156.29037528357509</v>
      </c>
      <c r="D788" s="83">
        <f t="shared" si="95"/>
        <v>666.66666666666663</v>
      </c>
      <c r="E788">
        <f t="shared" si="91"/>
        <v>0</v>
      </c>
      <c r="G788">
        <v>738</v>
      </c>
      <c r="H788" s="13">
        <f t="shared" si="96"/>
        <v>-7.7831728503952036E-4</v>
      </c>
      <c r="I788">
        <f t="shared" si="97"/>
        <v>155.71597712721592</v>
      </c>
      <c r="J788">
        <f t="shared" si="92"/>
        <v>665.49618038464973</v>
      </c>
      <c r="K788" s="27">
        <f t="shared" si="93"/>
        <v>-344.70434943926927</v>
      </c>
    </row>
    <row r="789" spans="1:11">
      <c r="A789" s="26">
        <v>739</v>
      </c>
      <c r="B789" s="82">
        <f t="shared" si="94"/>
        <v>0</v>
      </c>
      <c r="C789" s="58">
        <f t="shared" si="98"/>
        <v>156.29037528357509</v>
      </c>
      <c r="D789" s="83">
        <f t="shared" si="95"/>
        <v>666.66666666666663</v>
      </c>
      <c r="E789">
        <f t="shared" si="91"/>
        <v>0</v>
      </c>
      <c r="G789">
        <v>739</v>
      </c>
      <c r="H789" s="13">
        <f t="shared" si="96"/>
        <v>-7.7831728503952036E-4</v>
      </c>
      <c r="I789">
        <f t="shared" si="97"/>
        <v>155.71519880993088</v>
      </c>
      <c r="J789">
        <f t="shared" si="92"/>
        <v>665.49457675074609</v>
      </c>
      <c r="K789" s="27">
        <f t="shared" si="93"/>
        <v>-344.70268815868036</v>
      </c>
    </row>
    <row r="790" spans="1:11">
      <c r="A790" s="26">
        <v>740</v>
      </c>
      <c r="B790" s="82">
        <f t="shared" si="94"/>
        <v>0</v>
      </c>
      <c r="C790" s="58">
        <f t="shared" si="98"/>
        <v>156.29037528357509</v>
      </c>
      <c r="D790" s="83">
        <f t="shared" si="95"/>
        <v>666.66666666666663</v>
      </c>
      <c r="E790">
        <f t="shared" si="91"/>
        <v>0</v>
      </c>
      <c r="G790">
        <v>740</v>
      </c>
      <c r="H790" s="13">
        <f t="shared" si="96"/>
        <v>-7.7831728503952036E-4</v>
      </c>
      <c r="I790">
        <f t="shared" si="97"/>
        <v>155.71442049264584</v>
      </c>
      <c r="J790">
        <f t="shared" si="92"/>
        <v>665.49297306832705</v>
      </c>
      <c r="K790" s="27">
        <f t="shared" si="93"/>
        <v>-344.7010268318345</v>
      </c>
    </row>
    <row r="791" spans="1:11">
      <c r="A791" s="26">
        <v>741</v>
      </c>
      <c r="B791" s="82">
        <f t="shared" si="94"/>
        <v>0</v>
      </c>
      <c r="C791" s="58">
        <f t="shared" si="98"/>
        <v>156.29037528357509</v>
      </c>
      <c r="D791" s="83">
        <f t="shared" si="95"/>
        <v>666.66666666666663</v>
      </c>
      <c r="E791">
        <f t="shared" si="91"/>
        <v>0</v>
      </c>
      <c r="G791">
        <v>741</v>
      </c>
      <c r="H791" s="13">
        <f t="shared" si="96"/>
        <v>-7.7831728503952036E-4</v>
      </c>
      <c r="I791">
        <f t="shared" si="97"/>
        <v>155.7136421753608</v>
      </c>
      <c r="J791">
        <f t="shared" si="92"/>
        <v>665.49136933738907</v>
      </c>
      <c r="K791" s="27">
        <f t="shared" si="93"/>
        <v>-344.69936545872815</v>
      </c>
    </row>
    <row r="792" spans="1:11">
      <c r="A792" s="26">
        <v>742</v>
      </c>
      <c r="B792" s="82">
        <f t="shared" si="94"/>
        <v>0</v>
      </c>
      <c r="C792" s="58">
        <f t="shared" si="98"/>
        <v>156.29037528357509</v>
      </c>
      <c r="D792" s="83">
        <f t="shared" si="95"/>
        <v>666.66666666666663</v>
      </c>
      <c r="E792">
        <f t="shared" si="91"/>
        <v>0</v>
      </c>
      <c r="G792">
        <v>742</v>
      </c>
      <c r="H792" s="13">
        <f t="shared" si="96"/>
        <v>-7.7831728503952036E-4</v>
      </c>
      <c r="I792">
        <f t="shared" si="97"/>
        <v>155.71286385807576</v>
      </c>
      <c r="J792">
        <f t="shared" si="92"/>
        <v>665.48976555792854</v>
      </c>
      <c r="K792" s="27">
        <f t="shared" si="93"/>
        <v>-344.69770403935792</v>
      </c>
    </row>
    <row r="793" spans="1:11">
      <c r="A793" s="26">
        <v>743</v>
      </c>
      <c r="B793" s="82">
        <f t="shared" si="94"/>
        <v>0</v>
      </c>
      <c r="C793" s="58">
        <f t="shared" si="98"/>
        <v>156.29037528357509</v>
      </c>
      <c r="D793" s="83">
        <f t="shared" si="95"/>
        <v>666.66666666666663</v>
      </c>
      <c r="E793">
        <f t="shared" si="91"/>
        <v>0</v>
      </c>
      <c r="G793">
        <v>743</v>
      </c>
      <c r="H793" s="13">
        <f t="shared" si="96"/>
        <v>-7.7831728503952036E-4</v>
      </c>
      <c r="I793">
        <f t="shared" si="97"/>
        <v>155.71208554079072</v>
      </c>
      <c r="J793">
        <f t="shared" si="92"/>
        <v>665.48816172994179</v>
      </c>
      <c r="K793" s="27">
        <f t="shared" si="93"/>
        <v>-344.69604257372072</v>
      </c>
    </row>
    <row r="794" spans="1:11">
      <c r="A794" s="26">
        <v>744</v>
      </c>
      <c r="B794" s="82">
        <f t="shared" si="94"/>
        <v>0</v>
      </c>
      <c r="C794" s="58">
        <f t="shared" si="98"/>
        <v>156.29037528357509</v>
      </c>
      <c r="D794" s="83">
        <f t="shared" si="95"/>
        <v>666.66666666666663</v>
      </c>
      <c r="E794">
        <f t="shared" si="91"/>
        <v>0</v>
      </c>
      <c r="G794">
        <v>744</v>
      </c>
      <c r="H794" s="13">
        <f t="shared" si="96"/>
        <v>-7.7831728503952036E-4</v>
      </c>
      <c r="I794">
        <f t="shared" si="97"/>
        <v>155.71130722350568</v>
      </c>
      <c r="J794">
        <f t="shared" si="92"/>
        <v>665.48655785342544</v>
      </c>
      <c r="K794" s="27">
        <f t="shared" si="93"/>
        <v>-344.69438106181298</v>
      </c>
    </row>
    <row r="795" spans="1:11">
      <c r="A795" s="26">
        <v>745</v>
      </c>
      <c r="B795" s="82">
        <f t="shared" si="94"/>
        <v>0</v>
      </c>
      <c r="C795" s="58">
        <f t="shared" si="98"/>
        <v>156.29037528357509</v>
      </c>
      <c r="D795" s="83">
        <f t="shared" si="95"/>
        <v>666.66666666666663</v>
      </c>
      <c r="E795">
        <f t="shared" si="91"/>
        <v>0</v>
      </c>
      <c r="G795">
        <v>745</v>
      </c>
      <c r="H795" s="13">
        <f t="shared" si="96"/>
        <v>-7.7831728503952036E-4</v>
      </c>
      <c r="I795">
        <f t="shared" si="97"/>
        <v>155.71052890622065</v>
      </c>
      <c r="J795">
        <f t="shared" si="92"/>
        <v>665.48495392837572</v>
      </c>
      <c r="K795" s="27">
        <f t="shared" si="93"/>
        <v>-344.69271950363145</v>
      </c>
    </row>
    <row r="796" spans="1:11">
      <c r="A796" s="26">
        <v>746</v>
      </c>
      <c r="B796" s="82">
        <f t="shared" si="94"/>
        <v>0</v>
      </c>
      <c r="C796" s="58">
        <f t="shared" si="98"/>
        <v>156.29037528357509</v>
      </c>
      <c r="D796" s="83">
        <f t="shared" si="95"/>
        <v>666.66666666666663</v>
      </c>
      <c r="E796">
        <f t="shared" si="91"/>
        <v>0</v>
      </c>
      <c r="G796">
        <v>746</v>
      </c>
      <c r="H796" s="13">
        <f t="shared" si="96"/>
        <v>-7.7831728503952036E-4</v>
      </c>
      <c r="I796">
        <f t="shared" si="97"/>
        <v>155.70975058893561</v>
      </c>
      <c r="J796">
        <f t="shared" si="92"/>
        <v>665.48334995478922</v>
      </c>
      <c r="K796" s="27">
        <f t="shared" si="93"/>
        <v>-344.6910578991729</v>
      </c>
    </row>
    <row r="797" spans="1:11">
      <c r="A797" s="26">
        <v>747</v>
      </c>
      <c r="B797" s="82">
        <f t="shared" si="94"/>
        <v>0</v>
      </c>
      <c r="C797" s="58">
        <f t="shared" si="98"/>
        <v>156.29037528357509</v>
      </c>
      <c r="D797" s="83">
        <f t="shared" si="95"/>
        <v>666.66666666666663</v>
      </c>
      <c r="E797">
        <f t="shared" si="91"/>
        <v>0</v>
      </c>
      <c r="G797">
        <v>747</v>
      </c>
      <c r="H797" s="13">
        <f t="shared" si="96"/>
        <v>-7.7831728503952036E-4</v>
      </c>
      <c r="I797">
        <f t="shared" si="97"/>
        <v>155.70897227165057</v>
      </c>
      <c r="J797">
        <f t="shared" si="92"/>
        <v>665.48174593266242</v>
      </c>
      <c r="K797" s="27">
        <f t="shared" si="93"/>
        <v>-344.68939624843398</v>
      </c>
    </row>
    <row r="798" spans="1:11">
      <c r="A798" s="26">
        <v>748</v>
      </c>
      <c r="B798" s="82">
        <f t="shared" si="94"/>
        <v>0</v>
      </c>
      <c r="C798" s="58">
        <f t="shared" si="98"/>
        <v>156.29037528357509</v>
      </c>
      <c r="D798" s="83">
        <f t="shared" si="95"/>
        <v>666.66666666666663</v>
      </c>
      <c r="E798">
        <f t="shared" si="91"/>
        <v>0</v>
      </c>
      <c r="G798">
        <v>748</v>
      </c>
      <c r="H798" s="13">
        <f t="shared" si="96"/>
        <v>-7.7831728503952036E-4</v>
      </c>
      <c r="I798">
        <f t="shared" si="97"/>
        <v>155.70819395436553</v>
      </c>
      <c r="J798">
        <f t="shared" si="92"/>
        <v>665.48014186199157</v>
      </c>
      <c r="K798" s="27">
        <f t="shared" si="93"/>
        <v>-344.68773455141127</v>
      </c>
    </row>
    <row r="799" spans="1:11">
      <c r="A799" s="26">
        <v>749</v>
      </c>
      <c r="B799" s="82">
        <f t="shared" si="94"/>
        <v>0</v>
      </c>
      <c r="C799" s="58">
        <f t="shared" si="98"/>
        <v>156.29037528357509</v>
      </c>
      <c r="D799" s="83">
        <f t="shared" si="95"/>
        <v>666.66666666666663</v>
      </c>
      <c r="E799">
        <f t="shared" si="91"/>
        <v>0</v>
      </c>
      <c r="G799">
        <v>749</v>
      </c>
      <c r="H799" s="13">
        <f t="shared" si="96"/>
        <v>-7.7831728503952036E-4</v>
      </c>
      <c r="I799">
        <f t="shared" si="97"/>
        <v>155.70741563708049</v>
      </c>
      <c r="J799">
        <f t="shared" si="92"/>
        <v>665.47853774277337</v>
      </c>
      <c r="K799" s="27">
        <f t="shared" si="93"/>
        <v>-344.68607280810147</v>
      </c>
    </row>
    <row r="800" spans="1:11">
      <c r="A800" s="26">
        <v>750</v>
      </c>
      <c r="B800" s="82">
        <f t="shared" si="94"/>
        <v>0</v>
      </c>
      <c r="C800" s="58">
        <f t="shared" si="98"/>
        <v>156.29037528357509</v>
      </c>
      <c r="D800" s="83">
        <f t="shared" si="95"/>
        <v>666.66666666666663</v>
      </c>
      <c r="E800">
        <f t="shared" si="91"/>
        <v>0</v>
      </c>
      <c r="G800">
        <v>750</v>
      </c>
      <c r="H800" s="13">
        <f t="shared" si="96"/>
        <v>-7.7831728503952036E-4</v>
      </c>
      <c r="I800">
        <f t="shared" si="97"/>
        <v>155.70663731979545</v>
      </c>
      <c r="J800">
        <f t="shared" si="92"/>
        <v>665.47693357500395</v>
      </c>
      <c r="K800" s="27">
        <f t="shared" si="93"/>
        <v>-344.68441101850129</v>
      </c>
    </row>
    <row r="801" spans="1:11">
      <c r="A801" s="26">
        <v>751</v>
      </c>
      <c r="B801" s="82">
        <f t="shared" si="94"/>
        <v>0</v>
      </c>
      <c r="C801" s="58">
        <f t="shared" si="98"/>
        <v>156.29037528357509</v>
      </c>
      <c r="D801" s="83">
        <f t="shared" si="95"/>
        <v>666.66666666666663</v>
      </c>
      <c r="E801">
        <f t="shared" si="91"/>
        <v>0</v>
      </c>
      <c r="G801">
        <v>751</v>
      </c>
      <c r="H801" s="13">
        <f t="shared" si="96"/>
        <v>-7.7831728503952036E-4</v>
      </c>
      <c r="I801">
        <f t="shared" si="97"/>
        <v>155.70585900251041</v>
      </c>
      <c r="J801">
        <f t="shared" si="92"/>
        <v>665.47532935867991</v>
      </c>
      <c r="K801" s="27">
        <f t="shared" si="93"/>
        <v>-344.68274918260727</v>
      </c>
    </row>
    <row r="802" spans="1:11">
      <c r="A802" s="26">
        <v>752</v>
      </c>
      <c r="B802" s="82">
        <f t="shared" si="94"/>
        <v>0</v>
      </c>
      <c r="C802" s="58">
        <f t="shared" si="98"/>
        <v>156.29037528357509</v>
      </c>
      <c r="D802" s="83">
        <f t="shared" si="95"/>
        <v>666.66666666666663</v>
      </c>
      <c r="E802">
        <f t="shared" si="91"/>
        <v>0</v>
      </c>
      <c r="G802">
        <v>752</v>
      </c>
      <c r="H802" s="13">
        <f t="shared" si="96"/>
        <v>-7.7831728503952036E-4</v>
      </c>
      <c r="I802">
        <f t="shared" si="97"/>
        <v>155.70508068522537</v>
      </c>
      <c r="J802">
        <f t="shared" si="92"/>
        <v>665.47372509379761</v>
      </c>
      <c r="K802" s="27">
        <f t="shared" si="93"/>
        <v>-344.6810873004161</v>
      </c>
    </row>
    <row r="803" spans="1:11">
      <c r="A803" s="26">
        <v>753</v>
      </c>
      <c r="B803" s="82">
        <f t="shared" si="94"/>
        <v>0</v>
      </c>
      <c r="C803" s="58">
        <f t="shared" si="98"/>
        <v>156.29037528357509</v>
      </c>
      <c r="D803" s="83">
        <f t="shared" si="95"/>
        <v>666.66666666666663</v>
      </c>
      <c r="E803">
        <f t="shared" si="91"/>
        <v>0</v>
      </c>
      <c r="G803">
        <v>753</v>
      </c>
      <c r="H803" s="13">
        <f t="shared" si="96"/>
        <v>-7.7831728503952036E-4</v>
      </c>
      <c r="I803">
        <f t="shared" si="97"/>
        <v>155.70430236794033</v>
      </c>
      <c r="J803">
        <f t="shared" si="92"/>
        <v>665.47212078035352</v>
      </c>
      <c r="K803" s="27">
        <f t="shared" si="93"/>
        <v>-344.67942537192465</v>
      </c>
    </row>
    <row r="804" spans="1:11">
      <c r="A804" s="26">
        <v>754</v>
      </c>
      <c r="B804" s="82">
        <f t="shared" si="94"/>
        <v>0</v>
      </c>
      <c r="C804" s="58">
        <f t="shared" si="98"/>
        <v>156.29037528357509</v>
      </c>
      <c r="D804" s="83">
        <f t="shared" si="95"/>
        <v>666.66666666666663</v>
      </c>
      <c r="E804">
        <f t="shared" si="91"/>
        <v>0</v>
      </c>
      <c r="G804">
        <v>754</v>
      </c>
      <c r="H804" s="13">
        <f t="shared" si="96"/>
        <v>-7.7831728503952036E-4</v>
      </c>
      <c r="I804">
        <f t="shared" si="97"/>
        <v>155.70352405065529</v>
      </c>
      <c r="J804">
        <f t="shared" si="92"/>
        <v>665.470516418344</v>
      </c>
      <c r="K804" s="27">
        <f t="shared" si="93"/>
        <v>-344.67776339712941</v>
      </c>
    </row>
    <row r="805" spans="1:11">
      <c r="A805" s="26">
        <v>755</v>
      </c>
      <c r="B805" s="82">
        <f t="shared" si="94"/>
        <v>0</v>
      </c>
      <c r="C805" s="58">
        <f t="shared" si="98"/>
        <v>156.29037528357509</v>
      </c>
      <c r="D805" s="83">
        <f t="shared" si="95"/>
        <v>666.66666666666663</v>
      </c>
      <c r="E805">
        <f t="shared" si="91"/>
        <v>0</v>
      </c>
      <c r="G805">
        <v>755</v>
      </c>
      <c r="H805" s="13">
        <f t="shared" si="96"/>
        <v>-7.7831728503952036E-4</v>
      </c>
      <c r="I805">
        <f t="shared" si="97"/>
        <v>155.70274573337025</v>
      </c>
      <c r="J805">
        <f t="shared" si="92"/>
        <v>665.46891200776577</v>
      </c>
      <c r="K805" s="27">
        <f t="shared" si="93"/>
        <v>-344.67610137602702</v>
      </c>
    </row>
    <row r="806" spans="1:11">
      <c r="A806" s="26">
        <v>756</v>
      </c>
      <c r="B806" s="82">
        <f t="shared" si="94"/>
        <v>0</v>
      </c>
      <c r="C806" s="58">
        <f t="shared" si="98"/>
        <v>156.29037528357509</v>
      </c>
      <c r="D806" s="83">
        <f t="shared" si="95"/>
        <v>666.66666666666663</v>
      </c>
      <c r="E806">
        <f t="shared" si="91"/>
        <v>0</v>
      </c>
      <c r="G806">
        <v>756</v>
      </c>
      <c r="H806" s="13">
        <f t="shared" si="96"/>
        <v>-7.7831728503952036E-4</v>
      </c>
      <c r="I806">
        <f t="shared" si="97"/>
        <v>155.70196741608521</v>
      </c>
      <c r="J806">
        <f t="shared" si="92"/>
        <v>665.46730754861483</v>
      </c>
      <c r="K806" s="27">
        <f t="shared" si="93"/>
        <v>-344.67443930861424</v>
      </c>
    </row>
    <row r="807" spans="1:11">
      <c r="A807" s="26">
        <v>757</v>
      </c>
      <c r="B807" s="82">
        <f t="shared" si="94"/>
        <v>0</v>
      </c>
      <c r="C807" s="58">
        <f t="shared" si="98"/>
        <v>156.29037528357509</v>
      </c>
      <c r="D807" s="83">
        <f t="shared" si="95"/>
        <v>666.66666666666663</v>
      </c>
      <c r="E807">
        <f t="shared" si="91"/>
        <v>0</v>
      </c>
      <c r="G807">
        <v>757</v>
      </c>
      <c r="H807" s="13">
        <f t="shared" si="96"/>
        <v>-7.7831728503952036E-4</v>
      </c>
      <c r="I807">
        <f t="shared" si="97"/>
        <v>155.70118909880017</v>
      </c>
      <c r="J807">
        <f t="shared" si="92"/>
        <v>665.46570304088789</v>
      </c>
      <c r="K807" s="27">
        <f t="shared" si="93"/>
        <v>-344.67277719488771</v>
      </c>
    </row>
    <row r="808" spans="1:11">
      <c r="A808" s="26">
        <v>758</v>
      </c>
      <c r="B808" s="82">
        <f t="shared" si="94"/>
        <v>0</v>
      </c>
      <c r="C808" s="58">
        <f t="shared" si="98"/>
        <v>156.29037528357509</v>
      </c>
      <c r="D808" s="83">
        <f t="shared" si="95"/>
        <v>666.66666666666663</v>
      </c>
      <c r="E808">
        <f t="shared" si="91"/>
        <v>0</v>
      </c>
      <c r="G808">
        <v>758</v>
      </c>
      <c r="H808" s="13">
        <f t="shared" si="96"/>
        <v>-7.7831728503952036E-4</v>
      </c>
      <c r="I808">
        <f t="shared" si="97"/>
        <v>155.70041078151513</v>
      </c>
      <c r="J808">
        <f t="shared" si="92"/>
        <v>665.46409848458131</v>
      </c>
      <c r="K808" s="27">
        <f t="shared" si="93"/>
        <v>-344.67111503484404</v>
      </c>
    </row>
    <row r="809" spans="1:11">
      <c r="A809" s="26">
        <v>759</v>
      </c>
      <c r="B809" s="82">
        <f t="shared" si="94"/>
        <v>0</v>
      </c>
      <c r="C809" s="58">
        <f t="shared" si="98"/>
        <v>156.29037528357509</v>
      </c>
      <c r="D809" s="83">
        <f t="shared" si="95"/>
        <v>666.66666666666663</v>
      </c>
      <c r="E809">
        <f t="shared" si="91"/>
        <v>0</v>
      </c>
      <c r="G809">
        <v>759</v>
      </c>
      <c r="H809" s="13">
        <f t="shared" si="96"/>
        <v>-7.7831728503952036E-4</v>
      </c>
      <c r="I809">
        <f t="shared" si="97"/>
        <v>155.69963246423009</v>
      </c>
      <c r="J809">
        <f t="shared" si="92"/>
        <v>665.46249387969146</v>
      </c>
      <c r="K809" s="27">
        <f t="shared" si="93"/>
        <v>-344.66945282847996</v>
      </c>
    </row>
    <row r="810" spans="1:11">
      <c r="A810" s="26">
        <v>760</v>
      </c>
      <c r="B810" s="82">
        <f t="shared" si="94"/>
        <v>0</v>
      </c>
      <c r="C810" s="58">
        <f t="shared" si="98"/>
        <v>156.29037528357509</v>
      </c>
      <c r="D810" s="83">
        <f t="shared" si="95"/>
        <v>666.66666666666663</v>
      </c>
      <c r="E810">
        <f t="shared" si="91"/>
        <v>0</v>
      </c>
      <c r="G810">
        <v>760</v>
      </c>
      <c r="H810" s="13">
        <f t="shared" si="96"/>
        <v>-7.7831728503952036E-4</v>
      </c>
      <c r="I810">
        <f t="shared" si="97"/>
        <v>155.69885414694505</v>
      </c>
      <c r="J810">
        <f t="shared" si="92"/>
        <v>665.46088922621482</v>
      </c>
      <c r="K810" s="27">
        <f t="shared" si="93"/>
        <v>-344.66779057579214</v>
      </c>
    </row>
    <row r="811" spans="1:11">
      <c r="A811" s="26">
        <v>761</v>
      </c>
      <c r="B811" s="82">
        <f t="shared" si="94"/>
        <v>0</v>
      </c>
      <c r="C811" s="58">
        <f t="shared" si="98"/>
        <v>156.29037528357509</v>
      </c>
      <c r="D811" s="83">
        <f t="shared" si="95"/>
        <v>666.66666666666663</v>
      </c>
      <c r="E811">
        <f t="shared" si="91"/>
        <v>0</v>
      </c>
      <c r="G811">
        <v>761</v>
      </c>
      <c r="H811" s="13">
        <f t="shared" si="96"/>
        <v>-7.7831728503952036E-4</v>
      </c>
      <c r="I811">
        <f t="shared" si="97"/>
        <v>155.69807582966001</v>
      </c>
      <c r="J811">
        <f t="shared" si="92"/>
        <v>665.45928452414785</v>
      </c>
      <c r="K811" s="27">
        <f t="shared" si="93"/>
        <v>-344.66612827677721</v>
      </c>
    </row>
    <row r="812" spans="1:11">
      <c r="A812" s="26">
        <v>762</v>
      </c>
      <c r="B812" s="82">
        <f t="shared" si="94"/>
        <v>0</v>
      </c>
      <c r="C812" s="58">
        <f t="shared" si="98"/>
        <v>156.29037528357509</v>
      </c>
      <c r="D812" s="83">
        <f t="shared" si="95"/>
        <v>666.66666666666663</v>
      </c>
      <c r="E812">
        <f t="shared" si="91"/>
        <v>0</v>
      </c>
      <c r="G812">
        <v>762</v>
      </c>
      <c r="H812" s="13">
        <f t="shared" si="96"/>
        <v>-7.7831728503952036E-4</v>
      </c>
      <c r="I812">
        <f t="shared" si="97"/>
        <v>155.69729751237497</v>
      </c>
      <c r="J812">
        <f t="shared" si="92"/>
        <v>665.45767977348692</v>
      </c>
      <c r="K812" s="27">
        <f t="shared" si="93"/>
        <v>-344.66446593143178</v>
      </c>
    </row>
    <row r="813" spans="1:11">
      <c r="A813" s="26">
        <v>763</v>
      </c>
      <c r="B813" s="82">
        <f t="shared" si="94"/>
        <v>0</v>
      </c>
      <c r="C813" s="58">
        <f t="shared" si="98"/>
        <v>156.29037528357509</v>
      </c>
      <c r="D813" s="83">
        <f t="shared" si="95"/>
        <v>666.66666666666663</v>
      </c>
      <c r="E813">
        <f t="shared" si="91"/>
        <v>0</v>
      </c>
      <c r="G813">
        <v>763</v>
      </c>
      <c r="H813" s="13">
        <f t="shared" si="96"/>
        <v>-7.7831728503952036E-4</v>
      </c>
      <c r="I813">
        <f t="shared" si="97"/>
        <v>155.69651919508993</v>
      </c>
      <c r="J813">
        <f t="shared" si="92"/>
        <v>665.4560749742285</v>
      </c>
      <c r="K813" s="27">
        <f t="shared" si="93"/>
        <v>-344.66280353975253</v>
      </c>
    </row>
    <row r="814" spans="1:11">
      <c r="A814" s="26">
        <v>764</v>
      </c>
      <c r="B814" s="82">
        <f t="shared" si="94"/>
        <v>0</v>
      </c>
      <c r="C814" s="58">
        <f t="shared" si="98"/>
        <v>156.29037528357509</v>
      </c>
      <c r="D814" s="83">
        <f t="shared" si="95"/>
        <v>666.66666666666663</v>
      </c>
      <c r="E814">
        <f t="shared" si="91"/>
        <v>0</v>
      </c>
      <c r="G814">
        <v>764</v>
      </c>
      <c r="H814" s="13">
        <f t="shared" si="96"/>
        <v>-7.7831728503952036E-4</v>
      </c>
      <c r="I814">
        <f t="shared" si="97"/>
        <v>155.69574087780489</v>
      </c>
      <c r="J814">
        <f t="shared" si="92"/>
        <v>665.45447012636896</v>
      </c>
      <c r="K814" s="27">
        <f t="shared" si="93"/>
        <v>-344.66114110173629</v>
      </c>
    </row>
    <row r="815" spans="1:11">
      <c r="A815" s="26">
        <v>765</v>
      </c>
      <c r="B815" s="82">
        <f t="shared" si="94"/>
        <v>0</v>
      </c>
      <c r="C815" s="58">
        <f t="shared" si="98"/>
        <v>156.29037528357509</v>
      </c>
      <c r="D815" s="83">
        <f t="shared" si="95"/>
        <v>666.66666666666663</v>
      </c>
      <c r="E815">
        <f t="shared" si="91"/>
        <v>0</v>
      </c>
      <c r="G815">
        <v>765</v>
      </c>
      <c r="H815" s="13">
        <f t="shared" si="96"/>
        <v>-7.7831728503952036E-4</v>
      </c>
      <c r="I815">
        <f t="shared" si="97"/>
        <v>155.69496256051985</v>
      </c>
      <c r="J815">
        <f t="shared" si="92"/>
        <v>665.45286522990477</v>
      </c>
      <c r="K815" s="27">
        <f t="shared" si="93"/>
        <v>-344.65947861737953</v>
      </c>
    </row>
    <row r="816" spans="1:11">
      <c r="A816" s="26">
        <v>766</v>
      </c>
      <c r="B816" s="82">
        <f t="shared" si="94"/>
        <v>0</v>
      </c>
      <c r="C816" s="58">
        <f t="shared" si="98"/>
        <v>156.29037528357509</v>
      </c>
      <c r="D816" s="83">
        <f t="shared" si="95"/>
        <v>666.66666666666663</v>
      </c>
      <c r="E816">
        <f t="shared" si="91"/>
        <v>0</v>
      </c>
      <c r="G816">
        <v>766</v>
      </c>
      <c r="H816" s="13">
        <f t="shared" si="96"/>
        <v>-7.7831728503952036E-4</v>
      </c>
      <c r="I816">
        <f t="shared" si="97"/>
        <v>155.69418424323482</v>
      </c>
      <c r="J816">
        <f t="shared" si="92"/>
        <v>665.45126028483241</v>
      </c>
      <c r="K816" s="27">
        <f t="shared" si="93"/>
        <v>-344.65781608667891</v>
      </c>
    </row>
    <row r="817" spans="1:11">
      <c r="A817" s="26">
        <v>767</v>
      </c>
      <c r="B817" s="82">
        <f t="shared" si="94"/>
        <v>0</v>
      </c>
      <c r="C817" s="58">
        <f t="shared" si="98"/>
        <v>156.29037528357509</v>
      </c>
      <c r="D817" s="83">
        <f t="shared" si="95"/>
        <v>666.66666666666663</v>
      </c>
      <c r="E817">
        <f t="shared" si="91"/>
        <v>0</v>
      </c>
      <c r="G817">
        <v>767</v>
      </c>
      <c r="H817" s="13">
        <f t="shared" si="96"/>
        <v>-7.7831728503952036E-4</v>
      </c>
      <c r="I817">
        <f t="shared" si="97"/>
        <v>155.69340592594978</v>
      </c>
      <c r="J817">
        <f t="shared" si="92"/>
        <v>665.44965529114813</v>
      </c>
      <c r="K817" s="27">
        <f t="shared" si="93"/>
        <v>-344.65615350963117</v>
      </c>
    </row>
    <row r="818" spans="1:11">
      <c r="A818" s="26">
        <v>768</v>
      </c>
      <c r="B818" s="82">
        <f t="shared" si="94"/>
        <v>0</v>
      </c>
      <c r="C818" s="58">
        <f t="shared" si="98"/>
        <v>156.29037528357509</v>
      </c>
      <c r="D818" s="83">
        <f t="shared" si="95"/>
        <v>666.66666666666663</v>
      </c>
      <c r="E818">
        <f t="shared" si="91"/>
        <v>0</v>
      </c>
      <c r="G818">
        <v>768</v>
      </c>
      <c r="H818" s="13">
        <f t="shared" si="96"/>
        <v>-7.7831728503952036E-4</v>
      </c>
      <c r="I818">
        <f t="shared" si="97"/>
        <v>155.69262760866474</v>
      </c>
      <c r="J818">
        <f t="shared" si="92"/>
        <v>665.44805024884852</v>
      </c>
      <c r="K818" s="27">
        <f t="shared" si="93"/>
        <v>-344.65449088623296</v>
      </c>
    </row>
    <row r="819" spans="1:11">
      <c r="A819" s="26">
        <v>769</v>
      </c>
      <c r="B819" s="82">
        <f t="shared" si="94"/>
        <v>0</v>
      </c>
      <c r="C819" s="58">
        <f t="shared" si="98"/>
        <v>156.29037528357509</v>
      </c>
      <c r="D819" s="83">
        <f t="shared" si="95"/>
        <v>666.66666666666663</v>
      </c>
      <c r="E819">
        <f t="shared" ref="E819:E882" si="99">((D819^2)+(D819*D820)+(D820^2))*B820/3</f>
        <v>0</v>
      </c>
      <c r="G819">
        <v>769</v>
      </c>
      <c r="H819" s="13">
        <f t="shared" si="96"/>
        <v>-7.7831728503952036E-4</v>
      </c>
      <c r="I819">
        <f t="shared" si="97"/>
        <v>155.6918492913797</v>
      </c>
      <c r="J819">
        <f t="shared" ref="J819:J882" si="100">IF($G$28&lt;$C$14,0,((($C$11^2)-((I819-$C$13)^2))^0.5)+$C$16)</f>
        <v>665.44644515792993</v>
      </c>
      <c r="K819" s="27">
        <f t="shared" ref="K819:K882" si="101">((J819^2)+(J819*J820)+(J820^2))*H820/3</f>
        <v>-344.65282821648094</v>
      </c>
    </row>
    <row r="820" spans="1:11">
      <c r="A820" s="26">
        <v>770</v>
      </c>
      <c r="B820" s="82">
        <f t="shared" ref="B820:B883" si="102">C820-C819</f>
        <v>0</v>
      </c>
      <c r="C820" s="58">
        <f t="shared" si="98"/>
        <v>156.29037528357509</v>
      </c>
      <c r="D820" s="83">
        <f t="shared" ref="D820:D883" si="103">IF($G$28&lt;$C$14,0,((($C$11^2)-((C820-$C$13)^2))^0.5)+$C$16)</f>
        <v>666.66666666666663</v>
      </c>
      <c r="E820">
        <f t="shared" si="99"/>
        <v>0</v>
      </c>
      <c r="G820">
        <v>770</v>
      </c>
      <c r="H820" s="13">
        <f t="shared" ref="H820:H883" si="104">I820-I819</f>
        <v>-7.7831728503952036E-4</v>
      </c>
      <c r="I820">
        <f t="shared" ref="I820:I883" si="105">($G$27-$C$14)/2000+I819</f>
        <v>155.69107097409466</v>
      </c>
      <c r="J820">
        <f t="shared" si="100"/>
        <v>665.44484001838885</v>
      </c>
      <c r="K820" s="27">
        <f t="shared" si="101"/>
        <v>-344.65116550037186</v>
      </c>
    </row>
    <row r="821" spans="1:11">
      <c r="A821" s="26">
        <v>771</v>
      </c>
      <c r="B821" s="82">
        <f t="shared" si="102"/>
        <v>0</v>
      </c>
      <c r="C821" s="58">
        <f t="shared" si="98"/>
        <v>156.29037528357509</v>
      </c>
      <c r="D821" s="83">
        <f t="shared" si="103"/>
        <v>666.66666666666663</v>
      </c>
      <c r="E821">
        <f t="shared" si="99"/>
        <v>0</v>
      </c>
      <c r="G821">
        <v>771</v>
      </c>
      <c r="H821" s="13">
        <f t="shared" si="104"/>
        <v>-7.7831728503952036E-4</v>
      </c>
      <c r="I821">
        <f t="shared" si="105"/>
        <v>155.69029265680962</v>
      </c>
      <c r="J821">
        <f t="shared" si="100"/>
        <v>665.44323483022163</v>
      </c>
      <c r="K821" s="27">
        <f t="shared" si="101"/>
        <v>-344.64950273790214</v>
      </c>
    </row>
    <row r="822" spans="1:11">
      <c r="A822" s="26">
        <v>772</v>
      </c>
      <c r="B822" s="82">
        <f t="shared" si="102"/>
        <v>0</v>
      </c>
      <c r="C822" s="58">
        <f t="shared" si="98"/>
        <v>156.29037528357509</v>
      </c>
      <c r="D822" s="83">
        <f t="shared" si="103"/>
        <v>666.66666666666663</v>
      </c>
      <c r="E822">
        <f t="shared" si="99"/>
        <v>0</v>
      </c>
      <c r="G822">
        <v>772</v>
      </c>
      <c r="H822" s="13">
        <f t="shared" si="104"/>
        <v>-7.7831728503952036E-4</v>
      </c>
      <c r="I822">
        <f t="shared" si="105"/>
        <v>155.68951433952458</v>
      </c>
      <c r="J822">
        <f t="shared" si="100"/>
        <v>665.44162959342464</v>
      </c>
      <c r="K822" s="27">
        <f t="shared" si="101"/>
        <v>-344.64783992906854</v>
      </c>
    </row>
    <row r="823" spans="1:11">
      <c r="A823" s="26">
        <v>773</v>
      </c>
      <c r="B823" s="82">
        <f t="shared" si="102"/>
        <v>0</v>
      </c>
      <c r="C823" s="58">
        <f t="shared" si="98"/>
        <v>156.29037528357509</v>
      </c>
      <c r="D823" s="83">
        <f t="shared" si="103"/>
        <v>666.66666666666663</v>
      </c>
      <c r="E823">
        <f t="shared" si="99"/>
        <v>0</v>
      </c>
      <c r="G823">
        <v>773</v>
      </c>
      <c r="H823" s="13">
        <f t="shared" si="104"/>
        <v>-7.7831728503952036E-4</v>
      </c>
      <c r="I823">
        <f t="shared" si="105"/>
        <v>155.68873602223954</v>
      </c>
      <c r="J823">
        <f t="shared" si="100"/>
        <v>665.44002430799435</v>
      </c>
      <c r="K823" s="27">
        <f t="shared" si="101"/>
        <v>-344.6461770738677</v>
      </c>
    </row>
    <row r="824" spans="1:11">
      <c r="A824" s="26">
        <v>774</v>
      </c>
      <c r="B824" s="82">
        <f t="shared" si="102"/>
        <v>0</v>
      </c>
      <c r="C824" s="58">
        <f t="shared" si="98"/>
        <v>156.29037528357509</v>
      </c>
      <c r="D824" s="83">
        <f t="shared" si="103"/>
        <v>666.66666666666663</v>
      </c>
      <c r="E824">
        <f t="shared" si="99"/>
        <v>0</v>
      </c>
      <c r="G824">
        <v>774</v>
      </c>
      <c r="H824" s="13">
        <f t="shared" si="104"/>
        <v>-7.7831728503952036E-4</v>
      </c>
      <c r="I824">
        <f t="shared" si="105"/>
        <v>155.6879577049545</v>
      </c>
      <c r="J824">
        <f t="shared" si="100"/>
        <v>665.43841897392724</v>
      </c>
      <c r="K824" s="27">
        <f t="shared" si="101"/>
        <v>-344.64451417229657</v>
      </c>
    </row>
    <row r="825" spans="1:11">
      <c r="A825" s="26">
        <v>775</v>
      </c>
      <c r="B825" s="82">
        <f t="shared" si="102"/>
        <v>0</v>
      </c>
      <c r="C825" s="58">
        <f t="shared" si="98"/>
        <v>156.29037528357509</v>
      </c>
      <c r="D825" s="83">
        <f t="shared" si="103"/>
        <v>666.66666666666663</v>
      </c>
      <c r="E825">
        <f t="shared" si="99"/>
        <v>0</v>
      </c>
      <c r="G825">
        <v>775</v>
      </c>
      <c r="H825" s="13">
        <f t="shared" si="104"/>
        <v>-7.7831728503952036E-4</v>
      </c>
      <c r="I825">
        <f t="shared" si="105"/>
        <v>155.68717938766946</v>
      </c>
      <c r="J825">
        <f t="shared" si="100"/>
        <v>665.43681359121979</v>
      </c>
      <c r="K825" s="27">
        <f t="shared" si="101"/>
        <v>-344.64285122435143</v>
      </c>
    </row>
    <row r="826" spans="1:11">
      <c r="A826" s="26">
        <v>776</v>
      </c>
      <c r="B826" s="82">
        <f t="shared" si="102"/>
        <v>0</v>
      </c>
      <c r="C826" s="58">
        <f t="shared" si="98"/>
        <v>156.29037528357509</v>
      </c>
      <c r="D826" s="83">
        <f t="shared" si="103"/>
        <v>666.66666666666663</v>
      </c>
      <c r="E826">
        <f t="shared" si="99"/>
        <v>0</v>
      </c>
      <c r="G826">
        <v>776</v>
      </c>
      <c r="H826" s="13">
        <f t="shared" si="104"/>
        <v>-7.7831728503952036E-4</v>
      </c>
      <c r="I826">
        <f t="shared" si="105"/>
        <v>155.68640107038442</v>
      </c>
      <c r="J826">
        <f t="shared" si="100"/>
        <v>665.43520815986824</v>
      </c>
      <c r="K826" s="27">
        <f t="shared" si="101"/>
        <v>-344.641188230029</v>
      </c>
    </row>
    <row r="827" spans="1:11">
      <c r="A827" s="26">
        <v>777</v>
      </c>
      <c r="B827" s="82">
        <f t="shared" si="102"/>
        <v>0</v>
      </c>
      <c r="C827" s="58">
        <f t="shared" si="98"/>
        <v>156.29037528357509</v>
      </c>
      <c r="D827" s="83">
        <f t="shared" si="103"/>
        <v>666.66666666666663</v>
      </c>
      <c r="E827">
        <f t="shared" si="99"/>
        <v>0</v>
      </c>
      <c r="G827">
        <v>777</v>
      </c>
      <c r="H827" s="13">
        <f t="shared" si="104"/>
        <v>-7.7831728503952036E-4</v>
      </c>
      <c r="I827">
        <f t="shared" si="105"/>
        <v>155.68562275309938</v>
      </c>
      <c r="J827">
        <f t="shared" si="100"/>
        <v>665.43360267986907</v>
      </c>
      <c r="K827" s="27">
        <f t="shared" si="101"/>
        <v>-344.63952518932615</v>
      </c>
    </row>
    <row r="828" spans="1:11">
      <c r="A828" s="26">
        <v>778</v>
      </c>
      <c r="B828" s="82">
        <f t="shared" si="102"/>
        <v>0</v>
      </c>
      <c r="C828" s="58">
        <f t="shared" si="98"/>
        <v>156.29037528357509</v>
      </c>
      <c r="D828" s="83">
        <f t="shared" si="103"/>
        <v>666.66666666666663</v>
      </c>
      <c r="E828">
        <f t="shared" si="99"/>
        <v>0</v>
      </c>
      <c r="G828">
        <v>778</v>
      </c>
      <c r="H828" s="13">
        <f t="shared" si="104"/>
        <v>-7.7831728503952036E-4</v>
      </c>
      <c r="I828">
        <f t="shared" si="105"/>
        <v>155.68484443581434</v>
      </c>
      <c r="J828">
        <f t="shared" si="100"/>
        <v>665.43199715121875</v>
      </c>
      <c r="K828" s="27">
        <f t="shared" si="101"/>
        <v>-344.63786210223924</v>
      </c>
    </row>
    <row r="829" spans="1:11">
      <c r="A829" s="26">
        <v>779</v>
      </c>
      <c r="B829" s="82">
        <f t="shared" si="102"/>
        <v>0</v>
      </c>
      <c r="C829" s="58">
        <f t="shared" si="98"/>
        <v>156.29037528357509</v>
      </c>
      <c r="D829" s="83">
        <f t="shared" si="103"/>
        <v>666.66666666666663</v>
      </c>
      <c r="E829">
        <f t="shared" si="99"/>
        <v>0</v>
      </c>
      <c r="G829">
        <v>779</v>
      </c>
      <c r="H829" s="13">
        <f t="shared" si="104"/>
        <v>-7.7831728503952036E-4</v>
      </c>
      <c r="I829">
        <f t="shared" si="105"/>
        <v>155.6840661185293</v>
      </c>
      <c r="J829">
        <f t="shared" si="100"/>
        <v>665.43039157391365</v>
      </c>
      <c r="K829" s="27">
        <f t="shared" si="101"/>
        <v>-344.63619896876509</v>
      </c>
    </row>
    <row r="830" spans="1:11">
      <c r="A830" s="26">
        <v>780</v>
      </c>
      <c r="B830" s="82">
        <f t="shared" si="102"/>
        <v>0</v>
      </c>
      <c r="C830" s="58">
        <f t="shared" si="98"/>
        <v>156.29037528357509</v>
      </c>
      <c r="D830" s="83">
        <f t="shared" si="103"/>
        <v>666.66666666666663</v>
      </c>
      <c r="E830">
        <f t="shared" si="99"/>
        <v>0</v>
      </c>
      <c r="G830">
        <v>780</v>
      </c>
      <c r="H830" s="13">
        <f t="shared" si="104"/>
        <v>-7.7831728503952036E-4</v>
      </c>
      <c r="I830">
        <f t="shared" si="105"/>
        <v>155.68328780124426</v>
      </c>
      <c r="J830">
        <f t="shared" si="100"/>
        <v>665.42878594795025</v>
      </c>
      <c r="K830" s="27">
        <f t="shared" si="101"/>
        <v>-344.63453578890039</v>
      </c>
    </row>
    <row r="831" spans="1:11">
      <c r="A831" s="26">
        <v>781</v>
      </c>
      <c r="B831" s="82">
        <f t="shared" si="102"/>
        <v>0</v>
      </c>
      <c r="C831" s="58">
        <f t="shared" si="98"/>
        <v>156.29037528357509</v>
      </c>
      <c r="D831" s="83">
        <f t="shared" si="103"/>
        <v>666.66666666666663</v>
      </c>
      <c r="E831">
        <f t="shared" si="99"/>
        <v>0</v>
      </c>
      <c r="G831">
        <v>781</v>
      </c>
      <c r="H831" s="13">
        <f t="shared" si="104"/>
        <v>-7.7831728503952036E-4</v>
      </c>
      <c r="I831">
        <f t="shared" si="105"/>
        <v>155.68250948395922</v>
      </c>
      <c r="J831">
        <f t="shared" si="100"/>
        <v>665.42718027332489</v>
      </c>
      <c r="K831" s="27">
        <f t="shared" si="101"/>
        <v>-344.63287256264169</v>
      </c>
    </row>
    <row r="832" spans="1:11">
      <c r="A832" s="26">
        <v>782</v>
      </c>
      <c r="B832" s="82">
        <f t="shared" si="102"/>
        <v>0</v>
      </c>
      <c r="C832" s="58">
        <f t="shared" si="98"/>
        <v>156.29037528357509</v>
      </c>
      <c r="D832" s="83">
        <f t="shared" si="103"/>
        <v>666.66666666666663</v>
      </c>
      <c r="E832">
        <f t="shared" si="99"/>
        <v>0</v>
      </c>
      <c r="G832">
        <v>782</v>
      </c>
      <c r="H832" s="13">
        <f t="shared" si="104"/>
        <v>-7.7831728503952036E-4</v>
      </c>
      <c r="I832">
        <f t="shared" si="105"/>
        <v>155.68173116667418</v>
      </c>
      <c r="J832">
        <f t="shared" si="100"/>
        <v>665.42557455003396</v>
      </c>
      <c r="K832" s="27">
        <f t="shared" si="101"/>
        <v>-344.63120928998569</v>
      </c>
    </row>
    <row r="833" spans="1:11">
      <c r="A833" s="26">
        <v>783</v>
      </c>
      <c r="B833" s="82">
        <f t="shared" si="102"/>
        <v>0</v>
      </c>
      <c r="C833" s="58">
        <f t="shared" si="98"/>
        <v>156.29037528357509</v>
      </c>
      <c r="D833" s="83">
        <f t="shared" si="103"/>
        <v>666.66666666666663</v>
      </c>
      <c r="E833">
        <f t="shared" si="99"/>
        <v>0</v>
      </c>
      <c r="G833">
        <v>783</v>
      </c>
      <c r="H833" s="13">
        <f t="shared" si="104"/>
        <v>-7.7831728503952036E-4</v>
      </c>
      <c r="I833">
        <f t="shared" si="105"/>
        <v>155.68095284938914</v>
      </c>
      <c r="J833">
        <f t="shared" si="100"/>
        <v>665.42396877807403</v>
      </c>
      <c r="K833" s="27">
        <f t="shared" si="101"/>
        <v>-344.6295459709292</v>
      </c>
    </row>
    <row r="834" spans="1:11">
      <c r="A834" s="26">
        <v>784</v>
      </c>
      <c r="B834" s="82">
        <f t="shared" si="102"/>
        <v>0</v>
      </c>
      <c r="C834" s="58">
        <f t="shared" si="98"/>
        <v>156.29037528357509</v>
      </c>
      <c r="D834" s="83">
        <f t="shared" si="103"/>
        <v>666.66666666666663</v>
      </c>
      <c r="E834">
        <f t="shared" si="99"/>
        <v>0</v>
      </c>
      <c r="G834">
        <v>784</v>
      </c>
      <c r="H834" s="13">
        <f t="shared" si="104"/>
        <v>-7.7831728503952036E-4</v>
      </c>
      <c r="I834">
        <f t="shared" si="105"/>
        <v>155.6801745321041</v>
      </c>
      <c r="J834">
        <f t="shared" si="100"/>
        <v>665.42236295744146</v>
      </c>
      <c r="K834" s="27">
        <f t="shared" si="101"/>
        <v>-344.62788260546853</v>
      </c>
    </row>
    <row r="835" spans="1:11">
      <c r="A835" s="26">
        <v>785</v>
      </c>
      <c r="B835" s="82">
        <f t="shared" si="102"/>
        <v>0</v>
      </c>
      <c r="C835" s="58">
        <f t="shared" si="98"/>
        <v>156.29037528357509</v>
      </c>
      <c r="D835" s="83">
        <f t="shared" si="103"/>
        <v>666.66666666666663</v>
      </c>
      <c r="E835">
        <f t="shared" si="99"/>
        <v>0</v>
      </c>
      <c r="G835">
        <v>785</v>
      </c>
      <c r="H835" s="13">
        <f t="shared" si="104"/>
        <v>-7.7831728503952036E-4</v>
      </c>
      <c r="I835">
        <f t="shared" si="105"/>
        <v>155.67939621481906</v>
      </c>
      <c r="J835">
        <f t="shared" si="100"/>
        <v>665.42075708813252</v>
      </c>
      <c r="K835" s="27">
        <f t="shared" si="101"/>
        <v>-344.62621919360066</v>
      </c>
    </row>
    <row r="836" spans="1:11">
      <c r="A836" s="26">
        <v>786</v>
      </c>
      <c r="B836" s="82">
        <f t="shared" si="102"/>
        <v>0</v>
      </c>
      <c r="C836" s="58">
        <f t="shared" si="98"/>
        <v>156.29037528357509</v>
      </c>
      <c r="D836" s="83">
        <f t="shared" si="103"/>
        <v>666.66666666666663</v>
      </c>
      <c r="E836">
        <f t="shared" si="99"/>
        <v>0</v>
      </c>
      <c r="G836">
        <v>786</v>
      </c>
      <c r="H836" s="13">
        <f t="shared" si="104"/>
        <v>-7.7831728503952036E-4</v>
      </c>
      <c r="I836">
        <f t="shared" si="105"/>
        <v>155.67861789753402</v>
      </c>
      <c r="J836">
        <f t="shared" si="100"/>
        <v>665.41915117014378</v>
      </c>
      <c r="K836" s="27">
        <f t="shared" si="101"/>
        <v>-344.62455573532202</v>
      </c>
    </row>
    <row r="837" spans="1:11">
      <c r="A837" s="26">
        <v>787</v>
      </c>
      <c r="B837" s="82">
        <f t="shared" si="102"/>
        <v>0</v>
      </c>
      <c r="C837" s="58">
        <f t="shared" si="98"/>
        <v>156.29037528357509</v>
      </c>
      <c r="D837" s="83">
        <f t="shared" si="103"/>
        <v>666.66666666666663</v>
      </c>
      <c r="E837">
        <f t="shared" si="99"/>
        <v>0</v>
      </c>
      <c r="G837">
        <v>787</v>
      </c>
      <c r="H837" s="13">
        <f t="shared" si="104"/>
        <v>-7.7831728503952036E-4</v>
      </c>
      <c r="I837">
        <f t="shared" si="105"/>
        <v>155.67783958024899</v>
      </c>
      <c r="J837">
        <f t="shared" si="100"/>
        <v>665.4175452034716</v>
      </c>
      <c r="K837" s="27">
        <f t="shared" si="101"/>
        <v>-344.6228922306293</v>
      </c>
    </row>
    <row r="838" spans="1:11">
      <c r="A838" s="26">
        <v>788</v>
      </c>
      <c r="B838" s="82">
        <f t="shared" si="102"/>
        <v>0</v>
      </c>
      <c r="C838" s="58">
        <f t="shared" si="98"/>
        <v>156.29037528357509</v>
      </c>
      <c r="D838" s="83">
        <f t="shared" si="103"/>
        <v>666.66666666666663</v>
      </c>
      <c r="E838">
        <f t="shared" si="99"/>
        <v>0</v>
      </c>
      <c r="G838">
        <v>788</v>
      </c>
      <c r="H838" s="13">
        <f t="shared" si="104"/>
        <v>-7.7831728503952036E-4</v>
      </c>
      <c r="I838">
        <f t="shared" si="105"/>
        <v>155.67706126296395</v>
      </c>
      <c r="J838">
        <f t="shared" si="100"/>
        <v>665.41593918811247</v>
      </c>
      <c r="K838" s="27">
        <f t="shared" si="101"/>
        <v>-344.62122867951933</v>
      </c>
    </row>
    <row r="839" spans="1:11">
      <c r="A839" s="26">
        <v>789</v>
      </c>
      <c r="B839" s="82">
        <f t="shared" si="102"/>
        <v>0</v>
      </c>
      <c r="C839" s="58">
        <f t="shared" si="98"/>
        <v>156.29037528357509</v>
      </c>
      <c r="D839" s="83">
        <f t="shared" si="103"/>
        <v>666.66666666666663</v>
      </c>
      <c r="E839">
        <f t="shared" si="99"/>
        <v>0</v>
      </c>
      <c r="G839">
        <v>789</v>
      </c>
      <c r="H839" s="13">
        <f t="shared" si="104"/>
        <v>-7.7831728503952036E-4</v>
      </c>
      <c r="I839">
        <f t="shared" si="105"/>
        <v>155.67628294567891</v>
      </c>
      <c r="J839">
        <f t="shared" si="100"/>
        <v>665.41433312406264</v>
      </c>
      <c r="K839" s="27">
        <f t="shared" si="101"/>
        <v>-344.61956508198847</v>
      </c>
    </row>
    <row r="840" spans="1:11">
      <c r="A840" s="26">
        <v>790</v>
      </c>
      <c r="B840" s="82">
        <f t="shared" si="102"/>
        <v>0</v>
      </c>
      <c r="C840" s="58">
        <f t="shared" si="98"/>
        <v>156.29037528357509</v>
      </c>
      <c r="D840" s="83">
        <f t="shared" si="103"/>
        <v>666.66666666666663</v>
      </c>
      <c r="E840">
        <f t="shared" si="99"/>
        <v>0</v>
      </c>
      <c r="G840">
        <v>790</v>
      </c>
      <c r="H840" s="13">
        <f t="shared" si="104"/>
        <v>-7.7831728503952036E-4</v>
      </c>
      <c r="I840">
        <f t="shared" si="105"/>
        <v>155.67550462839387</v>
      </c>
      <c r="J840">
        <f t="shared" si="100"/>
        <v>665.41272701131868</v>
      </c>
      <c r="K840" s="27">
        <f t="shared" si="101"/>
        <v>-344.6179014380337</v>
      </c>
    </row>
    <row r="841" spans="1:11">
      <c r="A841" s="26">
        <v>791</v>
      </c>
      <c r="B841" s="82">
        <f t="shared" si="102"/>
        <v>0</v>
      </c>
      <c r="C841" s="58">
        <f t="shared" si="98"/>
        <v>156.29037528357509</v>
      </c>
      <c r="D841" s="83">
        <f t="shared" si="103"/>
        <v>666.66666666666663</v>
      </c>
      <c r="E841">
        <f t="shared" si="99"/>
        <v>0</v>
      </c>
      <c r="G841">
        <v>791</v>
      </c>
      <c r="H841" s="13">
        <f t="shared" si="104"/>
        <v>-7.7831728503952036E-4</v>
      </c>
      <c r="I841">
        <f t="shared" si="105"/>
        <v>155.67472631110883</v>
      </c>
      <c r="J841">
        <f t="shared" si="100"/>
        <v>665.41112084987697</v>
      </c>
      <c r="K841" s="27">
        <f t="shared" si="101"/>
        <v>-344.61623774765144</v>
      </c>
    </row>
    <row r="842" spans="1:11">
      <c r="A842" s="26">
        <v>792</v>
      </c>
      <c r="B842" s="82">
        <f t="shared" si="102"/>
        <v>0</v>
      </c>
      <c r="C842" s="58">
        <f t="shared" si="98"/>
        <v>156.29037528357509</v>
      </c>
      <c r="D842" s="83">
        <f t="shared" si="103"/>
        <v>666.66666666666663</v>
      </c>
      <c r="E842">
        <f t="shared" si="99"/>
        <v>0</v>
      </c>
      <c r="G842">
        <v>792</v>
      </c>
      <c r="H842" s="13">
        <f t="shared" si="104"/>
        <v>-7.7831728503952036E-4</v>
      </c>
      <c r="I842">
        <f t="shared" si="105"/>
        <v>155.67394799382379</v>
      </c>
      <c r="J842">
        <f t="shared" si="100"/>
        <v>665.40951463973386</v>
      </c>
      <c r="K842" s="27">
        <f t="shared" si="101"/>
        <v>-344.6145740108384</v>
      </c>
    </row>
    <row r="843" spans="1:11">
      <c r="A843" s="26">
        <v>793</v>
      </c>
      <c r="B843" s="82">
        <f t="shared" si="102"/>
        <v>0</v>
      </c>
      <c r="C843" s="58">
        <f t="shared" si="98"/>
        <v>156.29037528357509</v>
      </c>
      <c r="D843" s="83">
        <f t="shared" si="103"/>
        <v>666.66666666666663</v>
      </c>
      <c r="E843">
        <f t="shared" si="99"/>
        <v>0</v>
      </c>
      <c r="G843">
        <v>793</v>
      </c>
      <c r="H843" s="13">
        <f t="shared" si="104"/>
        <v>-7.7831728503952036E-4</v>
      </c>
      <c r="I843">
        <f t="shared" si="105"/>
        <v>155.67316967653875</v>
      </c>
      <c r="J843">
        <f t="shared" si="100"/>
        <v>665.40790838088583</v>
      </c>
      <c r="K843" s="27">
        <f t="shared" si="101"/>
        <v>-344.61291022759116</v>
      </c>
    </row>
    <row r="844" spans="1:11">
      <c r="A844" s="26">
        <v>794</v>
      </c>
      <c r="B844" s="82">
        <f t="shared" si="102"/>
        <v>0</v>
      </c>
      <c r="C844" s="58">
        <f t="shared" si="98"/>
        <v>156.29037528357509</v>
      </c>
      <c r="D844" s="83">
        <f t="shared" si="103"/>
        <v>666.66666666666663</v>
      </c>
      <c r="E844">
        <f t="shared" si="99"/>
        <v>0</v>
      </c>
      <c r="G844">
        <v>794</v>
      </c>
      <c r="H844" s="13">
        <f t="shared" si="104"/>
        <v>-7.7831728503952036E-4</v>
      </c>
      <c r="I844">
        <f t="shared" si="105"/>
        <v>155.67239135925371</v>
      </c>
      <c r="J844">
        <f t="shared" si="100"/>
        <v>665.40630207332924</v>
      </c>
      <c r="K844" s="27">
        <f t="shared" si="101"/>
        <v>-344.61124639790654</v>
      </c>
    </row>
    <row r="845" spans="1:11">
      <c r="A845" s="26">
        <v>795</v>
      </c>
      <c r="B845" s="82">
        <f t="shared" si="102"/>
        <v>0</v>
      </c>
      <c r="C845" s="58">
        <f t="shared" si="98"/>
        <v>156.29037528357509</v>
      </c>
      <c r="D845" s="83">
        <f t="shared" si="103"/>
        <v>666.66666666666663</v>
      </c>
      <c r="E845">
        <f t="shared" si="99"/>
        <v>0</v>
      </c>
      <c r="G845">
        <v>795</v>
      </c>
      <c r="H845" s="13">
        <f t="shared" si="104"/>
        <v>-7.7831728503952036E-4</v>
      </c>
      <c r="I845">
        <f t="shared" si="105"/>
        <v>155.67161304196867</v>
      </c>
      <c r="J845">
        <f t="shared" si="100"/>
        <v>665.40469571706058</v>
      </c>
      <c r="K845" s="27">
        <f t="shared" si="101"/>
        <v>-344.60958252178102</v>
      </c>
    </row>
    <row r="846" spans="1:11">
      <c r="A846" s="26">
        <v>796</v>
      </c>
      <c r="B846" s="82">
        <f t="shared" si="102"/>
        <v>0</v>
      </c>
      <c r="C846" s="58">
        <f t="shared" si="98"/>
        <v>156.29037528357509</v>
      </c>
      <c r="D846" s="83">
        <f t="shared" si="103"/>
        <v>666.66666666666663</v>
      </c>
      <c r="E846">
        <f t="shared" si="99"/>
        <v>0</v>
      </c>
      <c r="G846">
        <v>796</v>
      </c>
      <c r="H846" s="13">
        <f t="shared" si="104"/>
        <v>-7.7831728503952036E-4</v>
      </c>
      <c r="I846">
        <f t="shared" si="105"/>
        <v>155.67083472468363</v>
      </c>
      <c r="J846">
        <f t="shared" si="100"/>
        <v>665.40308931207619</v>
      </c>
      <c r="K846" s="27">
        <f t="shared" si="101"/>
        <v>-344.60791859921136</v>
      </c>
    </row>
    <row r="847" spans="1:11">
      <c r="A847" s="26">
        <v>797</v>
      </c>
      <c r="B847" s="82">
        <f t="shared" si="102"/>
        <v>0</v>
      </c>
      <c r="C847" s="58">
        <f t="shared" si="98"/>
        <v>156.29037528357509</v>
      </c>
      <c r="D847" s="83">
        <f t="shared" si="103"/>
        <v>666.66666666666663</v>
      </c>
      <c r="E847">
        <f t="shared" si="99"/>
        <v>0</v>
      </c>
      <c r="G847">
        <v>797</v>
      </c>
      <c r="H847" s="13">
        <f t="shared" si="104"/>
        <v>-7.7831728503952036E-4</v>
      </c>
      <c r="I847">
        <f t="shared" si="105"/>
        <v>155.67005640739859</v>
      </c>
      <c r="J847">
        <f t="shared" si="100"/>
        <v>665.40148285837245</v>
      </c>
      <c r="K847" s="27">
        <f t="shared" si="101"/>
        <v>-344.60625463019397</v>
      </c>
    </row>
    <row r="848" spans="1:11">
      <c r="A848" s="26">
        <v>798</v>
      </c>
      <c r="B848" s="82">
        <f t="shared" si="102"/>
        <v>0</v>
      </c>
      <c r="C848" s="58">
        <f t="shared" ref="C848:C911" si="106">($C$37-$C$36)/2000+C847</f>
        <v>156.29037528357509</v>
      </c>
      <c r="D848" s="83">
        <f t="shared" si="103"/>
        <v>666.66666666666663</v>
      </c>
      <c r="E848">
        <f t="shared" si="99"/>
        <v>0</v>
      </c>
      <c r="G848">
        <v>798</v>
      </c>
      <c r="H848" s="13">
        <f t="shared" si="104"/>
        <v>-7.7831728503952036E-4</v>
      </c>
      <c r="I848">
        <f t="shared" si="105"/>
        <v>155.66927809011355</v>
      </c>
      <c r="J848">
        <f t="shared" si="100"/>
        <v>665.39987635594571</v>
      </c>
      <c r="K848" s="27">
        <f t="shared" si="101"/>
        <v>-344.60459061472585</v>
      </c>
    </row>
    <row r="849" spans="1:11">
      <c r="A849" s="26">
        <v>799</v>
      </c>
      <c r="B849" s="82">
        <f t="shared" si="102"/>
        <v>0</v>
      </c>
      <c r="C849" s="58">
        <f t="shared" si="106"/>
        <v>156.29037528357509</v>
      </c>
      <c r="D849" s="83">
        <f t="shared" si="103"/>
        <v>666.66666666666663</v>
      </c>
      <c r="E849">
        <f t="shared" si="99"/>
        <v>0</v>
      </c>
      <c r="G849">
        <v>799</v>
      </c>
      <c r="H849" s="13">
        <f t="shared" si="104"/>
        <v>-7.7831728503952036E-4</v>
      </c>
      <c r="I849">
        <f t="shared" si="105"/>
        <v>155.66849977282851</v>
      </c>
      <c r="J849">
        <f t="shared" si="100"/>
        <v>665.39826980479268</v>
      </c>
      <c r="K849" s="27">
        <f t="shared" si="101"/>
        <v>-344.60292655280347</v>
      </c>
    </row>
    <row r="850" spans="1:11">
      <c r="A850" s="26">
        <v>800</v>
      </c>
      <c r="B850" s="82">
        <f t="shared" si="102"/>
        <v>0</v>
      </c>
      <c r="C850" s="58">
        <f t="shared" si="106"/>
        <v>156.29037528357509</v>
      </c>
      <c r="D850" s="83">
        <f t="shared" si="103"/>
        <v>666.66666666666663</v>
      </c>
      <c r="E850">
        <f t="shared" si="99"/>
        <v>0</v>
      </c>
      <c r="G850">
        <v>800</v>
      </c>
      <c r="H850" s="13">
        <f t="shared" si="104"/>
        <v>-7.7831728503952036E-4</v>
      </c>
      <c r="I850">
        <f t="shared" si="105"/>
        <v>155.66772145554347</v>
      </c>
      <c r="J850">
        <f t="shared" si="100"/>
        <v>665.39666320490949</v>
      </c>
      <c r="K850" s="27">
        <f t="shared" si="101"/>
        <v>-344.60126244442341</v>
      </c>
    </row>
    <row r="851" spans="1:11">
      <c r="A851" s="26">
        <v>801</v>
      </c>
      <c r="B851" s="82">
        <f t="shared" si="102"/>
        <v>0</v>
      </c>
      <c r="C851" s="58">
        <f t="shared" si="106"/>
        <v>156.29037528357509</v>
      </c>
      <c r="D851" s="83">
        <f t="shared" si="103"/>
        <v>666.66666666666663</v>
      </c>
      <c r="E851">
        <f t="shared" si="99"/>
        <v>0</v>
      </c>
      <c r="G851">
        <v>801</v>
      </c>
      <c r="H851" s="13">
        <f t="shared" si="104"/>
        <v>-7.7831728503952036E-4</v>
      </c>
      <c r="I851">
        <f t="shared" si="105"/>
        <v>155.66694313825843</v>
      </c>
      <c r="J851">
        <f t="shared" si="100"/>
        <v>665.39505655629262</v>
      </c>
      <c r="K851" s="27">
        <f t="shared" si="101"/>
        <v>-344.59959828958245</v>
      </c>
    </row>
    <row r="852" spans="1:11">
      <c r="A852" s="26">
        <v>802</v>
      </c>
      <c r="B852" s="82">
        <f t="shared" si="102"/>
        <v>0</v>
      </c>
      <c r="C852" s="58">
        <f t="shared" si="106"/>
        <v>156.29037528357509</v>
      </c>
      <c r="D852" s="83">
        <f t="shared" si="103"/>
        <v>666.66666666666663</v>
      </c>
      <c r="E852">
        <f t="shared" si="99"/>
        <v>0</v>
      </c>
      <c r="G852">
        <v>802</v>
      </c>
      <c r="H852" s="13">
        <f t="shared" si="104"/>
        <v>-7.7831728503952036E-4</v>
      </c>
      <c r="I852">
        <f t="shared" si="105"/>
        <v>155.66616482097339</v>
      </c>
      <c r="J852">
        <f t="shared" si="100"/>
        <v>665.39344985893854</v>
      </c>
      <c r="K852" s="27">
        <f t="shared" si="101"/>
        <v>-344.59793408827721</v>
      </c>
    </row>
    <row r="853" spans="1:11">
      <c r="A853" s="26">
        <v>803</v>
      </c>
      <c r="B853" s="82">
        <f t="shared" si="102"/>
        <v>0</v>
      </c>
      <c r="C853" s="58">
        <f t="shared" si="106"/>
        <v>156.29037528357509</v>
      </c>
      <c r="D853" s="83">
        <f t="shared" si="103"/>
        <v>666.66666666666663</v>
      </c>
      <c r="E853">
        <f t="shared" si="99"/>
        <v>0</v>
      </c>
      <c r="G853">
        <v>803</v>
      </c>
      <c r="H853" s="13">
        <f t="shared" si="104"/>
        <v>-7.7831728503952036E-4</v>
      </c>
      <c r="I853">
        <f t="shared" si="105"/>
        <v>155.66538650368835</v>
      </c>
      <c r="J853">
        <f t="shared" si="100"/>
        <v>665.39184311284362</v>
      </c>
      <c r="K853" s="27">
        <f t="shared" si="101"/>
        <v>-344.59626984050425</v>
      </c>
    </row>
    <row r="854" spans="1:11">
      <c r="A854" s="26">
        <v>804</v>
      </c>
      <c r="B854" s="82">
        <f t="shared" si="102"/>
        <v>0</v>
      </c>
      <c r="C854" s="58">
        <f t="shared" si="106"/>
        <v>156.29037528357509</v>
      </c>
      <c r="D854" s="83">
        <f t="shared" si="103"/>
        <v>666.66666666666663</v>
      </c>
      <c r="E854">
        <f t="shared" si="99"/>
        <v>0</v>
      </c>
      <c r="G854">
        <v>804</v>
      </c>
      <c r="H854" s="13">
        <f t="shared" si="104"/>
        <v>-7.7831728503952036E-4</v>
      </c>
      <c r="I854">
        <f t="shared" si="105"/>
        <v>155.66460818640331</v>
      </c>
      <c r="J854">
        <f t="shared" si="100"/>
        <v>665.3902363180041</v>
      </c>
      <c r="K854" s="27">
        <f t="shared" si="101"/>
        <v>-344.5946055462602</v>
      </c>
    </row>
    <row r="855" spans="1:11">
      <c r="A855" s="26">
        <v>805</v>
      </c>
      <c r="B855" s="82">
        <f t="shared" si="102"/>
        <v>0</v>
      </c>
      <c r="C855" s="58">
        <f t="shared" si="106"/>
        <v>156.29037528357509</v>
      </c>
      <c r="D855" s="83">
        <f t="shared" si="103"/>
        <v>666.66666666666663</v>
      </c>
      <c r="E855">
        <f t="shared" si="99"/>
        <v>0</v>
      </c>
      <c r="G855">
        <v>805</v>
      </c>
      <c r="H855" s="13">
        <f t="shared" si="104"/>
        <v>-7.7831728503952036E-4</v>
      </c>
      <c r="I855">
        <f t="shared" si="105"/>
        <v>155.66382986911827</v>
      </c>
      <c r="J855">
        <f t="shared" si="100"/>
        <v>665.38862947441669</v>
      </c>
      <c r="K855" s="27">
        <f t="shared" si="101"/>
        <v>-344.59294120554188</v>
      </c>
    </row>
    <row r="856" spans="1:11">
      <c r="A856" s="26">
        <v>806</v>
      </c>
      <c r="B856" s="82">
        <f t="shared" si="102"/>
        <v>0</v>
      </c>
      <c r="C856" s="58">
        <f t="shared" si="106"/>
        <v>156.29037528357509</v>
      </c>
      <c r="D856" s="83">
        <f t="shared" si="103"/>
        <v>666.66666666666663</v>
      </c>
      <c r="E856">
        <f t="shared" si="99"/>
        <v>0</v>
      </c>
      <c r="G856">
        <v>806</v>
      </c>
      <c r="H856" s="13">
        <f t="shared" si="104"/>
        <v>-7.7831728503952036E-4</v>
      </c>
      <c r="I856">
        <f t="shared" si="105"/>
        <v>155.66305155183323</v>
      </c>
      <c r="J856">
        <f t="shared" si="100"/>
        <v>665.38702258207763</v>
      </c>
      <c r="K856" s="27">
        <f t="shared" si="101"/>
        <v>-344.59127681834576</v>
      </c>
    </row>
    <row r="857" spans="1:11">
      <c r="A857" s="26">
        <v>807</v>
      </c>
      <c r="B857" s="82">
        <f t="shared" si="102"/>
        <v>0</v>
      </c>
      <c r="C857" s="58">
        <f t="shared" si="106"/>
        <v>156.29037528357509</v>
      </c>
      <c r="D857" s="83">
        <f t="shared" si="103"/>
        <v>666.66666666666663</v>
      </c>
      <c r="E857">
        <f t="shared" si="99"/>
        <v>0</v>
      </c>
      <c r="G857">
        <v>807</v>
      </c>
      <c r="H857" s="13">
        <f t="shared" si="104"/>
        <v>-7.7831728503952036E-4</v>
      </c>
      <c r="I857">
        <f t="shared" si="105"/>
        <v>155.66227323454819</v>
      </c>
      <c r="J857">
        <f t="shared" si="100"/>
        <v>665.3854156409833</v>
      </c>
      <c r="K857" s="27">
        <f t="shared" si="101"/>
        <v>-344.58961238466867</v>
      </c>
    </row>
    <row r="858" spans="1:11">
      <c r="A858" s="26">
        <v>808</v>
      </c>
      <c r="B858" s="82">
        <f t="shared" si="102"/>
        <v>0</v>
      </c>
      <c r="C858" s="58">
        <f t="shared" si="106"/>
        <v>156.29037528357509</v>
      </c>
      <c r="D858" s="83">
        <f t="shared" si="103"/>
        <v>666.66666666666663</v>
      </c>
      <c r="E858">
        <f t="shared" si="99"/>
        <v>0</v>
      </c>
      <c r="G858">
        <v>808</v>
      </c>
      <c r="H858" s="13">
        <f t="shared" si="104"/>
        <v>-7.7831728503952036E-4</v>
      </c>
      <c r="I858">
        <f t="shared" si="105"/>
        <v>155.66149491726316</v>
      </c>
      <c r="J858">
        <f t="shared" si="100"/>
        <v>665.38380865113027</v>
      </c>
      <c r="K858" s="27">
        <f t="shared" si="101"/>
        <v>-344.58794790450702</v>
      </c>
    </row>
    <row r="859" spans="1:11">
      <c r="A859" s="26">
        <v>809</v>
      </c>
      <c r="B859" s="82">
        <f t="shared" si="102"/>
        <v>0</v>
      </c>
      <c r="C859" s="58">
        <f t="shared" si="106"/>
        <v>156.29037528357509</v>
      </c>
      <c r="D859" s="83">
        <f t="shared" si="103"/>
        <v>666.66666666666663</v>
      </c>
      <c r="E859">
        <f t="shared" si="99"/>
        <v>0</v>
      </c>
      <c r="G859">
        <v>809</v>
      </c>
      <c r="H859" s="13">
        <f t="shared" si="104"/>
        <v>-7.7831728503952036E-4</v>
      </c>
      <c r="I859">
        <f t="shared" si="105"/>
        <v>155.66071659997812</v>
      </c>
      <c r="J859">
        <f t="shared" si="100"/>
        <v>665.38220161251468</v>
      </c>
      <c r="K859" s="27">
        <f t="shared" si="101"/>
        <v>-344.58628337785757</v>
      </c>
    </row>
    <row r="860" spans="1:11">
      <c r="A860" s="26">
        <v>810</v>
      </c>
      <c r="B860" s="82">
        <f t="shared" si="102"/>
        <v>0</v>
      </c>
      <c r="C860" s="58">
        <f t="shared" si="106"/>
        <v>156.29037528357509</v>
      </c>
      <c r="D860" s="83">
        <f t="shared" si="103"/>
        <v>666.66666666666663</v>
      </c>
      <c r="E860">
        <f t="shared" si="99"/>
        <v>0</v>
      </c>
      <c r="G860">
        <v>810</v>
      </c>
      <c r="H860" s="13">
        <f t="shared" si="104"/>
        <v>-7.7831728503952036E-4</v>
      </c>
      <c r="I860">
        <f t="shared" si="105"/>
        <v>155.65993828269308</v>
      </c>
      <c r="J860">
        <f t="shared" si="100"/>
        <v>665.38059452513312</v>
      </c>
      <c r="K860" s="27">
        <f t="shared" si="101"/>
        <v>-344.58461880471691</v>
      </c>
    </row>
    <row r="861" spans="1:11">
      <c r="A861" s="26">
        <v>811</v>
      </c>
      <c r="B861" s="82">
        <f t="shared" si="102"/>
        <v>0</v>
      </c>
      <c r="C861" s="58">
        <f t="shared" si="106"/>
        <v>156.29037528357509</v>
      </c>
      <c r="D861" s="83">
        <f t="shared" si="103"/>
        <v>666.66666666666663</v>
      </c>
      <c r="E861">
        <f t="shared" si="99"/>
        <v>0</v>
      </c>
      <c r="G861">
        <v>811</v>
      </c>
      <c r="H861" s="13">
        <f t="shared" si="104"/>
        <v>-7.7831728503952036E-4</v>
      </c>
      <c r="I861">
        <f t="shared" si="105"/>
        <v>155.65915996540804</v>
      </c>
      <c r="J861">
        <f t="shared" si="100"/>
        <v>665.37898738898195</v>
      </c>
      <c r="K861" s="27">
        <f t="shared" si="101"/>
        <v>-344.58295418508175</v>
      </c>
    </row>
    <row r="862" spans="1:11">
      <c r="A862" s="26">
        <v>812</v>
      </c>
      <c r="B862" s="82">
        <f t="shared" si="102"/>
        <v>0</v>
      </c>
      <c r="C862" s="58">
        <f t="shared" si="106"/>
        <v>156.29037528357509</v>
      </c>
      <c r="D862" s="83">
        <f t="shared" si="103"/>
        <v>666.66666666666663</v>
      </c>
      <c r="E862">
        <f t="shared" si="99"/>
        <v>0</v>
      </c>
      <c r="G862">
        <v>812</v>
      </c>
      <c r="H862" s="13">
        <f t="shared" si="104"/>
        <v>-7.7831728503952036E-4</v>
      </c>
      <c r="I862">
        <f t="shared" si="105"/>
        <v>155.658381648123</v>
      </c>
      <c r="J862">
        <f t="shared" si="100"/>
        <v>665.37738020405754</v>
      </c>
      <c r="K862" s="27">
        <f t="shared" si="101"/>
        <v>-344.58128951894861</v>
      </c>
    </row>
    <row r="863" spans="1:11">
      <c r="A863" s="26">
        <v>813</v>
      </c>
      <c r="B863" s="82">
        <f t="shared" si="102"/>
        <v>0</v>
      </c>
      <c r="C863" s="58">
        <f t="shared" si="106"/>
        <v>156.29037528357509</v>
      </c>
      <c r="D863" s="83">
        <f t="shared" si="103"/>
        <v>666.66666666666663</v>
      </c>
      <c r="E863">
        <f t="shared" si="99"/>
        <v>0</v>
      </c>
      <c r="G863">
        <v>813</v>
      </c>
      <c r="H863" s="13">
        <f t="shared" si="104"/>
        <v>-7.7831728503952036E-4</v>
      </c>
      <c r="I863">
        <f t="shared" si="105"/>
        <v>155.65760333083796</v>
      </c>
      <c r="J863">
        <f t="shared" si="100"/>
        <v>665.37577297035637</v>
      </c>
      <c r="K863" s="27">
        <f t="shared" si="101"/>
        <v>-344.57962480631437</v>
      </c>
    </row>
    <row r="864" spans="1:11">
      <c r="A864" s="26">
        <v>814</v>
      </c>
      <c r="B864" s="82">
        <f t="shared" si="102"/>
        <v>0</v>
      </c>
      <c r="C864" s="58">
        <f t="shared" si="106"/>
        <v>156.29037528357509</v>
      </c>
      <c r="D864" s="83">
        <f t="shared" si="103"/>
        <v>666.66666666666663</v>
      </c>
      <c r="E864">
        <f t="shared" si="99"/>
        <v>0</v>
      </c>
      <c r="G864">
        <v>814</v>
      </c>
      <c r="H864" s="13">
        <f t="shared" si="104"/>
        <v>-7.7831728503952036E-4</v>
      </c>
      <c r="I864">
        <f t="shared" si="105"/>
        <v>155.65682501355292</v>
      </c>
      <c r="J864">
        <f t="shared" si="100"/>
        <v>665.37416568787478</v>
      </c>
      <c r="K864" s="27">
        <f t="shared" si="101"/>
        <v>-344.57796004717551</v>
      </c>
    </row>
    <row r="865" spans="1:11">
      <c r="A865" s="26">
        <v>815</v>
      </c>
      <c r="B865" s="82">
        <f t="shared" si="102"/>
        <v>0</v>
      </c>
      <c r="C865" s="58">
        <f t="shared" si="106"/>
        <v>156.29037528357509</v>
      </c>
      <c r="D865" s="83">
        <f t="shared" si="103"/>
        <v>666.66666666666663</v>
      </c>
      <c r="E865">
        <f t="shared" si="99"/>
        <v>0</v>
      </c>
      <c r="G865">
        <v>815</v>
      </c>
      <c r="H865" s="13">
        <f t="shared" si="104"/>
        <v>-7.7831728503952036E-4</v>
      </c>
      <c r="I865">
        <f t="shared" si="105"/>
        <v>155.65604669626788</v>
      </c>
      <c r="J865">
        <f t="shared" si="100"/>
        <v>665.37255835660926</v>
      </c>
      <c r="K865" s="27">
        <f t="shared" si="101"/>
        <v>-344.57629524152861</v>
      </c>
    </row>
    <row r="866" spans="1:11">
      <c r="A866" s="26">
        <v>816</v>
      </c>
      <c r="B866" s="82">
        <f t="shared" si="102"/>
        <v>0</v>
      </c>
      <c r="C866" s="58">
        <f t="shared" si="106"/>
        <v>156.29037528357509</v>
      </c>
      <c r="D866" s="83">
        <f t="shared" si="103"/>
        <v>666.66666666666663</v>
      </c>
      <c r="E866">
        <f t="shared" si="99"/>
        <v>0</v>
      </c>
      <c r="G866">
        <v>816</v>
      </c>
      <c r="H866" s="13">
        <f t="shared" si="104"/>
        <v>-7.7831728503952036E-4</v>
      </c>
      <c r="I866">
        <f t="shared" si="105"/>
        <v>155.65526837898284</v>
      </c>
      <c r="J866">
        <f t="shared" si="100"/>
        <v>665.37095097655606</v>
      </c>
      <c r="K866" s="27">
        <f t="shared" si="101"/>
        <v>-344.57463038937038</v>
      </c>
    </row>
    <row r="867" spans="1:11">
      <c r="A867" s="26">
        <v>817</v>
      </c>
      <c r="B867" s="82">
        <f t="shared" si="102"/>
        <v>0</v>
      </c>
      <c r="C867" s="58">
        <f t="shared" si="106"/>
        <v>156.29037528357509</v>
      </c>
      <c r="D867" s="83">
        <f t="shared" si="103"/>
        <v>666.66666666666663</v>
      </c>
      <c r="E867">
        <f t="shared" si="99"/>
        <v>0</v>
      </c>
      <c r="G867">
        <v>817</v>
      </c>
      <c r="H867" s="13">
        <f t="shared" si="104"/>
        <v>-7.7831728503952036E-4</v>
      </c>
      <c r="I867">
        <f t="shared" si="105"/>
        <v>155.6544900616978</v>
      </c>
      <c r="J867">
        <f t="shared" si="100"/>
        <v>665.36934354771165</v>
      </c>
      <c r="K867" s="27">
        <f t="shared" si="101"/>
        <v>-344.57296549069747</v>
      </c>
    </row>
    <row r="868" spans="1:11">
      <c r="A868" s="26">
        <v>818</v>
      </c>
      <c r="B868" s="82">
        <f t="shared" si="102"/>
        <v>0</v>
      </c>
      <c r="C868" s="58">
        <f t="shared" si="106"/>
        <v>156.29037528357509</v>
      </c>
      <c r="D868" s="83">
        <f t="shared" si="103"/>
        <v>666.66666666666663</v>
      </c>
      <c r="E868">
        <f t="shared" si="99"/>
        <v>0</v>
      </c>
      <c r="G868">
        <v>818</v>
      </c>
      <c r="H868" s="13">
        <f t="shared" si="104"/>
        <v>-7.7831728503952036E-4</v>
      </c>
      <c r="I868">
        <f t="shared" si="105"/>
        <v>155.65371174441276</v>
      </c>
      <c r="J868">
        <f t="shared" si="100"/>
        <v>665.36773607007251</v>
      </c>
      <c r="K868" s="27">
        <f t="shared" si="101"/>
        <v>-344.57130054550652</v>
      </c>
    </row>
    <row r="869" spans="1:11">
      <c r="A869" s="26">
        <v>819</v>
      </c>
      <c r="B869" s="82">
        <f t="shared" si="102"/>
        <v>0</v>
      </c>
      <c r="C869" s="58">
        <f t="shared" si="106"/>
        <v>156.29037528357509</v>
      </c>
      <c r="D869" s="83">
        <f t="shared" si="103"/>
        <v>666.66666666666663</v>
      </c>
      <c r="E869">
        <f t="shared" si="99"/>
        <v>0</v>
      </c>
      <c r="G869">
        <v>819</v>
      </c>
      <c r="H869" s="13">
        <f t="shared" si="104"/>
        <v>-7.7831728503952036E-4</v>
      </c>
      <c r="I869">
        <f t="shared" si="105"/>
        <v>155.65293342712772</v>
      </c>
      <c r="J869">
        <f t="shared" si="100"/>
        <v>665.366128543635</v>
      </c>
      <c r="K869" s="27">
        <f t="shared" si="101"/>
        <v>-344.56963555379417</v>
      </c>
    </row>
    <row r="870" spans="1:11">
      <c r="A870" s="26">
        <v>820</v>
      </c>
      <c r="B870" s="82">
        <f t="shared" si="102"/>
        <v>0</v>
      </c>
      <c r="C870" s="58">
        <f t="shared" si="106"/>
        <v>156.29037528357509</v>
      </c>
      <c r="D870" s="83">
        <f t="shared" si="103"/>
        <v>666.66666666666663</v>
      </c>
      <c r="E870">
        <f t="shared" si="99"/>
        <v>0</v>
      </c>
      <c r="G870">
        <v>820</v>
      </c>
      <c r="H870" s="13">
        <f t="shared" si="104"/>
        <v>-7.7831728503952036E-4</v>
      </c>
      <c r="I870">
        <f t="shared" si="105"/>
        <v>155.65215510984268</v>
      </c>
      <c r="J870">
        <f t="shared" si="100"/>
        <v>665.36452096839548</v>
      </c>
      <c r="K870" s="27">
        <f t="shared" si="101"/>
        <v>-344.56797051555708</v>
      </c>
    </row>
    <row r="871" spans="1:11">
      <c r="A871" s="26">
        <v>821</v>
      </c>
      <c r="B871" s="82">
        <f t="shared" si="102"/>
        <v>0</v>
      </c>
      <c r="C871" s="58">
        <f t="shared" si="106"/>
        <v>156.29037528357509</v>
      </c>
      <c r="D871" s="83">
        <f t="shared" si="103"/>
        <v>666.66666666666663</v>
      </c>
      <c r="E871">
        <f t="shared" si="99"/>
        <v>0</v>
      </c>
      <c r="G871">
        <v>821</v>
      </c>
      <c r="H871" s="13">
        <f t="shared" si="104"/>
        <v>-7.7831728503952036E-4</v>
      </c>
      <c r="I871">
        <f t="shared" si="105"/>
        <v>155.65137679255764</v>
      </c>
      <c r="J871">
        <f t="shared" si="100"/>
        <v>665.36291334435032</v>
      </c>
      <c r="K871" s="27">
        <f t="shared" si="101"/>
        <v>-344.56630543079172</v>
      </c>
    </row>
    <row r="872" spans="1:11">
      <c r="A872" s="26">
        <v>822</v>
      </c>
      <c r="B872" s="82">
        <f t="shared" si="102"/>
        <v>0</v>
      </c>
      <c r="C872" s="58">
        <f t="shared" si="106"/>
        <v>156.29037528357509</v>
      </c>
      <c r="D872" s="83">
        <f t="shared" si="103"/>
        <v>666.66666666666663</v>
      </c>
      <c r="E872">
        <f t="shared" si="99"/>
        <v>0</v>
      </c>
      <c r="G872">
        <v>822</v>
      </c>
      <c r="H872" s="13">
        <f t="shared" si="104"/>
        <v>-7.7831728503952036E-4</v>
      </c>
      <c r="I872">
        <f t="shared" si="105"/>
        <v>155.6505984752726</v>
      </c>
      <c r="J872">
        <f t="shared" si="100"/>
        <v>665.36130567149587</v>
      </c>
      <c r="K872" s="27">
        <f t="shared" si="101"/>
        <v>-344.56464029949484</v>
      </c>
    </row>
    <row r="873" spans="1:11">
      <c r="A873" s="26">
        <v>823</v>
      </c>
      <c r="B873" s="82">
        <f t="shared" si="102"/>
        <v>0</v>
      </c>
      <c r="C873" s="58">
        <f t="shared" si="106"/>
        <v>156.29037528357509</v>
      </c>
      <c r="D873" s="83">
        <f t="shared" si="103"/>
        <v>666.66666666666663</v>
      </c>
      <c r="E873">
        <f t="shared" si="99"/>
        <v>0</v>
      </c>
      <c r="G873">
        <v>823</v>
      </c>
      <c r="H873" s="13">
        <f t="shared" si="104"/>
        <v>-7.7831728503952036E-4</v>
      </c>
      <c r="I873">
        <f t="shared" si="105"/>
        <v>155.64982015798756</v>
      </c>
      <c r="J873">
        <f t="shared" si="100"/>
        <v>665.35969794982873</v>
      </c>
      <c r="K873" s="27">
        <f t="shared" si="101"/>
        <v>-344.56297512166316</v>
      </c>
    </row>
    <row r="874" spans="1:11">
      <c r="A874" s="26">
        <v>824</v>
      </c>
      <c r="B874" s="82">
        <f t="shared" si="102"/>
        <v>0</v>
      </c>
      <c r="C874" s="58">
        <f t="shared" si="106"/>
        <v>156.29037528357509</v>
      </c>
      <c r="D874" s="83">
        <f t="shared" si="103"/>
        <v>666.66666666666663</v>
      </c>
      <c r="E874">
        <f t="shared" si="99"/>
        <v>0</v>
      </c>
      <c r="G874">
        <v>824</v>
      </c>
      <c r="H874" s="13">
        <f t="shared" si="104"/>
        <v>-7.7831728503952036E-4</v>
      </c>
      <c r="I874">
        <f t="shared" si="105"/>
        <v>155.64904184070252</v>
      </c>
      <c r="J874">
        <f t="shared" si="100"/>
        <v>665.35809017934525</v>
      </c>
      <c r="K874" s="27">
        <f t="shared" si="101"/>
        <v>-344.56130989729331</v>
      </c>
    </row>
    <row r="875" spans="1:11">
      <c r="A875" s="26">
        <v>825</v>
      </c>
      <c r="B875" s="82">
        <f t="shared" si="102"/>
        <v>0</v>
      </c>
      <c r="C875" s="58">
        <f t="shared" si="106"/>
        <v>156.29037528357509</v>
      </c>
      <c r="D875" s="83">
        <f t="shared" si="103"/>
        <v>666.66666666666663</v>
      </c>
      <c r="E875">
        <f t="shared" si="99"/>
        <v>0</v>
      </c>
      <c r="G875">
        <v>825</v>
      </c>
      <c r="H875" s="13">
        <f t="shared" si="104"/>
        <v>-7.7831728503952036E-4</v>
      </c>
      <c r="I875">
        <f t="shared" si="105"/>
        <v>155.64826352341748</v>
      </c>
      <c r="J875">
        <f t="shared" si="100"/>
        <v>665.3564823600417</v>
      </c>
      <c r="K875" s="27">
        <f t="shared" si="101"/>
        <v>-344.55964462638184</v>
      </c>
    </row>
    <row r="876" spans="1:11">
      <c r="A876" s="26">
        <v>826</v>
      </c>
      <c r="B876" s="82">
        <f t="shared" si="102"/>
        <v>0</v>
      </c>
      <c r="C876" s="58">
        <f t="shared" si="106"/>
        <v>156.29037528357509</v>
      </c>
      <c r="D876" s="83">
        <f t="shared" si="103"/>
        <v>666.66666666666663</v>
      </c>
      <c r="E876">
        <f t="shared" si="99"/>
        <v>0</v>
      </c>
      <c r="G876">
        <v>826</v>
      </c>
      <c r="H876" s="13">
        <f t="shared" si="104"/>
        <v>-7.7831728503952036E-4</v>
      </c>
      <c r="I876">
        <f t="shared" si="105"/>
        <v>155.64748520613244</v>
      </c>
      <c r="J876">
        <f t="shared" si="100"/>
        <v>665.35487449191453</v>
      </c>
      <c r="K876" s="27">
        <f t="shared" si="101"/>
        <v>-344.55797930892533</v>
      </c>
    </row>
    <row r="877" spans="1:11">
      <c r="A877" s="26">
        <v>827</v>
      </c>
      <c r="B877" s="82">
        <f t="shared" si="102"/>
        <v>0</v>
      </c>
      <c r="C877" s="58">
        <f t="shared" si="106"/>
        <v>156.29037528357509</v>
      </c>
      <c r="D877" s="83">
        <f t="shared" si="103"/>
        <v>666.66666666666663</v>
      </c>
      <c r="E877">
        <f t="shared" si="99"/>
        <v>0</v>
      </c>
      <c r="G877">
        <v>827</v>
      </c>
      <c r="H877" s="13">
        <f t="shared" si="104"/>
        <v>-7.7831728503952036E-4</v>
      </c>
      <c r="I877">
        <f t="shared" si="105"/>
        <v>155.6467068888474</v>
      </c>
      <c r="J877">
        <f t="shared" si="100"/>
        <v>665.35326657496012</v>
      </c>
      <c r="K877" s="27">
        <f t="shared" si="101"/>
        <v>-344.55631394492048</v>
      </c>
    </row>
    <row r="878" spans="1:11">
      <c r="A878" s="26">
        <v>828</v>
      </c>
      <c r="B878" s="82">
        <f t="shared" si="102"/>
        <v>0</v>
      </c>
      <c r="C878" s="58">
        <f t="shared" si="106"/>
        <v>156.29037528357509</v>
      </c>
      <c r="D878" s="83">
        <f t="shared" si="103"/>
        <v>666.66666666666663</v>
      </c>
      <c r="E878">
        <f t="shared" si="99"/>
        <v>0</v>
      </c>
      <c r="G878">
        <v>828</v>
      </c>
      <c r="H878" s="13">
        <f t="shared" si="104"/>
        <v>-7.7831728503952036E-4</v>
      </c>
      <c r="I878">
        <f t="shared" si="105"/>
        <v>155.64592857156237</v>
      </c>
      <c r="J878">
        <f t="shared" si="100"/>
        <v>665.35165860917493</v>
      </c>
      <c r="K878" s="27">
        <f t="shared" si="101"/>
        <v>-344.55464853436393</v>
      </c>
    </row>
    <row r="879" spans="1:11">
      <c r="A879" s="26">
        <v>829</v>
      </c>
      <c r="B879" s="82">
        <f t="shared" si="102"/>
        <v>0</v>
      </c>
      <c r="C879" s="58">
        <f t="shared" si="106"/>
        <v>156.29037528357509</v>
      </c>
      <c r="D879" s="83">
        <f t="shared" si="103"/>
        <v>666.66666666666663</v>
      </c>
      <c r="E879">
        <f t="shared" si="99"/>
        <v>0</v>
      </c>
      <c r="G879">
        <v>829</v>
      </c>
      <c r="H879" s="13">
        <f t="shared" si="104"/>
        <v>-7.7831728503952036E-4</v>
      </c>
      <c r="I879">
        <f t="shared" si="105"/>
        <v>155.64515025427733</v>
      </c>
      <c r="J879">
        <f t="shared" si="100"/>
        <v>665.35005059455534</v>
      </c>
      <c r="K879" s="27">
        <f t="shared" si="101"/>
        <v>-344.55298307725235</v>
      </c>
    </row>
    <row r="880" spans="1:11">
      <c r="A880" s="26">
        <v>830</v>
      </c>
      <c r="B880" s="82">
        <f t="shared" si="102"/>
        <v>0</v>
      </c>
      <c r="C880" s="58">
        <f t="shared" si="106"/>
        <v>156.29037528357509</v>
      </c>
      <c r="D880" s="83">
        <f t="shared" si="103"/>
        <v>666.66666666666663</v>
      </c>
      <c r="E880">
        <f t="shared" si="99"/>
        <v>0</v>
      </c>
      <c r="G880">
        <v>830</v>
      </c>
      <c r="H880" s="13">
        <f t="shared" si="104"/>
        <v>-7.7831728503952036E-4</v>
      </c>
      <c r="I880">
        <f t="shared" si="105"/>
        <v>155.64437193699229</v>
      </c>
      <c r="J880">
        <f t="shared" si="100"/>
        <v>665.3484425310977</v>
      </c>
      <c r="K880" s="27">
        <f t="shared" si="101"/>
        <v>-344.55131757358237</v>
      </c>
    </row>
    <row r="881" spans="1:11">
      <c r="A881" s="26">
        <v>831</v>
      </c>
      <c r="B881" s="82">
        <f t="shared" si="102"/>
        <v>0</v>
      </c>
      <c r="C881" s="58">
        <f t="shared" si="106"/>
        <v>156.29037528357509</v>
      </c>
      <c r="D881" s="83">
        <f t="shared" si="103"/>
        <v>666.66666666666663</v>
      </c>
      <c r="E881">
        <f t="shared" si="99"/>
        <v>0</v>
      </c>
      <c r="G881">
        <v>831</v>
      </c>
      <c r="H881" s="13">
        <f t="shared" si="104"/>
        <v>-7.7831728503952036E-4</v>
      </c>
      <c r="I881">
        <f t="shared" si="105"/>
        <v>155.64359361970725</v>
      </c>
      <c r="J881">
        <f t="shared" si="100"/>
        <v>665.34683441879849</v>
      </c>
      <c r="K881" s="27">
        <f t="shared" si="101"/>
        <v>-344.54965202335052</v>
      </c>
    </row>
    <row r="882" spans="1:11">
      <c r="A882" s="26">
        <v>832</v>
      </c>
      <c r="B882" s="82">
        <f t="shared" si="102"/>
        <v>0</v>
      </c>
      <c r="C882" s="58">
        <f t="shared" si="106"/>
        <v>156.29037528357509</v>
      </c>
      <c r="D882" s="83">
        <f t="shared" si="103"/>
        <v>666.66666666666663</v>
      </c>
      <c r="E882">
        <f t="shared" si="99"/>
        <v>0</v>
      </c>
      <c r="G882">
        <v>832</v>
      </c>
      <c r="H882" s="13">
        <f t="shared" si="104"/>
        <v>-7.7831728503952036E-4</v>
      </c>
      <c r="I882">
        <f t="shared" si="105"/>
        <v>155.64281530242221</v>
      </c>
      <c r="J882">
        <f t="shared" si="100"/>
        <v>665.34522625765396</v>
      </c>
      <c r="K882" s="27">
        <f t="shared" si="101"/>
        <v>-344.54798642655356</v>
      </c>
    </row>
    <row r="883" spans="1:11">
      <c r="A883" s="26">
        <v>833</v>
      </c>
      <c r="B883" s="82">
        <f t="shared" si="102"/>
        <v>0</v>
      </c>
      <c r="C883" s="58">
        <f t="shared" si="106"/>
        <v>156.29037528357509</v>
      </c>
      <c r="D883" s="83">
        <f t="shared" si="103"/>
        <v>666.66666666666663</v>
      </c>
      <c r="E883">
        <f t="shared" ref="E883:E946" si="107">((D883^2)+(D883*D884)+(D884^2))*B884/3</f>
        <v>0</v>
      </c>
      <c r="G883">
        <v>833</v>
      </c>
      <c r="H883" s="13">
        <f t="shared" si="104"/>
        <v>-7.7831728503952036E-4</v>
      </c>
      <c r="I883">
        <f t="shared" si="105"/>
        <v>155.64203698513717</v>
      </c>
      <c r="J883">
        <f t="shared" ref="J883:J946" si="108">IF($G$28&lt;$C$14,0,((($C$11^2)-((I883-$C$13)^2))^0.5)+$C$16)</f>
        <v>665.3436180476607</v>
      </c>
      <c r="K883" s="27">
        <f t="shared" ref="K883:K946" si="109">((J883^2)+(J883*J884)+(J884^2))*H884/3</f>
        <v>-344.54632078318809</v>
      </c>
    </row>
    <row r="884" spans="1:11">
      <c r="A884" s="26">
        <v>834</v>
      </c>
      <c r="B884" s="82">
        <f t="shared" ref="B884:B947" si="110">C884-C883</f>
        <v>0</v>
      </c>
      <c r="C884" s="58">
        <f t="shared" si="106"/>
        <v>156.29037528357509</v>
      </c>
      <c r="D884" s="83">
        <f t="shared" ref="D884:D947" si="111">IF($G$28&lt;$C$14,0,((($C$11^2)-((C884-$C$13)^2))^0.5)+$C$16)</f>
        <v>666.66666666666663</v>
      </c>
      <c r="E884">
        <f t="shared" si="107"/>
        <v>0</v>
      </c>
      <c r="G884">
        <v>834</v>
      </c>
      <c r="H884" s="13">
        <f t="shared" ref="H884:H947" si="112">I884-I883</f>
        <v>-7.7831728503952036E-4</v>
      </c>
      <c r="I884">
        <f t="shared" ref="I884:I947" si="113">($G$27-$C$14)/2000+I883</f>
        <v>155.64125866785213</v>
      </c>
      <c r="J884">
        <f t="shared" si="108"/>
        <v>665.34200978881483</v>
      </c>
      <c r="K884" s="27">
        <f t="shared" si="109"/>
        <v>-344.54465509325064</v>
      </c>
    </row>
    <row r="885" spans="1:11">
      <c r="A885" s="26">
        <v>835</v>
      </c>
      <c r="B885" s="82">
        <f t="shared" si="110"/>
        <v>0</v>
      </c>
      <c r="C885" s="58">
        <f t="shared" si="106"/>
        <v>156.29037528357509</v>
      </c>
      <c r="D885" s="83">
        <f t="shared" si="111"/>
        <v>666.66666666666663</v>
      </c>
      <c r="E885">
        <f t="shared" si="107"/>
        <v>0</v>
      </c>
      <c r="G885">
        <v>835</v>
      </c>
      <c r="H885" s="13">
        <f t="shared" si="112"/>
        <v>-7.7831728503952036E-4</v>
      </c>
      <c r="I885">
        <f t="shared" si="113"/>
        <v>155.64048035056709</v>
      </c>
      <c r="J885">
        <f t="shared" si="108"/>
        <v>665.34040148111308</v>
      </c>
      <c r="K885" s="27">
        <f t="shared" si="109"/>
        <v>-344.54298935673802</v>
      </c>
    </row>
    <row r="886" spans="1:11">
      <c r="A886" s="26">
        <v>836</v>
      </c>
      <c r="B886" s="82">
        <f t="shared" si="110"/>
        <v>0</v>
      </c>
      <c r="C886" s="58">
        <f t="shared" si="106"/>
        <v>156.29037528357509</v>
      </c>
      <c r="D886" s="83">
        <f t="shared" si="111"/>
        <v>666.66666666666663</v>
      </c>
      <c r="E886">
        <f t="shared" si="107"/>
        <v>0</v>
      </c>
      <c r="G886">
        <v>836</v>
      </c>
      <c r="H886" s="13">
        <f t="shared" si="112"/>
        <v>-7.7831728503952036E-4</v>
      </c>
      <c r="I886">
        <f t="shared" si="113"/>
        <v>155.63970203328205</v>
      </c>
      <c r="J886">
        <f t="shared" si="108"/>
        <v>665.33879312455156</v>
      </c>
      <c r="K886" s="27">
        <f t="shared" si="109"/>
        <v>-344.54132357364665</v>
      </c>
    </row>
    <row r="887" spans="1:11">
      <c r="A887" s="26">
        <v>837</v>
      </c>
      <c r="B887" s="82">
        <f t="shared" si="110"/>
        <v>0</v>
      </c>
      <c r="C887" s="58">
        <f t="shared" si="106"/>
        <v>156.29037528357509</v>
      </c>
      <c r="D887" s="83">
        <f t="shared" si="111"/>
        <v>666.66666666666663</v>
      </c>
      <c r="E887">
        <f t="shared" si="107"/>
        <v>0</v>
      </c>
      <c r="G887">
        <v>837</v>
      </c>
      <c r="H887" s="13">
        <f t="shared" si="112"/>
        <v>-7.7831728503952036E-4</v>
      </c>
      <c r="I887">
        <f t="shared" si="113"/>
        <v>155.63892371599701</v>
      </c>
      <c r="J887">
        <f t="shared" si="108"/>
        <v>665.33718471912675</v>
      </c>
      <c r="K887" s="27">
        <f t="shared" si="109"/>
        <v>-344.53965774397329</v>
      </c>
    </row>
    <row r="888" spans="1:11">
      <c r="A888" s="26">
        <v>838</v>
      </c>
      <c r="B888" s="82">
        <f t="shared" si="110"/>
        <v>0</v>
      </c>
      <c r="C888" s="58">
        <f t="shared" si="106"/>
        <v>156.29037528357509</v>
      </c>
      <c r="D888" s="83">
        <f t="shared" si="111"/>
        <v>666.66666666666663</v>
      </c>
      <c r="E888">
        <f t="shared" si="107"/>
        <v>0</v>
      </c>
      <c r="G888">
        <v>838</v>
      </c>
      <c r="H888" s="13">
        <f t="shared" si="112"/>
        <v>-7.7831728503952036E-4</v>
      </c>
      <c r="I888">
        <f t="shared" si="113"/>
        <v>155.63814539871197</v>
      </c>
      <c r="J888">
        <f t="shared" si="108"/>
        <v>665.33557626483514</v>
      </c>
      <c r="K888" s="27">
        <f t="shared" si="109"/>
        <v>-344.53799186771454</v>
      </c>
    </row>
    <row r="889" spans="1:11">
      <c r="A889" s="26">
        <v>839</v>
      </c>
      <c r="B889" s="82">
        <f t="shared" si="110"/>
        <v>0</v>
      </c>
      <c r="C889" s="58">
        <f t="shared" si="106"/>
        <v>156.29037528357509</v>
      </c>
      <c r="D889" s="83">
        <f t="shared" si="111"/>
        <v>666.66666666666663</v>
      </c>
      <c r="E889">
        <f t="shared" si="107"/>
        <v>0</v>
      </c>
      <c r="G889">
        <v>839</v>
      </c>
      <c r="H889" s="13">
        <f t="shared" si="112"/>
        <v>-7.7831728503952036E-4</v>
      </c>
      <c r="I889">
        <f t="shared" si="113"/>
        <v>155.63736708142693</v>
      </c>
      <c r="J889">
        <f t="shared" si="108"/>
        <v>665.33396776167297</v>
      </c>
      <c r="K889" s="27">
        <f t="shared" si="109"/>
        <v>-344.53632594486703</v>
      </c>
    </row>
    <row r="890" spans="1:11">
      <c r="A890" s="26">
        <v>840</v>
      </c>
      <c r="B890" s="82">
        <f t="shared" si="110"/>
        <v>0</v>
      </c>
      <c r="C890" s="58">
        <f t="shared" si="106"/>
        <v>156.29037528357509</v>
      </c>
      <c r="D890" s="83">
        <f t="shared" si="111"/>
        <v>666.66666666666663</v>
      </c>
      <c r="E890">
        <f t="shared" si="107"/>
        <v>0</v>
      </c>
      <c r="G890">
        <v>840</v>
      </c>
      <c r="H890" s="13">
        <f t="shared" si="112"/>
        <v>-7.7831728503952036E-4</v>
      </c>
      <c r="I890">
        <f t="shared" si="113"/>
        <v>155.63658876414189</v>
      </c>
      <c r="J890">
        <f t="shared" si="108"/>
        <v>665.33235920963671</v>
      </c>
      <c r="K890" s="27">
        <f t="shared" si="109"/>
        <v>-344.53465997542747</v>
      </c>
    </row>
    <row r="891" spans="1:11">
      <c r="A891" s="26">
        <v>841</v>
      </c>
      <c r="B891" s="82">
        <f t="shared" si="110"/>
        <v>0</v>
      </c>
      <c r="C891" s="58">
        <f t="shared" si="106"/>
        <v>156.29037528357509</v>
      </c>
      <c r="D891" s="83">
        <f t="shared" si="111"/>
        <v>666.66666666666663</v>
      </c>
      <c r="E891">
        <f t="shared" si="107"/>
        <v>0</v>
      </c>
      <c r="G891">
        <v>841</v>
      </c>
      <c r="H891" s="13">
        <f t="shared" si="112"/>
        <v>-7.7831728503952036E-4</v>
      </c>
      <c r="I891">
        <f t="shared" si="113"/>
        <v>155.63581044685685</v>
      </c>
      <c r="J891">
        <f t="shared" si="108"/>
        <v>665.33075060872284</v>
      </c>
      <c r="K891" s="27">
        <f t="shared" si="109"/>
        <v>-344.53299395939234</v>
      </c>
    </row>
    <row r="892" spans="1:11">
      <c r="A892" s="26">
        <v>842</v>
      </c>
      <c r="B892" s="82">
        <f t="shared" si="110"/>
        <v>0</v>
      </c>
      <c r="C892" s="58">
        <f t="shared" si="106"/>
        <v>156.29037528357509</v>
      </c>
      <c r="D892" s="83">
        <f t="shared" si="111"/>
        <v>666.66666666666663</v>
      </c>
      <c r="E892">
        <f t="shared" si="107"/>
        <v>0</v>
      </c>
      <c r="G892">
        <v>842</v>
      </c>
      <c r="H892" s="13">
        <f t="shared" si="112"/>
        <v>-7.7831728503952036E-4</v>
      </c>
      <c r="I892">
        <f t="shared" si="113"/>
        <v>155.63503212957181</v>
      </c>
      <c r="J892">
        <f t="shared" si="108"/>
        <v>665.32914195892749</v>
      </c>
      <c r="K892" s="27">
        <f t="shared" si="109"/>
        <v>-344.53132789675828</v>
      </c>
    </row>
    <row r="893" spans="1:11">
      <c r="A893" s="26">
        <v>843</v>
      </c>
      <c r="B893" s="82">
        <f t="shared" si="110"/>
        <v>0</v>
      </c>
      <c r="C893" s="58">
        <f t="shared" si="106"/>
        <v>156.29037528357509</v>
      </c>
      <c r="D893" s="83">
        <f t="shared" si="111"/>
        <v>666.66666666666663</v>
      </c>
      <c r="E893">
        <f t="shared" si="107"/>
        <v>0</v>
      </c>
      <c r="G893">
        <v>843</v>
      </c>
      <c r="H893" s="13">
        <f t="shared" si="112"/>
        <v>-7.7831728503952036E-4</v>
      </c>
      <c r="I893">
        <f t="shared" si="113"/>
        <v>155.63425381228677</v>
      </c>
      <c r="J893">
        <f t="shared" si="108"/>
        <v>665.32753326024726</v>
      </c>
      <c r="K893" s="27">
        <f t="shared" si="109"/>
        <v>-344.529661787522</v>
      </c>
    </row>
    <row r="894" spans="1:11">
      <c r="A894" s="26">
        <v>844</v>
      </c>
      <c r="B894" s="82">
        <f t="shared" si="110"/>
        <v>0</v>
      </c>
      <c r="C894" s="58">
        <f t="shared" si="106"/>
        <v>156.29037528357509</v>
      </c>
      <c r="D894" s="83">
        <f t="shared" si="111"/>
        <v>666.66666666666663</v>
      </c>
      <c r="E894">
        <f t="shared" si="107"/>
        <v>0</v>
      </c>
      <c r="G894">
        <v>844</v>
      </c>
      <c r="H894" s="13">
        <f t="shared" si="112"/>
        <v>-7.7831728503952036E-4</v>
      </c>
      <c r="I894">
        <f t="shared" si="113"/>
        <v>155.63347549500173</v>
      </c>
      <c r="J894">
        <f t="shared" si="108"/>
        <v>665.32592451267851</v>
      </c>
      <c r="K894" s="27">
        <f t="shared" si="109"/>
        <v>-344.52799563168014</v>
      </c>
    </row>
    <row r="895" spans="1:11">
      <c r="A895" s="26">
        <v>845</v>
      </c>
      <c r="B895" s="82">
        <f t="shared" si="110"/>
        <v>0</v>
      </c>
      <c r="C895" s="58">
        <f t="shared" si="106"/>
        <v>156.29037528357509</v>
      </c>
      <c r="D895" s="83">
        <f t="shared" si="111"/>
        <v>666.66666666666663</v>
      </c>
      <c r="E895">
        <f t="shared" si="107"/>
        <v>0</v>
      </c>
      <c r="G895">
        <v>845</v>
      </c>
      <c r="H895" s="13">
        <f t="shared" si="112"/>
        <v>-7.7831728503952036E-4</v>
      </c>
      <c r="I895">
        <f t="shared" si="113"/>
        <v>155.63269717771669</v>
      </c>
      <c r="J895">
        <f t="shared" si="108"/>
        <v>665.3243157162176</v>
      </c>
      <c r="K895" s="27">
        <f t="shared" si="109"/>
        <v>-344.52632942922941</v>
      </c>
    </row>
    <row r="896" spans="1:11">
      <c r="A896" s="26">
        <v>846</v>
      </c>
      <c r="B896" s="82">
        <f t="shared" si="110"/>
        <v>0</v>
      </c>
      <c r="C896" s="58">
        <f t="shared" si="106"/>
        <v>156.29037528357509</v>
      </c>
      <c r="D896" s="83">
        <f t="shared" si="111"/>
        <v>666.66666666666663</v>
      </c>
      <c r="E896">
        <f t="shared" si="107"/>
        <v>0</v>
      </c>
      <c r="G896">
        <v>846</v>
      </c>
      <c r="H896" s="13">
        <f t="shared" si="112"/>
        <v>-7.7831728503952036E-4</v>
      </c>
      <c r="I896">
        <f t="shared" si="113"/>
        <v>155.63191886043165</v>
      </c>
      <c r="J896">
        <f t="shared" si="108"/>
        <v>665.322706870861</v>
      </c>
      <c r="K896" s="27">
        <f t="shared" si="109"/>
        <v>-344.5246631801661</v>
      </c>
    </row>
    <row r="897" spans="1:11">
      <c r="A897" s="26">
        <v>847</v>
      </c>
      <c r="B897" s="82">
        <f t="shared" si="110"/>
        <v>0</v>
      </c>
      <c r="C897" s="58">
        <f t="shared" si="106"/>
        <v>156.29037528357509</v>
      </c>
      <c r="D897" s="83">
        <f t="shared" si="111"/>
        <v>666.66666666666663</v>
      </c>
      <c r="E897">
        <f t="shared" si="107"/>
        <v>0</v>
      </c>
      <c r="G897">
        <v>847</v>
      </c>
      <c r="H897" s="13">
        <f t="shared" si="112"/>
        <v>-7.7831728503952036E-4</v>
      </c>
      <c r="I897">
        <f t="shared" si="113"/>
        <v>155.63114054314661</v>
      </c>
      <c r="J897">
        <f t="shared" si="108"/>
        <v>665.32109797660496</v>
      </c>
      <c r="K897" s="27">
        <f t="shared" si="109"/>
        <v>-344.52299688448721</v>
      </c>
    </row>
    <row r="898" spans="1:11">
      <c r="A898" s="26">
        <v>848</v>
      </c>
      <c r="B898" s="82">
        <f t="shared" si="110"/>
        <v>0</v>
      </c>
      <c r="C898" s="58">
        <f t="shared" si="106"/>
        <v>156.29037528357509</v>
      </c>
      <c r="D898" s="83">
        <f t="shared" si="111"/>
        <v>666.66666666666663</v>
      </c>
      <c r="E898">
        <f t="shared" si="107"/>
        <v>0</v>
      </c>
      <c r="G898">
        <v>848</v>
      </c>
      <c r="H898" s="13">
        <f t="shared" si="112"/>
        <v>-7.7831728503952036E-4</v>
      </c>
      <c r="I898">
        <f t="shared" si="113"/>
        <v>155.63036222586157</v>
      </c>
      <c r="J898">
        <f t="shared" si="108"/>
        <v>665.31948903344596</v>
      </c>
      <c r="K898" s="27">
        <f t="shared" si="109"/>
        <v>-344.52133054218916</v>
      </c>
    </row>
    <row r="899" spans="1:11">
      <c r="A899" s="26">
        <v>849</v>
      </c>
      <c r="B899" s="82">
        <f t="shared" si="110"/>
        <v>0</v>
      </c>
      <c r="C899" s="58">
        <f t="shared" si="106"/>
        <v>156.29037528357509</v>
      </c>
      <c r="D899" s="83">
        <f t="shared" si="111"/>
        <v>666.66666666666663</v>
      </c>
      <c r="E899">
        <f t="shared" si="107"/>
        <v>0</v>
      </c>
      <c r="G899">
        <v>849</v>
      </c>
      <c r="H899" s="13">
        <f t="shared" si="112"/>
        <v>-7.7831728503952036E-4</v>
      </c>
      <c r="I899">
        <f t="shared" si="113"/>
        <v>155.62958390857654</v>
      </c>
      <c r="J899">
        <f t="shared" si="108"/>
        <v>665.31788004138025</v>
      </c>
      <c r="K899" s="27">
        <f t="shared" si="109"/>
        <v>-344.51966415326859</v>
      </c>
    </row>
    <row r="900" spans="1:11">
      <c r="A900" s="26">
        <v>850</v>
      </c>
      <c r="B900" s="82">
        <f t="shared" si="110"/>
        <v>0</v>
      </c>
      <c r="C900" s="58">
        <f t="shared" si="106"/>
        <v>156.29037528357509</v>
      </c>
      <c r="D900" s="83">
        <f t="shared" si="111"/>
        <v>666.66666666666663</v>
      </c>
      <c r="E900">
        <f t="shared" si="107"/>
        <v>0</v>
      </c>
      <c r="G900">
        <v>850</v>
      </c>
      <c r="H900" s="13">
        <f t="shared" si="112"/>
        <v>-7.7831728503952036E-4</v>
      </c>
      <c r="I900">
        <f t="shared" si="113"/>
        <v>155.6288055912915</v>
      </c>
      <c r="J900">
        <f t="shared" si="108"/>
        <v>665.31627100040441</v>
      </c>
      <c r="K900" s="27">
        <f t="shared" si="109"/>
        <v>-344.51799771772215</v>
      </c>
    </row>
    <row r="901" spans="1:11">
      <c r="A901" s="26">
        <v>851</v>
      </c>
      <c r="B901" s="82">
        <f t="shared" si="110"/>
        <v>0</v>
      </c>
      <c r="C901" s="58">
        <f t="shared" si="106"/>
        <v>156.29037528357509</v>
      </c>
      <c r="D901" s="83">
        <f t="shared" si="111"/>
        <v>666.66666666666663</v>
      </c>
      <c r="E901">
        <f t="shared" si="107"/>
        <v>0</v>
      </c>
      <c r="G901">
        <v>851</v>
      </c>
      <c r="H901" s="13">
        <f t="shared" si="112"/>
        <v>-7.7831728503952036E-4</v>
      </c>
      <c r="I901">
        <f t="shared" si="113"/>
        <v>155.62802727400646</v>
      </c>
      <c r="J901">
        <f t="shared" si="108"/>
        <v>665.3146619105147</v>
      </c>
      <c r="K901" s="27">
        <f t="shared" si="109"/>
        <v>-344.51633123554649</v>
      </c>
    </row>
    <row r="902" spans="1:11">
      <c r="A902" s="26">
        <v>852</v>
      </c>
      <c r="B902" s="82">
        <f t="shared" si="110"/>
        <v>0</v>
      </c>
      <c r="C902" s="58">
        <f t="shared" si="106"/>
        <v>156.29037528357509</v>
      </c>
      <c r="D902" s="83">
        <f t="shared" si="111"/>
        <v>666.66666666666663</v>
      </c>
      <c r="E902">
        <f t="shared" si="107"/>
        <v>0</v>
      </c>
      <c r="G902">
        <v>852</v>
      </c>
      <c r="H902" s="13">
        <f t="shared" si="112"/>
        <v>-7.7831728503952036E-4</v>
      </c>
      <c r="I902">
        <f t="shared" si="113"/>
        <v>155.62724895672142</v>
      </c>
      <c r="J902">
        <f t="shared" si="108"/>
        <v>665.31305277170759</v>
      </c>
      <c r="K902" s="27">
        <f t="shared" si="109"/>
        <v>-344.51466470673819</v>
      </c>
    </row>
    <row r="903" spans="1:11">
      <c r="A903" s="26">
        <v>853</v>
      </c>
      <c r="B903" s="82">
        <f t="shared" si="110"/>
        <v>0</v>
      </c>
      <c r="C903" s="58">
        <f t="shared" si="106"/>
        <v>156.29037528357509</v>
      </c>
      <c r="D903" s="83">
        <f t="shared" si="111"/>
        <v>666.66666666666663</v>
      </c>
      <c r="E903">
        <f t="shared" si="107"/>
        <v>0</v>
      </c>
      <c r="G903">
        <v>853</v>
      </c>
      <c r="H903" s="13">
        <f t="shared" si="112"/>
        <v>-7.7831728503952036E-4</v>
      </c>
      <c r="I903">
        <f t="shared" si="113"/>
        <v>155.62647063943638</v>
      </c>
      <c r="J903">
        <f t="shared" si="108"/>
        <v>665.31144358397933</v>
      </c>
      <c r="K903" s="27">
        <f t="shared" si="109"/>
        <v>-344.51299813129384</v>
      </c>
    </row>
    <row r="904" spans="1:11">
      <c r="A904" s="26">
        <v>854</v>
      </c>
      <c r="B904" s="82">
        <f t="shared" si="110"/>
        <v>0</v>
      </c>
      <c r="C904" s="58">
        <f t="shared" si="106"/>
        <v>156.29037528357509</v>
      </c>
      <c r="D904" s="83">
        <f t="shared" si="111"/>
        <v>666.66666666666663</v>
      </c>
      <c r="E904">
        <f t="shared" si="107"/>
        <v>0</v>
      </c>
      <c r="G904">
        <v>854</v>
      </c>
      <c r="H904" s="13">
        <f t="shared" si="112"/>
        <v>-7.7831728503952036E-4</v>
      </c>
      <c r="I904">
        <f t="shared" si="113"/>
        <v>155.62569232215134</v>
      </c>
      <c r="J904">
        <f t="shared" si="108"/>
        <v>665.30983434732639</v>
      </c>
      <c r="K904" s="27">
        <f t="shared" si="109"/>
        <v>-344.51133150921027</v>
      </c>
    </row>
    <row r="905" spans="1:11">
      <c r="A905" s="26">
        <v>855</v>
      </c>
      <c r="B905" s="82">
        <f t="shared" si="110"/>
        <v>0</v>
      </c>
      <c r="C905" s="58">
        <f t="shared" si="106"/>
        <v>156.29037528357509</v>
      </c>
      <c r="D905" s="83">
        <f t="shared" si="111"/>
        <v>666.66666666666663</v>
      </c>
      <c r="E905">
        <f t="shared" si="107"/>
        <v>0</v>
      </c>
      <c r="G905">
        <v>855</v>
      </c>
      <c r="H905" s="13">
        <f t="shared" si="112"/>
        <v>-7.7831728503952036E-4</v>
      </c>
      <c r="I905">
        <f t="shared" si="113"/>
        <v>155.6249140048663</v>
      </c>
      <c r="J905">
        <f t="shared" si="108"/>
        <v>665.30822506174525</v>
      </c>
      <c r="K905" s="27">
        <f t="shared" si="109"/>
        <v>-344.50966484048382</v>
      </c>
    </row>
    <row r="906" spans="1:11">
      <c r="A906" s="26">
        <v>856</v>
      </c>
      <c r="B906" s="82">
        <f t="shared" si="110"/>
        <v>0</v>
      </c>
      <c r="C906" s="58">
        <f t="shared" si="106"/>
        <v>156.29037528357509</v>
      </c>
      <c r="D906" s="83">
        <f t="shared" si="111"/>
        <v>666.66666666666663</v>
      </c>
      <c r="E906">
        <f t="shared" si="107"/>
        <v>0</v>
      </c>
      <c r="G906">
        <v>856</v>
      </c>
      <c r="H906" s="13">
        <f t="shared" si="112"/>
        <v>-7.7831728503952036E-4</v>
      </c>
      <c r="I906">
        <f t="shared" si="113"/>
        <v>155.62413568758126</v>
      </c>
      <c r="J906">
        <f t="shared" si="108"/>
        <v>665.30661572723216</v>
      </c>
      <c r="K906" s="27">
        <f t="shared" si="109"/>
        <v>-344.50799812511127</v>
      </c>
    </row>
    <row r="907" spans="1:11">
      <c r="A907" s="26">
        <v>857</v>
      </c>
      <c r="B907" s="82">
        <f t="shared" si="110"/>
        <v>0</v>
      </c>
      <c r="C907" s="58">
        <f t="shared" si="106"/>
        <v>156.29037528357509</v>
      </c>
      <c r="D907" s="83">
        <f t="shared" si="111"/>
        <v>666.66666666666663</v>
      </c>
      <c r="E907">
        <f t="shared" si="107"/>
        <v>0</v>
      </c>
      <c r="G907">
        <v>857</v>
      </c>
      <c r="H907" s="13">
        <f t="shared" si="112"/>
        <v>-7.7831728503952036E-4</v>
      </c>
      <c r="I907">
        <f t="shared" si="113"/>
        <v>155.62335737029622</v>
      </c>
      <c r="J907">
        <f t="shared" si="108"/>
        <v>665.30500634378348</v>
      </c>
      <c r="K907" s="27">
        <f t="shared" si="109"/>
        <v>-344.5063313630892</v>
      </c>
    </row>
    <row r="908" spans="1:11">
      <c r="A908" s="26">
        <v>858</v>
      </c>
      <c r="B908" s="82">
        <f t="shared" si="110"/>
        <v>0</v>
      </c>
      <c r="C908" s="58">
        <f t="shared" si="106"/>
        <v>156.29037528357509</v>
      </c>
      <c r="D908" s="83">
        <f t="shared" si="111"/>
        <v>666.66666666666663</v>
      </c>
      <c r="E908">
        <f t="shared" si="107"/>
        <v>0</v>
      </c>
      <c r="G908">
        <v>858</v>
      </c>
      <c r="H908" s="13">
        <f t="shared" si="112"/>
        <v>-7.7831728503952036E-4</v>
      </c>
      <c r="I908">
        <f t="shared" si="113"/>
        <v>155.62257905301118</v>
      </c>
      <c r="J908">
        <f t="shared" si="108"/>
        <v>665.30339691139568</v>
      </c>
      <c r="K908" s="27">
        <f t="shared" si="109"/>
        <v>-344.50466455441421</v>
      </c>
    </row>
    <row r="909" spans="1:11">
      <c r="A909" s="26">
        <v>859</v>
      </c>
      <c r="B909" s="82">
        <f t="shared" si="110"/>
        <v>0</v>
      </c>
      <c r="C909" s="58">
        <f t="shared" si="106"/>
        <v>156.29037528357509</v>
      </c>
      <c r="D909" s="83">
        <f t="shared" si="111"/>
        <v>666.66666666666663</v>
      </c>
      <c r="E909">
        <f t="shared" si="107"/>
        <v>0</v>
      </c>
      <c r="G909">
        <v>859</v>
      </c>
      <c r="H909" s="13">
        <f t="shared" si="112"/>
        <v>-7.7831728503952036E-4</v>
      </c>
      <c r="I909">
        <f t="shared" si="113"/>
        <v>155.62180073572614</v>
      </c>
      <c r="J909">
        <f t="shared" si="108"/>
        <v>665.30178743006502</v>
      </c>
      <c r="K909" s="27">
        <f t="shared" si="109"/>
        <v>-344.50299769908293</v>
      </c>
    </row>
    <row r="910" spans="1:11">
      <c r="A910" s="26">
        <v>860</v>
      </c>
      <c r="B910" s="82">
        <f t="shared" si="110"/>
        <v>0</v>
      </c>
      <c r="C910" s="58">
        <f t="shared" si="106"/>
        <v>156.29037528357509</v>
      </c>
      <c r="D910" s="83">
        <f t="shared" si="111"/>
        <v>666.66666666666663</v>
      </c>
      <c r="E910">
        <f t="shared" si="107"/>
        <v>0</v>
      </c>
      <c r="G910">
        <v>860</v>
      </c>
      <c r="H910" s="13">
        <f t="shared" si="112"/>
        <v>-7.7831728503952036E-4</v>
      </c>
      <c r="I910">
        <f t="shared" si="113"/>
        <v>155.6210224184411</v>
      </c>
      <c r="J910">
        <f t="shared" si="108"/>
        <v>665.30017789978808</v>
      </c>
      <c r="K910" s="27">
        <f t="shared" si="109"/>
        <v>-344.50133079709212</v>
      </c>
    </row>
    <row r="911" spans="1:11">
      <c r="A911" s="26">
        <v>861</v>
      </c>
      <c r="B911" s="82">
        <f t="shared" si="110"/>
        <v>0</v>
      </c>
      <c r="C911" s="58">
        <f t="shared" si="106"/>
        <v>156.29037528357509</v>
      </c>
      <c r="D911" s="83">
        <f t="shared" si="111"/>
        <v>666.66666666666663</v>
      </c>
      <c r="E911">
        <f t="shared" si="107"/>
        <v>0</v>
      </c>
      <c r="G911">
        <v>861</v>
      </c>
      <c r="H911" s="13">
        <f t="shared" si="112"/>
        <v>-7.7831728503952036E-4</v>
      </c>
      <c r="I911">
        <f t="shared" si="113"/>
        <v>155.62024410115606</v>
      </c>
      <c r="J911">
        <f t="shared" si="108"/>
        <v>665.29856832056112</v>
      </c>
      <c r="K911" s="27">
        <f t="shared" si="109"/>
        <v>-344.49966384843816</v>
      </c>
    </row>
    <row r="912" spans="1:11">
      <c r="A912" s="26">
        <v>862</v>
      </c>
      <c r="B912" s="82">
        <f t="shared" si="110"/>
        <v>0</v>
      </c>
      <c r="C912" s="58">
        <f t="shared" ref="C912:C975" si="114">($C$37-$C$36)/2000+C911</f>
        <v>156.29037528357509</v>
      </c>
      <c r="D912" s="83">
        <f t="shared" si="111"/>
        <v>666.66666666666663</v>
      </c>
      <c r="E912">
        <f t="shared" si="107"/>
        <v>0</v>
      </c>
      <c r="G912">
        <v>862</v>
      </c>
      <c r="H912" s="13">
        <f t="shared" si="112"/>
        <v>-7.7831728503952036E-4</v>
      </c>
      <c r="I912">
        <f t="shared" si="113"/>
        <v>155.61946578387102</v>
      </c>
      <c r="J912">
        <f t="shared" si="108"/>
        <v>665.29695869238049</v>
      </c>
      <c r="K912" s="27">
        <f t="shared" si="109"/>
        <v>-344.49799685311791</v>
      </c>
    </row>
    <row r="913" spans="1:11">
      <c r="A913" s="26">
        <v>863</v>
      </c>
      <c r="B913" s="82">
        <f t="shared" si="110"/>
        <v>0</v>
      </c>
      <c r="C913" s="58">
        <f t="shared" si="114"/>
        <v>156.29037528357509</v>
      </c>
      <c r="D913" s="83">
        <f t="shared" si="111"/>
        <v>666.66666666666663</v>
      </c>
      <c r="E913">
        <f t="shared" si="107"/>
        <v>0</v>
      </c>
      <c r="G913">
        <v>863</v>
      </c>
      <c r="H913" s="13">
        <f t="shared" si="112"/>
        <v>-7.7831728503952036E-4</v>
      </c>
      <c r="I913">
        <f t="shared" si="113"/>
        <v>155.61868746658598</v>
      </c>
      <c r="J913">
        <f t="shared" si="108"/>
        <v>665.29534901524266</v>
      </c>
      <c r="K913" s="27">
        <f t="shared" si="109"/>
        <v>-344.49632981112774</v>
      </c>
    </row>
    <row r="914" spans="1:11">
      <c r="A914" s="26">
        <v>864</v>
      </c>
      <c r="B914" s="82">
        <f t="shared" si="110"/>
        <v>0</v>
      </c>
      <c r="C914" s="58">
        <f t="shared" si="114"/>
        <v>156.29037528357509</v>
      </c>
      <c r="D914" s="83">
        <f t="shared" si="111"/>
        <v>666.66666666666663</v>
      </c>
      <c r="E914">
        <f t="shared" si="107"/>
        <v>0</v>
      </c>
      <c r="G914">
        <v>864</v>
      </c>
      <c r="H914" s="13">
        <f t="shared" si="112"/>
        <v>-7.7831728503952036E-4</v>
      </c>
      <c r="I914">
        <f t="shared" si="113"/>
        <v>155.61790914930094</v>
      </c>
      <c r="J914">
        <f t="shared" si="108"/>
        <v>665.2937392891439</v>
      </c>
      <c r="K914" s="27">
        <f t="shared" si="109"/>
        <v>-344.4946627224644</v>
      </c>
    </row>
    <row r="915" spans="1:11">
      <c r="A915" s="26">
        <v>865</v>
      </c>
      <c r="B915" s="82">
        <f t="shared" si="110"/>
        <v>0</v>
      </c>
      <c r="C915" s="58">
        <f t="shared" si="114"/>
        <v>156.29037528357509</v>
      </c>
      <c r="D915" s="83">
        <f t="shared" si="111"/>
        <v>666.66666666666663</v>
      </c>
      <c r="E915">
        <f t="shared" si="107"/>
        <v>0</v>
      </c>
      <c r="G915">
        <v>865</v>
      </c>
      <c r="H915" s="13">
        <f t="shared" si="112"/>
        <v>-7.7831728503952036E-4</v>
      </c>
      <c r="I915">
        <f t="shared" si="113"/>
        <v>155.6171308320159</v>
      </c>
      <c r="J915">
        <f t="shared" si="108"/>
        <v>665.29212951408067</v>
      </c>
      <c r="K915" s="27">
        <f t="shared" si="109"/>
        <v>-344.4929955871246</v>
      </c>
    </row>
    <row r="916" spans="1:11">
      <c r="A916" s="26">
        <v>866</v>
      </c>
      <c r="B916" s="82">
        <f t="shared" si="110"/>
        <v>0</v>
      </c>
      <c r="C916" s="58">
        <f t="shared" si="114"/>
        <v>156.29037528357509</v>
      </c>
      <c r="D916" s="83">
        <f t="shared" si="111"/>
        <v>666.66666666666663</v>
      </c>
      <c r="E916">
        <f t="shared" si="107"/>
        <v>0</v>
      </c>
      <c r="G916">
        <v>866</v>
      </c>
      <c r="H916" s="13">
        <f t="shared" si="112"/>
        <v>-7.7831728503952036E-4</v>
      </c>
      <c r="I916">
        <f t="shared" si="113"/>
        <v>155.61635251473086</v>
      </c>
      <c r="J916">
        <f t="shared" si="108"/>
        <v>665.29051969004934</v>
      </c>
      <c r="K916" s="27">
        <f t="shared" si="109"/>
        <v>-344.49132840510487</v>
      </c>
    </row>
    <row r="917" spans="1:11">
      <c r="A917" s="26">
        <v>867</v>
      </c>
      <c r="B917" s="82">
        <f t="shared" si="110"/>
        <v>0</v>
      </c>
      <c r="C917" s="58">
        <f t="shared" si="114"/>
        <v>156.29037528357509</v>
      </c>
      <c r="D917" s="83">
        <f t="shared" si="111"/>
        <v>666.66666666666663</v>
      </c>
      <c r="E917">
        <f t="shared" si="107"/>
        <v>0</v>
      </c>
      <c r="G917">
        <v>867</v>
      </c>
      <c r="H917" s="13">
        <f t="shared" si="112"/>
        <v>-7.7831728503952036E-4</v>
      </c>
      <c r="I917">
        <f t="shared" si="113"/>
        <v>155.61557419744582</v>
      </c>
      <c r="J917">
        <f t="shared" si="108"/>
        <v>665.28890981704637</v>
      </c>
      <c r="K917" s="27">
        <f t="shared" si="109"/>
        <v>-344.48966117640174</v>
      </c>
    </row>
    <row r="918" spans="1:11">
      <c r="A918" s="26">
        <v>868</v>
      </c>
      <c r="B918" s="82">
        <f t="shared" si="110"/>
        <v>0</v>
      </c>
      <c r="C918" s="58">
        <f t="shared" si="114"/>
        <v>156.29037528357509</v>
      </c>
      <c r="D918" s="83">
        <f t="shared" si="111"/>
        <v>666.66666666666663</v>
      </c>
      <c r="E918">
        <f t="shared" si="107"/>
        <v>0</v>
      </c>
      <c r="G918">
        <v>868</v>
      </c>
      <c r="H918" s="13">
        <f t="shared" si="112"/>
        <v>-7.7831728503952036E-4</v>
      </c>
      <c r="I918">
        <f t="shared" si="113"/>
        <v>155.61479588016078</v>
      </c>
      <c r="J918">
        <f t="shared" si="108"/>
        <v>665.28729989506792</v>
      </c>
      <c r="K918" s="27">
        <f t="shared" si="109"/>
        <v>-344.48799390101186</v>
      </c>
    </row>
    <row r="919" spans="1:11">
      <c r="A919" s="26">
        <v>869</v>
      </c>
      <c r="B919" s="82">
        <f t="shared" si="110"/>
        <v>0</v>
      </c>
      <c r="C919" s="58">
        <f t="shared" si="114"/>
        <v>156.29037528357509</v>
      </c>
      <c r="D919" s="83">
        <f t="shared" si="111"/>
        <v>666.66666666666663</v>
      </c>
      <c r="E919">
        <f t="shared" si="107"/>
        <v>0</v>
      </c>
      <c r="G919">
        <v>869</v>
      </c>
      <c r="H919" s="13">
        <f t="shared" si="112"/>
        <v>-7.7831728503952036E-4</v>
      </c>
      <c r="I919">
        <f t="shared" si="113"/>
        <v>155.61401756287574</v>
      </c>
      <c r="J919">
        <f t="shared" si="108"/>
        <v>665.28568992411044</v>
      </c>
      <c r="K919" s="27">
        <f t="shared" si="109"/>
        <v>-344.48632657893199</v>
      </c>
    </row>
    <row r="920" spans="1:11">
      <c r="A920" s="26">
        <v>870</v>
      </c>
      <c r="B920" s="82">
        <f t="shared" si="110"/>
        <v>0</v>
      </c>
      <c r="C920" s="58">
        <f t="shared" si="114"/>
        <v>156.29037528357509</v>
      </c>
      <c r="D920" s="83">
        <f t="shared" si="111"/>
        <v>666.66666666666663</v>
      </c>
      <c r="E920">
        <f t="shared" si="107"/>
        <v>0</v>
      </c>
      <c r="G920">
        <v>870</v>
      </c>
      <c r="H920" s="13">
        <f t="shared" si="112"/>
        <v>-7.7831728503952036E-4</v>
      </c>
      <c r="I920">
        <f t="shared" si="113"/>
        <v>155.61323924559071</v>
      </c>
      <c r="J920">
        <f t="shared" si="108"/>
        <v>665.28407990417054</v>
      </c>
      <c r="K920" s="27">
        <f t="shared" si="109"/>
        <v>-344.48465921015867</v>
      </c>
    </row>
    <row r="921" spans="1:11">
      <c r="A921" s="26">
        <v>871</v>
      </c>
      <c r="B921" s="82">
        <f t="shared" si="110"/>
        <v>0</v>
      </c>
      <c r="C921" s="58">
        <f t="shared" si="114"/>
        <v>156.29037528357509</v>
      </c>
      <c r="D921" s="83">
        <f t="shared" si="111"/>
        <v>666.66666666666663</v>
      </c>
      <c r="E921">
        <f t="shared" si="107"/>
        <v>0</v>
      </c>
      <c r="G921">
        <v>871</v>
      </c>
      <c r="H921" s="13">
        <f t="shared" si="112"/>
        <v>-7.7831728503952036E-4</v>
      </c>
      <c r="I921">
        <f t="shared" si="113"/>
        <v>155.61246092830567</v>
      </c>
      <c r="J921">
        <f t="shared" si="108"/>
        <v>665.28246983524423</v>
      </c>
      <c r="K921" s="27">
        <f t="shared" si="109"/>
        <v>-344.48299179468836</v>
      </c>
    </row>
    <row r="922" spans="1:11">
      <c r="A922" s="26">
        <v>872</v>
      </c>
      <c r="B922" s="82">
        <f t="shared" si="110"/>
        <v>0</v>
      </c>
      <c r="C922" s="58">
        <f t="shared" si="114"/>
        <v>156.29037528357509</v>
      </c>
      <c r="D922" s="83">
        <f t="shared" si="111"/>
        <v>666.66666666666663</v>
      </c>
      <c r="E922">
        <f t="shared" si="107"/>
        <v>0</v>
      </c>
      <c r="G922">
        <v>872</v>
      </c>
      <c r="H922" s="13">
        <f t="shared" si="112"/>
        <v>-7.7831728503952036E-4</v>
      </c>
      <c r="I922">
        <f t="shared" si="113"/>
        <v>155.61168261102063</v>
      </c>
      <c r="J922">
        <f t="shared" si="108"/>
        <v>665.28085971732821</v>
      </c>
      <c r="K922" s="27">
        <f t="shared" si="109"/>
        <v>-344.48132433251794</v>
      </c>
    </row>
    <row r="923" spans="1:11">
      <c r="A923" s="26">
        <v>873</v>
      </c>
      <c r="B923" s="82">
        <f t="shared" si="110"/>
        <v>0</v>
      </c>
      <c r="C923" s="58">
        <f t="shared" si="114"/>
        <v>156.29037528357509</v>
      </c>
      <c r="D923" s="83">
        <f t="shared" si="111"/>
        <v>666.66666666666663</v>
      </c>
      <c r="E923">
        <f t="shared" si="107"/>
        <v>0</v>
      </c>
      <c r="G923">
        <v>873</v>
      </c>
      <c r="H923" s="13">
        <f t="shared" si="112"/>
        <v>-7.7831728503952036E-4</v>
      </c>
      <c r="I923">
        <f t="shared" si="113"/>
        <v>155.61090429373559</v>
      </c>
      <c r="J923">
        <f t="shared" si="108"/>
        <v>665.27924955041863</v>
      </c>
      <c r="K923" s="27">
        <f t="shared" si="109"/>
        <v>-344.47965682364378</v>
      </c>
    </row>
    <row r="924" spans="1:11">
      <c r="A924" s="26">
        <v>874</v>
      </c>
      <c r="B924" s="82">
        <f t="shared" si="110"/>
        <v>0</v>
      </c>
      <c r="C924" s="58">
        <f t="shared" si="114"/>
        <v>156.29037528357509</v>
      </c>
      <c r="D924" s="83">
        <f t="shared" si="111"/>
        <v>666.66666666666663</v>
      </c>
      <c r="E924">
        <f t="shared" si="107"/>
        <v>0</v>
      </c>
      <c r="G924">
        <v>874</v>
      </c>
      <c r="H924" s="13">
        <f t="shared" si="112"/>
        <v>-7.7831728503952036E-4</v>
      </c>
      <c r="I924">
        <f t="shared" si="113"/>
        <v>155.61012597645055</v>
      </c>
      <c r="J924">
        <f t="shared" si="108"/>
        <v>665.27763933451195</v>
      </c>
      <c r="K924" s="27">
        <f t="shared" si="109"/>
        <v>-344.47798926806263</v>
      </c>
    </row>
    <row r="925" spans="1:11">
      <c r="A925" s="26">
        <v>875</v>
      </c>
      <c r="B925" s="82">
        <f t="shared" si="110"/>
        <v>0</v>
      </c>
      <c r="C925" s="58">
        <f t="shared" si="114"/>
        <v>156.29037528357509</v>
      </c>
      <c r="D925" s="83">
        <f t="shared" si="111"/>
        <v>666.66666666666663</v>
      </c>
      <c r="E925">
        <f t="shared" si="107"/>
        <v>0</v>
      </c>
      <c r="G925">
        <v>875</v>
      </c>
      <c r="H925" s="13">
        <f t="shared" si="112"/>
        <v>-7.7831728503952036E-4</v>
      </c>
      <c r="I925">
        <f t="shared" si="113"/>
        <v>155.60934765916551</v>
      </c>
      <c r="J925">
        <f t="shared" si="108"/>
        <v>665.27602906960453</v>
      </c>
      <c r="K925" s="27">
        <f t="shared" si="109"/>
        <v>-344.47632166577108</v>
      </c>
    </row>
    <row r="926" spans="1:11">
      <c r="A926" s="26">
        <v>876</v>
      </c>
      <c r="B926" s="82">
        <f t="shared" si="110"/>
        <v>0</v>
      </c>
      <c r="C926" s="58">
        <f t="shared" si="114"/>
        <v>156.29037528357509</v>
      </c>
      <c r="D926" s="83">
        <f t="shared" si="111"/>
        <v>666.66666666666663</v>
      </c>
      <c r="E926">
        <f t="shared" si="107"/>
        <v>0</v>
      </c>
      <c r="G926">
        <v>876</v>
      </c>
      <c r="H926" s="13">
        <f t="shared" si="112"/>
        <v>-7.7831728503952036E-4</v>
      </c>
      <c r="I926">
        <f t="shared" si="113"/>
        <v>155.60856934188047</v>
      </c>
      <c r="J926">
        <f t="shared" si="108"/>
        <v>665.27441875569275</v>
      </c>
      <c r="K926" s="27">
        <f t="shared" si="109"/>
        <v>-344.47465401676573</v>
      </c>
    </row>
    <row r="927" spans="1:11">
      <c r="A927" s="26">
        <v>877</v>
      </c>
      <c r="B927" s="82">
        <f t="shared" si="110"/>
        <v>0</v>
      </c>
      <c r="C927" s="58">
        <f t="shared" si="114"/>
        <v>156.29037528357509</v>
      </c>
      <c r="D927" s="83">
        <f t="shared" si="111"/>
        <v>666.66666666666663</v>
      </c>
      <c r="E927">
        <f t="shared" si="107"/>
        <v>0</v>
      </c>
      <c r="G927">
        <v>877</v>
      </c>
      <c r="H927" s="13">
        <f t="shared" si="112"/>
        <v>-7.7831728503952036E-4</v>
      </c>
      <c r="I927">
        <f t="shared" si="113"/>
        <v>155.60779102459543</v>
      </c>
      <c r="J927">
        <f t="shared" si="108"/>
        <v>665.27280839277307</v>
      </c>
      <c r="K927" s="27">
        <f t="shared" si="109"/>
        <v>-344.47298632104321</v>
      </c>
    </row>
    <row r="928" spans="1:11">
      <c r="A928" s="26">
        <v>878</v>
      </c>
      <c r="B928" s="82">
        <f t="shared" si="110"/>
        <v>0</v>
      </c>
      <c r="C928" s="58">
        <f t="shared" si="114"/>
        <v>156.29037528357509</v>
      </c>
      <c r="D928" s="83">
        <f t="shared" si="111"/>
        <v>666.66666666666663</v>
      </c>
      <c r="E928">
        <f t="shared" si="107"/>
        <v>0</v>
      </c>
      <c r="G928">
        <v>878</v>
      </c>
      <c r="H928" s="13">
        <f t="shared" si="112"/>
        <v>-7.7831728503952036E-4</v>
      </c>
      <c r="I928">
        <f t="shared" si="113"/>
        <v>155.60701270731039</v>
      </c>
      <c r="J928">
        <f t="shared" si="108"/>
        <v>665.27119798084163</v>
      </c>
      <c r="K928" s="27">
        <f t="shared" si="109"/>
        <v>-344.47131857860012</v>
      </c>
    </row>
    <row r="929" spans="1:11">
      <c r="A929" s="26">
        <v>879</v>
      </c>
      <c r="B929" s="82">
        <f t="shared" si="110"/>
        <v>0</v>
      </c>
      <c r="C929" s="58">
        <f t="shared" si="114"/>
        <v>156.29037528357509</v>
      </c>
      <c r="D929" s="83">
        <f t="shared" si="111"/>
        <v>666.66666666666663</v>
      </c>
      <c r="E929">
        <f t="shared" si="107"/>
        <v>0</v>
      </c>
      <c r="G929">
        <v>879</v>
      </c>
      <c r="H929" s="13">
        <f t="shared" si="112"/>
        <v>-7.7831728503952036E-4</v>
      </c>
      <c r="I929">
        <f t="shared" si="113"/>
        <v>155.60623439002535</v>
      </c>
      <c r="J929">
        <f t="shared" si="108"/>
        <v>665.26958751989514</v>
      </c>
      <c r="K929" s="27">
        <f t="shared" si="109"/>
        <v>-344.46965078943305</v>
      </c>
    </row>
    <row r="930" spans="1:11">
      <c r="A930" s="26">
        <v>880</v>
      </c>
      <c r="B930" s="82">
        <f t="shared" si="110"/>
        <v>0</v>
      </c>
      <c r="C930" s="58">
        <f t="shared" si="114"/>
        <v>156.29037528357509</v>
      </c>
      <c r="D930" s="83">
        <f t="shared" si="111"/>
        <v>666.66666666666663</v>
      </c>
      <c r="E930">
        <f t="shared" si="107"/>
        <v>0</v>
      </c>
      <c r="G930">
        <v>880</v>
      </c>
      <c r="H930" s="13">
        <f t="shared" si="112"/>
        <v>-7.7831728503952036E-4</v>
      </c>
      <c r="I930">
        <f t="shared" si="113"/>
        <v>155.60545607274031</v>
      </c>
      <c r="J930">
        <f t="shared" si="108"/>
        <v>665.26797700992961</v>
      </c>
      <c r="K930" s="27">
        <f t="shared" si="109"/>
        <v>-344.46798295353852</v>
      </c>
    </row>
    <row r="931" spans="1:11">
      <c r="A931" s="26">
        <v>881</v>
      </c>
      <c r="B931" s="82">
        <f t="shared" si="110"/>
        <v>0</v>
      </c>
      <c r="C931" s="58">
        <f t="shared" si="114"/>
        <v>156.29037528357509</v>
      </c>
      <c r="D931" s="83">
        <f t="shared" si="111"/>
        <v>666.66666666666663</v>
      </c>
      <c r="E931">
        <f t="shared" si="107"/>
        <v>0</v>
      </c>
      <c r="G931">
        <v>881</v>
      </c>
      <c r="H931" s="13">
        <f t="shared" si="112"/>
        <v>-7.7831728503952036E-4</v>
      </c>
      <c r="I931">
        <f t="shared" si="113"/>
        <v>155.60467775545527</v>
      </c>
      <c r="J931">
        <f t="shared" si="108"/>
        <v>665.26636645094163</v>
      </c>
      <c r="K931" s="27">
        <f t="shared" si="109"/>
        <v>-344.46631507091342</v>
      </c>
    </row>
    <row r="932" spans="1:11">
      <c r="A932" s="26">
        <v>882</v>
      </c>
      <c r="B932" s="82">
        <f t="shared" si="110"/>
        <v>0</v>
      </c>
      <c r="C932" s="58">
        <f t="shared" si="114"/>
        <v>156.29037528357509</v>
      </c>
      <c r="D932" s="83">
        <f t="shared" si="111"/>
        <v>666.66666666666663</v>
      </c>
      <c r="E932">
        <f t="shared" si="107"/>
        <v>0</v>
      </c>
      <c r="G932">
        <v>882</v>
      </c>
      <c r="H932" s="13">
        <f t="shared" si="112"/>
        <v>-7.7831728503952036E-4</v>
      </c>
      <c r="I932">
        <f t="shared" si="113"/>
        <v>155.60389943817023</v>
      </c>
      <c r="J932">
        <f t="shared" si="108"/>
        <v>665.26475584292757</v>
      </c>
      <c r="K932" s="27">
        <f t="shared" si="109"/>
        <v>-344.46464714155417</v>
      </c>
    </row>
    <row r="933" spans="1:11">
      <c r="A933" s="26">
        <v>883</v>
      </c>
      <c r="B933" s="82">
        <f t="shared" si="110"/>
        <v>0</v>
      </c>
      <c r="C933" s="58">
        <f t="shared" si="114"/>
        <v>156.29037528357509</v>
      </c>
      <c r="D933" s="83">
        <f t="shared" si="111"/>
        <v>666.66666666666663</v>
      </c>
      <c r="E933">
        <f t="shared" si="107"/>
        <v>0</v>
      </c>
      <c r="G933">
        <v>883</v>
      </c>
      <c r="H933" s="13">
        <f t="shared" si="112"/>
        <v>-7.7831728503952036E-4</v>
      </c>
      <c r="I933">
        <f t="shared" si="113"/>
        <v>155.60312112088519</v>
      </c>
      <c r="J933">
        <f t="shared" si="108"/>
        <v>665.26314518588379</v>
      </c>
      <c r="K933" s="27">
        <f t="shared" si="109"/>
        <v>-344.46297916545745</v>
      </c>
    </row>
    <row r="934" spans="1:11">
      <c r="A934" s="26">
        <v>884</v>
      </c>
      <c r="B934" s="82">
        <f t="shared" si="110"/>
        <v>0</v>
      </c>
      <c r="C934" s="58">
        <f t="shared" si="114"/>
        <v>156.29037528357509</v>
      </c>
      <c r="D934" s="83">
        <f t="shared" si="111"/>
        <v>666.66666666666663</v>
      </c>
      <c r="E934">
        <f t="shared" si="107"/>
        <v>0</v>
      </c>
      <c r="G934">
        <v>884</v>
      </c>
      <c r="H934" s="13">
        <f t="shared" si="112"/>
        <v>-7.7831728503952036E-4</v>
      </c>
      <c r="I934">
        <f t="shared" si="113"/>
        <v>155.60234280360015</v>
      </c>
      <c r="J934">
        <f t="shared" si="108"/>
        <v>665.26153447980653</v>
      </c>
      <c r="K934" s="27">
        <f t="shared" si="109"/>
        <v>-344.46131114261971</v>
      </c>
    </row>
    <row r="935" spans="1:11">
      <c r="A935" s="26">
        <v>885</v>
      </c>
      <c r="B935" s="82">
        <f t="shared" si="110"/>
        <v>0</v>
      </c>
      <c r="C935" s="58">
        <f t="shared" si="114"/>
        <v>156.29037528357509</v>
      </c>
      <c r="D935" s="83">
        <f t="shared" si="111"/>
        <v>666.66666666666663</v>
      </c>
      <c r="E935">
        <f t="shared" si="107"/>
        <v>0</v>
      </c>
      <c r="G935">
        <v>885</v>
      </c>
      <c r="H935" s="13">
        <f t="shared" si="112"/>
        <v>-7.7831728503952036E-4</v>
      </c>
      <c r="I935">
        <f t="shared" si="113"/>
        <v>155.60156448631511</v>
      </c>
      <c r="J935">
        <f t="shared" si="108"/>
        <v>665.25992372469227</v>
      </c>
      <c r="K935" s="27">
        <f t="shared" si="109"/>
        <v>-344.45964307303774</v>
      </c>
    </row>
    <row r="936" spans="1:11">
      <c r="A936" s="26">
        <v>886</v>
      </c>
      <c r="B936" s="82">
        <f t="shared" si="110"/>
        <v>0</v>
      </c>
      <c r="C936" s="58">
        <f t="shared" si="114"/>
        <v>156.29037528357509</v>
      </c>
      <c r="D936" s="83">
        <f t="shared" si="111"/>
        <v>666.66666666666663</v>
      </c>
      <c r="E936">
        <f t="shared" si="107"/>
        <v>0</v>
      </c>
      <c r="G936">
        <v>886</v>
      </c>
      <c r="H936" s="13">
        <f t="shared" si="112"/>
        <v>-7.7831728503952036E-4</v>
      </c>
      <c r="I936">
        <f t="shared" si="113"/>
        <v>155.60078616903007</v>
      </c>
      <c r="J936">
        <f t="shared" si="108"/>
        <v>665.25831292053749</v>
      </c>
      <c r="K936" s="27">
        <f t="shared" si="109"/>
        <v>-344.45797495670809</v>
      </c>
    </row>
    <row r="937" spans="1:11">
      <c r="A937" s="26">
        <v>887</v>
      </c>
      <c r="B937" s="82">
        <f t="shared" si="110"/>
        <v>0</v>
      </c>
      <c r="C937" s="58">
        <f t="shared" si="114"/>
        <v>156.29037528357509</v>
      </c>
      <c r="D937" s="83">
        <f t="shared" si="111"/>
        <v>666.66666666666663</v>
      </c>
      <c r="E937">
        <f t="shared" si="107"/>
        <v>0</v>
      </c>
      <c r="G937">
        <v>887</v>
      </c>
      <c r="H937" s="13">
        <f t="shared" si="112"/>
        <v>-7.7831728503952036E-4</v>
      </c>
      <c r="I937">
        <f t="shared" si="113"/>
        <v>155.60000785174503</v>
      </c>
      <c r="J937">
        <f t="shared" si="108"/>
        <v>665.25670206733832</v>
      </c>
      <c r="K937" s="27">
        <f t="shared" si="109"/>
        <v>-344.45630679362733</v>
      </c>
    </row>
    <row r="938" spans="1:11">
      <c r="A938" s="26">
        <v>888</v>
      </c>
      <c r="B938" s="82">
        <f t="shared" si="110"/>
        <v>0</v>
      </c>
      <c r="C938" s="58">
        <f t="shared" si="114"/>
        <v>156.29037528357509</v>
      </c>
      <c r="D938" s="83">
        <f t="shared" si="111"/>
        <v>666.66666666666663</v>
      </c>
      <c r="E938">
        <f t="shared" si="107"/>
        <v>0</v>
      </c>
      <c r="G938">
        <v>888</v>
      </c>
      <c r="H938" s="13">
        <f t="shared" si="112"/>
        <v>-7.7831728503952036E-4</v>
      </c>
      <c r="I938">
        <f t="shared" si="113"/>
        <v>155.59922953445999</v>
      </c>
      <c r="J938">
        <f t="shared" si="108"/>
        <v>665.25509116509124</v>
      </c>
      <c r="K938" s="27">
        <f t="shared" si="109"/>
        <v>-344.45463858379208</v>
      </c>
    </row>
    <row r="939" spans="1:11">
      <c r="A939" s="26">
        <v>889</v>
      </c>
      <c r="B939" s="82">
        <f t="shared" si="110"/>
        <v>0</v>
      </c>
      <c r="C939" s="58">
        <f t="shared" si="114"/>
        <v>156.29037528357509</v>
      </c>
      <c r="D939" s="83">
        <f t="shared" si="111"/>
        <v>666.66666666666663</v>
      </c>
      <c r="E939">
        <f t="shared" si="107"/>
        <v>0</v>
      </c>
      <c r="G939">
        <v>889</v>
      </c>
      <c r="H939" s="13">
        <f t="shared" si="112"/>
        <v>-7.7831728503952036E-4</v>
      </c>
      <c r="I939">
        <f t="shared" si="113"/>
        <v>155.59845121717495</v>
      </c>
      <c r="J939">
        <f t="shared" si="108"/>
        <v>665.25348021379261</v>
      </c>
      <c r="K939" s="27">
        <f t="shared" si="109"/>
        <v>-344.45297032719895</v>
      </c>
    </row>
    <row r="940" spans="1:11">
      <c r="A940" s="26">
        <v>890</v>
      </c>
      <c r="B940" s="82">
        <f t="shared" si="110"/>
        <v>0</v>
      </c>
      <c r="C940" s="58">
        <f t="shared" si="114"/>
        <v>156.29037528357509</v>
      </c>
      <c r="D940" s="83">
        <f t="shared" si="111"/>
        <v>666.66666666666663</v>
      </c>
      <c r="E940">
        <f t="shared" si="107"/>
        <v>0</v>
      </c>
      <c r="G940">
        <v>890</v>
      </c>
      <c r="H940" s="13">
        <f t="shared" si="112"/>
        <v>-7.7831728503952036E-4</v>
      </c>
      <c r="I940">
        <f t="shared" si="113"/>
        <v>155.59767289988991</v>
      </c>
      <c r="J940">
        <f t="shared" si="108"/>
        <v>665.25186921343879</v>
      </c>
      <c r="K940" s="27">
        <f t="shared" si="109"/>
        <v>-344.45130202384462</v>
      </c>
    </row>
    <row r="941" spans="1:11">
      <c r="A941" s="26">
        <v>891</v>
      </c>
      <c r="B941" s="82">
        <f t="shared" si="110"/>
        <v>0</v>
      </c>
      <c r="C941" s="58">
        <f t="shared" si="114"/>
        <v>156.29037528357509</v>
      </c>
      <c r="D941" s="83">
        <f t="shared" si="111"/>
        <v>666.66666666666663</v>
      </c>
      <c r="E941">
        <f t="shared" si="107"/>
        <v>0</v>
      </c>
      <c r="G941">
        <v>891</v>
      </c>
      <c r="H941" s="13">
        <f t="shared" si="112"/>
        <v>-7.7831728503952036E-4</v>
      </c>
      <c r="I941">
        <f t="shared" si="113"/>
        <v>155.59689458260488</v>
      </c>
      <c r="J941">
        <f t="shared" si="108"/>
        <v>665.25025816402626</v>
      </c>
      <c r="K941" s="27">
        <f t="shared" si="109"/>
        <v>-344.44963367372566</v>
      </c>
    </row>
    <row r="942" spans="1:11">
      <c r="A942" s="26">
        <v>892</v>
      </c>
      <c r="B942" s="82">
        <f t="shared" si="110"/>
        <v>0</v>
      </c>
      <c r="C942" s="58">
        <f t="shared" si="114"/>
        <v>156.29037528357509</v>
      </c>
      <c r="D942" s="83">
        <f t="shared" si="111"/>
        <v>666.66666666666663</v>
      </c>
      <c r="E942">
        <f t="shared" si="107"/>
        <v>0</v>
      </c>
      <c r="G942">
        <v>892</v>
      </c>
      <c r="H942" s="13">
        <f t="shared" si="112"/>
        <v>-7.7831728503952036E-4</v>
      </c>
      <c r="I942">
        <f t="shared" si="113"/>
        <v>155.59611626531984</v>
      </c>
      <c r="J942">
        <f t="shared" si="108"/>
        <v>665.24864706555127</v>
      </c>
      <c r="K942" s="27">
        <f t="shared" si="109"/>
        <v>-344.4479652768386</v>
      </c>
    </row>
    <row r="943" spans="1:11">
      <c r="A943" s="26">
        <v>893</v>
      </c>
      <c r="B943" s="82">
        <f t="shared" si="110"/>
        <v>0</v>
      </c>
      <c r="C943" s="58">
        <f t="shared" si="114"/>
        <v>156.29037528357509</v>
      </c>
      <c r="D943" s="83">
        <f t="shared" si="111"/>
        <v>666.66666666666663</v>
      </c>
      <c r="E943">
        <f t="shared" si="107"/>
        <v>0</v>
      </c>
      <c r="G943">
        <v>893</v>
      </c>
      <c r="H943" s="13">
        <f t="shared" si="112"/>
        <v>-7.7831728503952036E-4</v>
      </c>
      <c r="I943">
        <f t="shared" si="113"/>
        <v>155.5953379480348</v>
      </c>
      <c r="J943">
        <f t="shared" si="108"/>
        <v>665.24703591801017</v>
      </c>
      <c r="K943" s="27">
        <f t="shared" si="109"/>
        <v>-344.44629683318016</v>
      </c>
    </row>
    <row r="944" spans="1:11">
      <c r="A944" s="26">
        <v>894</v>
      </c>
      <c r="B944" s="82">
        <f t="shared" si="110"/>
        <v>0</v>
      </c>
      <c r="C944" s="58">
        <f t="shared" si="114"/>
        <v>156.29037528357509</v>
      </c>
      <c r="D944" s="83">
        <f t="shared" si="111"/>
        <v>666.66666666666663</v>
      </c>
      <c r="E944">
        <f t="shared" si="107"/>
        <v>0</v>
      </c>
      <c r="G944">
        <v>894</v>
      </c>
      <c r="H944" s="13">
        <f t="shared" si="112"/>
        <v>-7.7831728503952036E-4</v>
      </c>
      <c r="I944">
        <f t="shared" si="113"/>
        <v>155.59455963074976</v>
      </c>
      <c r="J944">
        <f t="shared" si="108"/>
        <v>665.24542472139933</v>
      </c>
      <c r="K944" s="27">
        <f t="shared" si="109"/>
        <v>-344.44462834274674</v>
      </c>
    </row>
    <row r="945" spans="1:11">
      <c r="A945" s="26">
        <v>895</v>
      </c>
      <c r="B945" s="82">
        <f t="shared" si="110"/>
        <v>0</v>
      </c>
      <c r="C945" s="58">
        <f t="shared" si="114"/>
        <v>156.29037528357509</v>
      </c>
      <c r="D945" s="83">
        <f t="shared" si="111"/>
        <v>666.66666666666663</v>
      </c>
      <c r="E945">
        <f t="shared" si="107"/>
        <v>0</v>
      </c>
      <c r="G945">
        <v>895</v>
      </c>
      <c r="H945" s="13">
        <f t="shared" si="112"/>
        <v>-7.7831728503952036E-4</v>
      </c>
      <c r="I945">
        <f t="shared" si="113"/>
        <v>155.59378131346472</v>
      </c>
      <c r="J945">
        <f t="shared" si="108"/>
        <v>665.24381347571511</v>
      </c>
      <c r="K945" s="27">
        <f t="shared" si="109"/>
        <v>-344.44295980553517</v>
      </c>
    </row>
    <row r="946" spans="1:11">
      <c r="A946" s="26">
        <v>896</v>
      </c>
      <c r="B946" s="82">
        <f t="shared" si="110"/>
        <v>0</v>
      </c>
      <c r="C946" s="58">
        <f t="shared" si="114"/>
        <v>156.29037528357509</v>
      </c>
      <c r="D946" s="83">
        <f t="shared" si="111"/>
        <v>666.66666666666663</v>
      </c>
      <c r="E946">
        <f t="shared" si="107"/>
        <v>0</v>
      </c>
      <c r="G946">
        <v>896</v>
      </c>
      <c r="H946" s="13">
        <f t="shared" si="112"/>
        <v>-7.7831728503952036E-4</v>
      </c>
      <c r="I946">
        <f t="shared" si="113"/>
        <v>155.59300299617968</v>
      </c>
      <c r="J946">
        <f t="shared" si="108"/>
        <v>665.242202180954</v>
      </c>
      <c r="K946" s="27">
        <f t="shared" si="109"/>
        <v>-344.44129122154192</v>
      </c>
    </row>
    <row r="947" spans="1:11">
      <c r="A947" s="26">
        <v>897</v>
      </c>
      <c r="B947" s="82">
        <f t="shared" si="110"/>
        <v>0</v>
      </c>
      <c r="C947" s="58">
        <f t="shared" si="114"/>
        <v>156.29037528357509</v>
      </c>
      <c r="D947" s="83">
        <f t="shared" si="111"/>
        <v>666.66666666666663</v>
      </c>
      <c r="E947">
        <f t="shared" ref="E947:E1010" si="115">((D947^2)+(D947*D948)+(D948^2))*B948/3</f>
        <v>0</v>
      </c>
      <c r="G947">
        <v>897</v>
      </c>
      <c r="H947" s="13">
        <f t="shared" si="112"/>
        <v>-7.7831728503952036E-4</v>
      </c>
      <c r="I947">
        <f t="shared" si="113"/>
        <v>155.59222467889464</v>
      </c>
      <c r="J947">
        <f t="shared" ref="J947:J1010" si="116">IF($G$28&lt;$C$14,0,((($C$11^2)-((I947-$C$13)^2))^0.5)+$C$16)</f>
        <v>665.24059083711222</v>
      </c>
      <c r="K947" s="27">
        <f t="shared" ref="K947:K1010" si="117">((J947^2)+(J947*J948)+(J948^2))*H948/3</f>
        <v>-344.43962259076369</v>
      </c>
    </row>
    <row r="948" spans="1:11">
      <c r="A948" s="26">
        <v>898</v>
      </c>
      <c r="B948" s="82">
        <f t="shared" ref="B948:B1011" si="118">C948-C947</f>
        <v>0</v>
      </c>
      <c r="C948" s="58">
        <f t="shared" si="114"/>
        <v>156.29037528357509</v>
      </c>
      <c r="D948" s="83">
        <f t="shared" ref="D948:D1011" si="119">IF($G$28&lt;$C$14,0,((($C$11^2)-((C948-$C$13)^2))^0.5)+$C$16)</f>
        <v>666.66666666666663</v>
      </c>
      <c r="E948">
        <f t="shared" si="115"/>
        <v>0</v>
      </c>
      <c r="G948">
        <v>898</v>
      </c>
      <c r="H948" s="13">
        <f t="shared" ref="H948:H1011" si="120">I948-I947</f>
        <v>-7.7831728503952036E-4</v>
      </c>
      <c r="I948">
        <f t="shared" ref="I948:I1011" si="121">($G$27-$C$14)/2000+I947</f>
        <v>155.5914463616096</v>
      </c>
      <c r="J948">
        <f t="shared" si="116"/>
        <v>665.23897944418616</v>
      </c>
      <c r="K948" s="27">
        <f t="shared" si="117"/>
        <v>-344.43795391319708</v>
      </c>
    </row>
    <row r="949" spans="1:11">
      <c r="A949" s="26">
        <v>899</v>
      </c>
      <c r="B949" s="82">
        <f t="shared" si="118"/>
        <v>0</v>
      </c>
      <c r="C949" s="58">
        <f t="shared" si="114"/>
        <v>156.29037528357509</v>
      </c>
      <c r="D949" s="83">
        <f t="shared" si="119"/>
        <v>666.66666666666663</v>
      </c>
      <c r="E949">
        <f t="shared" si="115"/>
        <v>0</v>
      </c>
      <c r="G949">
        <v>899</v>
      </c>
      <c r="H949" s="13">
        <f t="shared" si="120"/>
        <v>-7.7831728503952036E-4</v>
      </c>
      <c r="I949">
        <f t="shared" si="121"/>
        <v>155.59066804432456</v>
      </c>
      <c r="J949">
        <f t="shared" si="116"/>
        <v>665.23736800217227</v>
      </c>
      <c r="K949" s="27">
        <f t="shared" si="117"/>
        <v>-344.43628518883861</v>
      </c>
    </row>
    <row r="950" spans="1:11">
      <c r="A950" s="26">
        <v>900</v>
      </c>
      <c r="B950" s="82">
        <f t="shared" si="118"/>
        <v>0</v>
      </c>
      <c r="C950" s="58">
        <f t="shared" si="114"/>
        <v>156.29037528357509</v>
      </c>
      <c r="D950" s="83">
        <f t="shared" si="119"/>
        <v>666.66666666666663</v>
      </c>
      <c r="E950">
        <f t="shared" si="115"/>
        <v>0</v>
      </c>
      <c r="G950">
        <v>900</v>
      </c>
      <c r="H950" s="13">
        <f t="shared" si="120"/>
        <v>-7.7831728503952036E-4</v>
      </c>
      <c r="I950">
        <f t="shared" si="121"/>
        <v>155.58988972703952</v>
      </c>
      <c r="J950">
        <f t="shared" si="116"/>
        <v>665.23575651106682</v>
      </c>
      <c r="K950" s="27">
        <f t="shared" si="117"/>
        <v>-344.43461641768494</v>
      </c>
    </row>
    <row r="951" spans="1:11">
      <c r="A951" s="26">
        <v>901</v>
      </c>
      <c r="B951" s="82">
        <f t="shared" si="118"/>
        <v>0</v>
      </c>
      <c r="C951" s="58">
        <f t="shared" si="114"/>
        <v>156.29037528357509</v>
      </c>
      <c r="D951" s="83">
        <f t="shared" si="119"/>
        <v>666.66666666666663</v>
      </c>
      <c r="E951">
        <f t="shared" si="115"/>
        <v>0</v>
      </c>
      <c r="G951">
        <v>901</v>
      </c>
      <c r="H951" s="13">
        <f t="shared" si="120"/>
        <v>-7.7831728503952036E-4</v>
      </c>
      <c r="I951">
        <f t="shared" si="121"/>
        <v>155.58911140975448</v>
      </c>
      <c r="J951">
        <f t="shared" si="116"/>
        <v>665.23414497086617</v>
      </c>
      <c r="K951" s="27">
        <f t="shared" si="117"/>
        <v>-344.43294759973264</v>
      </c>
    </row>
    <row r="952" spans="1:11">
      <c r="A952" s="26">
        <v>902</v>
      </c>
      <c r="B952" s="82">
        <f t="shared" si="118"/>
        <v>0</v>
      </c>
      <c r="C952" s="58">
        <f t="shared" si="114"/>
        <v>156.29037528357509</v>
      </c>
      <c r="D952" s="83">
        <f t="shared" si="119"/>
        <v>666.66666666666663</v>
      </c>
      <c r="E952">
        <f t="shared" si="115"/>
        <v>0</v>
      </c>
      <c r="G952">
        <v>902</v>
      </c>
      <c r="H952" s="13">
        <f t="shared" si="120"/>
        <v>-7.7831728503952036E-4</v>
      </c>
      <c r="I952">
        <f t="shared" si="121"/>
        <v>155.58833309246944</v>
      </c>
      <c r="J952">
        <f t="shared" si="116"/>
        <v>665.23253338156678</v>
      </c>
      <c r="K952" s="27">
        <f t="shared" si="117"/>
        <v>-344.43127873497821</v>
      </c>
    </row>
    <row r="953" spans="1:11">
      <c r="A953" s="26">
        <v>903</v>
      </c>
      <c r="B953" s="82">
        <f t="shared" si="118"/>
        <v>0</v>
      </c>
      <c r="C953" s="58">
        <f t="shared" si="114"/>
        <v>156.29037528357509</v>
      </c>
      <c r="D953" s="83">
        <f t="shared" si="119"/>
        <v>666.66666666666663</v>
      </c>
      <c r="E953">
        <f t="shared" si="115"/>
        <v>0</v>
      </c>
      <c r="G953">
        <v>903</v>
      </c>
      <c r="H953" s="13">
        <f t="shared" si="120"/>
        <v>-7.7831728503952036E-4</v>
      </c>
      <c r="I953">
        <f t="shared" si="121"/>
        <v>155.5875547751844</v>
      </c>
      <c r="J953">
        <f t="shared" si="116"/>
        <v>665.23092174316491</v>
      </c>
      <c r="K953" s="27">
        <f t="shared" si="117"/>
        <v>-344.42960982341856</v>
      </c>
    </row>
    <row r="954" spans="1:11">
      <c r="A954" s="26">
        <v>904</v>
      </c>
      <c r="B954" s="82">
        <f t="shared" si="118"/>
        <v>0</v>
      </c>
      <c r="C954" s="58">
        <f t="shared" si="114"/>
        <v>156.29037528357509</v>
      </c>
      <c r="D954" s="83">
        <f t="shared" si="119"/>
        <v>666.66666666666663</v>
      </c>
      <c r="E954">
        <f t="shared" si="115"/>
        <v>0</v>
      </c>
      <c r="G954">
        <v>904</v>
      </c>
      <c r="H954" s="13">
        <f t="shared" si="120"/>
        <v>-7.7831728503952036E-4</v>
      </c>
      <c r="I954">
        <f t="shared" si="121"/>
        <v>155.58677645789936</v>
      </c>
      <c r="J954">
        <f t="shared" si="116"/>
        <v>665.22931005565692</v>
      </c>
      <c r="K954" s="27">
        <f t="shared" si="117"/>
        <v>-344.42794086504995</v>
      </c>
    </row>
    <row r="955" spans="1:11">
      <c r="A955" s="26">
        <v>905</v>
      </c>
      <c r="B955" s="82">
        <f t="shared" si="118"/>
        <v>0</v>
      </c>
      <c r="C955" s="58">
        <f t="shared" si="114"/>
        <v>156.29037528357509</v>
      </c>
      <c r="D955" s="83">
        <f t="shared" si="119"/>
        <v>666.66666666666663</v>
      </c>
      <c r="E955">
        <f t="shared" si="115"/>
        <v>0</v>
      </c>
      <c r="G955">
        <v>905</v>
      </c>
      <c r="H955" s="13">
        <f t="shared" si="120"/>
        <v>-7.7831728503952036E-4</v>
      </c>
      <c r="I955">
        <f t="shared" si="121"/>
        <v>155.58599814061432</v>
      </c>
      <c r="J955">
        <f t="shared" si="116"/>
        <v>665.22769831903918</v>
      </c>
      <c r="K955" s="27">
        <f t="shared" si="117"/>
        <v>-344.42627185986913</v>
      </c>
    </row>
    <row r="956" spans="1:11">
      <c r="A956" s="26">
        <v>906</v>
      </c>
      <c r="B956" s="82">
        <f t="shared" si="118"/>
        <v>0</v>
      </c>
      <c r="C956" s="58">
        <f t="shared" si="114"/>
        <v>156.29037528357509</v>
      </c>
      <c r="D956" s="83">
        <f t="shared" si="119"/>
        <v>666.66666666666663</v>
      </c>
      <c r="E956">
        <f t="shared" si="115"/>
        <v>0</v>
      </c>
      <c r="G956">
        <v>906</v>
      </c>
      <c r="H956" s="13">
        <f t="shared" si="120"/>
        <v>-7.7831728503952036E-4</v>
      </c>
      <c r="I956">
        <f t="shared" si="121"/>
        <v>155.58521982332928</v>
      </c>
      <c r="J956">
        <f t="shared" si="116"/>
        <v>665.22608653330815</v>
      </c>
      <c r="K956" s="27">
        <f t="shared" si="117"/>
        <v>-344.42460280787282</v>
      </c>
    </row>
    <row r="957" spans="1:11">
      <c r="A957" s="26">
        <v>907</v>
      </c>
      <c r="B957" s="82">
        <f t="shared" si="118"/>
        <v>0</v>
      </c>
      <c r="C957" s="58">
        <f t="shared" si="114"/>
        <v>156.29037528357509</v>
      </c>
      <c r="D957" s="83">
        <f t="shared" si="119"/>
        <v>666.66666666666663</v>
      </c>
      <c r="E957">
        <f t="shared" si="115"/>
        <v>0</v>
      </c>
      <c r="G957">
        <v>907</v>
      </c>
      <c r="H957" s="13">
        <f t="shared" si="120"/>
        <v>-7.7831728503952036E-4</v>
      </c>
      <c r="I957">
        <f t="shared" si="121"/>
        <v>155.58444150604424</v>
      </c>
      <c r="J957">
        <f t="shared" si="116"/>
        <v>665.22447469846009</v>
      </c>
      <c r="K957" s="27">
        <f t="shared" si="117"/>
        <v>-344.42293370905742</v>
      </c>
    </row>
    <row r="958" spans="1:11">
      <c r="A958" s="26">
        <v>908</v>
      </c>
      <c r="B958" s="82">
        <f t="shared" si="118"/>
        <v>0</v>
      </c>
      <c r="C958" s="58">
        <f t="shared" si="114"/>
        <v>156.29037528357509</v>
      </c>
      <c r="D958" s="83">
        <f t="shared" si="119"/>
        <v>666.66666666666663</v>
      </c>
      <c r="E958">
        <f t="shared" si="115"/>
        <v>0</v>
      </c>
      <c r="G958">
        <v>908</v>
      </c>
      <c r="H958" s="13">
        <f t="shared" si="120"/>
        <v>-7.7831728503952036E-4</v>
      </c>
      <c r="I958">
        <f t="shared" si="121"/>
        <v>155.5836631887592</v>
      </c>
      <c r="J958">
        <f t="shared" si="116"/>
        <v>665.22286281449135</v>
      </c>
      <c r="K958" s="27">
        <f t="shared" si="117"/>
        <v>-344.42126456341958</v>
      </c>
    </row>
    <row r="959" spans="1:11">
      <c r="A959" s="26">
        <v>909</v>
      </c>
      <c r="B959" s="82">
        <f t="shared" si="118"/>
        <v>0</v>
      </c>
      <c r="C959" s="58">
        <f t="shared" si="114"/>
        <v>156.29037528357509</v>
      </c>
      <c r="D959" s="83">
        <f t="shared" si="119"/>
        <v>666.66666666666663</v>
      </c>
      <c r="E959">
        <f t="shared" si="115"/>
        <v>0</v>
      </c>
      <c r="G959">
        <v>909</v>
      </c>
      <c r="H959" s="13">
        <f t="shared" si="120"/>
        <v>-7.7831728503952036E-4</v>
      </c>
      <c r="I959">
        <f t="shared" si="121"/>
        <v>155.58288487147416</v>
      </c>
      <c r="J959">
        <f t="shared" si="116"/>
        <v>665.22125088139842</v>
      </c>
      <c r="K959" s="27">
        <f t="shared" si="117"/>
        <v>-344.4195953709559</v>
      </c>
    </row>
    <row r="960" spans="1:11">
      <c r="A960" s="26">
        <v>910</v>
      </c>
      <c r="B960" s="82">
        <f t="shared" si="118"/>
        <v>0</v>
      </c>
      <c r="C960" s="58">
        <f t="shared" si="114"/>
        <v>156.29037528357509</v>
      </c>
      <c r="D960" s="83">
        <f t="shared" si="119"/>
        <v>666.66666666666663</v>
      </c>
      <c r="E960">
        <f t="shared" si="115"/>
        <v>0</v>
      </c>
      <c r="G960">
        <v>910</v>
      </c>
      <c r="H960" s="13">
        <f t="shared" si="120"/>
        <v>-7.7831728503952036E-4</v>
      </c>
      <c r="I960">
        <f t="shared" si="121"/>
        <v>155.58210655418912</v>
      </c>
      <c r="J960">
        <f t="shared" si="116"/>
        <v>665.21963889917743</v>
      </c>
      <c r="K960" s="27">
        <f t="shared" si="117"/>
        <v>-344.41792613166314</v>
      </c>
    </row>
    <row r="961" spans="1:11">
      <c r="A961" s="26">
        <v>911</v>
      </c>
      <c r="B961" s="82">
        <f t="shared" si="118"/>
        <v>0</v>
      </c>
      <c r="C961" s="58">
        <f t="shared" si="114"/>
        <v>156.29037528357509</v>
      </c>
      <c r="D961" s="83">
        <f t="shared" si="119"/>
        <v>666.66666666666663</v>
      </c>
      <c r="E961">
        <f t="shared" si="115"/>
        <v>0</v>
      </c>
      <c r="G961">
        <v>911</v>
      </c>
      <c r="H961" s="13">
        <f t="shared" si="120"/>
        <v>-7.7831728503952036E-4</v>
      </c>
      <c r="I961">
        <f t="shared" si="121"/>
        <v>155.58132823690408</v>
      </c>
      <c r="J961">
        <f t="shared" si="116"/>
        <v>665.21802686782496</v>
      </c>
      <c r="K961" s="27">
        <f t="shared" si="117"/>
        <v>-344.4162568455377</v>
      </c>
    </row>
    <row r="962" spans="1:11">
      <c r="A962" s="26">
        <v>912</v>
      </c>
      <c r="B962" s="82">
        <f t="shared" si="118"/>
        <v>0</v>
      </c>
      <c r="C962" s="58">
        <f t="shared" si="114"/>
        <v>156.29037528357509</v>
      </c>
      <c r="D962" s="83">
        <f t="shared" si="119"/>
        <v>666.66666666666663</v>
      </c>
      <c r="E962">
        <f t="shared" si="115"/>
        <v>0</v>
      </c>
      <c r="G962">
        <v>912</v>
      </c>
      <c r="H962" s="13">
        <f t="shared" si="120"/>
        <v>-7.7831728503952036E-4</v>
      </c>
      <c r="I962">
        <f t="shared" si="121"/>
        <v>155.58054991961905</v>
      </c>
      <c r="J962">
        <f t="shared" si="116"/>
        <v>665.21641478733727</v>
      </c>
      <c r="K962" s="27">
        <f t="shared" si="117"/>
        <v>-344.41458751257619</v>
      </c>
    </row>
    <row r="963" spans="1:11">
      <c r="A963" s="26">
        <v>913</v>
      </c>
      <c r="B963" s="82">
        <f t="shared" si="118"/>
        <v>0</v>
      </c>
      <c r="C963" s="58">
        <f t="shared" si="114"/>
        <v>156.29037528357509</v>
      </c>
      <c r="D963" s="83">
        <f t="shared" si="119"/>
        <v>666.66666666666663</v>
      </c>
      <c r="E963">
        <f t="shared" si="115"/>
        <v>0</v>
      </c>
      <c r="G963">
        <v>913</v>
      </c>
      <c r="H963" s="13">
        <f t="shared" si="120"/>
        <v>-7.7831728503952036E-4</v>
      </c>
      <c r="I963">
        <f t="shared" si="121"/>
        <v>155.57977160233401</v>
      </c>
      <c r="J963">
        <f t="shared" si="116"/>
        <v>665.21480265771061</v>
      </c>
      <c r="K963" s="27">
        <f t="shared" si="117"/>
        <v>-344.41291813277525</v>
      </c>
    </row>
    <row r="964" spans="1:11">
      <c r="A964" s="26">
        <v>914</v>
      </c>
      <c r="B964" s="82">
        <f t="shared" si="118"/>
        <v>0</v>
      </c>
      <c r="C964" s="58">
        <f t="shared" si="114"/>
        <v>156.29037528357509</v>
      </c>
      <c r="D964" s="83">
        <f t="shared" si="119"/>
        <v>666.66666666666663</v>
      </c>
      <c r="E964">
        <f t="shared" si="115"/>
        <v>0</v>
      </c>
      <c r="G964">
        <v>914</v>
      </c>
      <c r="H964" s="13">
        <f t="shared" si="120"/>
        <v>-7.7831728503952036E-4</v>
      </c>
      <c r="I964">
        <f t="shared" si="121"/>
        <v>155.57899328504897</v>
      </c>
      <c r="J964">
        <f t="shared" si="116"/>
        <v>665.21319047894156</v>
      </c>
      <c r="K964" s="27">
        <f t="shared" si="117"/>
        <v>-344.41124870613152</v>
      </c>
    </row>
    <row r="965" spans="1:11">
      <c r="A965" s="26">
        <v>915</v>
      </c>
      <c r="B965" s="82">
        <f t="shared" si="118"/>
        <v>0</v>
      </c>
      <c r="C965" s="58">
        <f t="shared" si="114"/>
        <v>156.29037528357509</v>
      </c>
      <c r="D965" s="83">
        <f t="shared" si="119"/>
        <v>666.66666666666663</v>
      </c>
      <c r="E965">
        <f t="shared" si="115"/>
        <v>0</v>
      </c>
      <c r="G965">
        <v>915</v>
      </c>
      <c r="H965" s="13">
        <f t="shared" si="120"/>
        <v>-7.7831728503952036E-4</v>
      </c>
      <c r="I965">
        <f t="shared" si="121"/>
        <v>155.57821496776393</v>
      </c>
      <c r="J965">
        <f t="shared" si="116"/>
        <v>665.21157825102625</v>
      </c>
      <c r="K965" s="27">
        <f t="shared" si="117"/>
        <v>-344.40957923264153</v>
      </c>
    </row>
    <row r="966" spans="1:11">
      <c r="A966" s="26">
        <v>916</v>
      </c>
      <c r="B966" s="82">
        <f t="shared" si="118"/>
        <v>0</v>
      </c>
      <c r="C966" s="58">
        <f t="shared" si="114"/>
        <v>156.29037528357509</v>
      </c>
      <c r="D966" s="83">
        <f t="shared" si="119"/>
        <v>666.66666666666663</v>
      </c>
      <c r="E966">
        <f t="shared" si="115"/>
        <v>0</v>
      </c>
      <c r="G966">
        <v>916</v>
      </c>
      <c r="H966" s="13">
        <f t="shared" si="120"/>
        <v>-7.7831728503952036E-4</v>
      </c>
      <c r="I966">
        <f t="shared" si="121"/>
        <v>155.57743665047889</v>
      </c>
      <c r="J966">
        <f t="shared" si="116"/>
        <v>665.20996597396118</v>
      </c>
      <c r="K966" s="27">
        <f t="shared" si="117"/>
        <v>-344.40790971230177</v>
      </c>
    </row>
    <row r="967" spans="1:11">
      <c r="A967" s="26">
        <v>917</v>
      </c>
      <c r="B967" s="82">
        <f t="shared" si="118"/>
        <v>0</v>
      </c>
      <c r="C967" s="58">
        <f t="shared" si="114"/>
        <v>156.29037528357509</v>
      </c>
      <c r="D967" s="83">
        <f t="shared" si="119"/>
        <v>666.66666666666663</v>
      </c>
      <c r="E967">
        <f t="shared" si="115"/>
        <v>0</v>
      </c>
      <c r="G967">
        <v>917</v>
      </c>
      <c r="H967" s="13">
        <f t="shared" si="120"/>
        <v>-7.7831728503952036E-4</v>
      </c>
      <c r="I967">
        <f t="shared" si="121"/>
        <v>155.57665833319385</v>
      </c>
      <c r="J967">
        <f t="shared" si="116"/>
        <v>665.20835364774268</v>
      </c>
      <c r="K967" s="27">
        <f t="shared" si="117"/>
        <v>-344.40624014510917</v>
      </c>
    </row>
    <row r="968" spans="1:11">
      <c r="A968" s="26">
        <v>918</v>
      </c>
      <c r="B968" s="82">
        <f t="shared" si="118"/>
        <v>0</v>
      </c>
      <c r="C968" s="58">
        <f t="shared" si="114"/>
        <v>156.29037528357509</v>
      </c>
      <c r="D968" s="83">
        <f t="shared" si="119"/>
        <v>666.66666666666663</v>
      </c>
      <c r="E968">
        <f t="shared" si="115"/>
        <v>0</v>
      </c>
      <c r="G968">
        <v>918</v>
      </c>
      <c r="H968" s="13">
        <f t="shared" si="120"/>
        <v>-7.7831728503952036E-4</v>
      </c>
      <c r="I968">
        <f t="shared" si="121"/>
        <v>155.57588001590881</v>
      </c>
      <c r="J968">
        <f t="shared" si="116"/>
        <v>665.20674127236714</v>
      </c>
      <c r="K968" s="27">
        <f t="shared" si="117"/>
        <v>-344.40457053106002</v>
      </c>
    </row>
    <row r="969" spans="1:11">
      <c r="A969" s="26">
        <v>919</v>
      </c>
      <c r="B969" s="82">
        <f t="shared" si="118"/>
        <v>0</v>
      </c>
      <c r="C969" s="58">
        <f t="shared" si="114"/>
        <v>156.29037528357509</v>
      </c>
      <c r="D969" s="83">
        <f t="shared" si="119"/>
        <v>666.66666666666663</v>
      </c>
      <c r="E969">
        <f t="shared" si="115"/>
        <v>0</v>
      </c>
      <c r="G969">
        <v>919</v>
      </c>
      <c r="H969" s="13">
        <f t="shared" si="120"/>
        <v>-7.7831728503952036E-4</v>
      </c>
      <c r="I969">
        <f t="shared" si="121"/>
        <v>155.57510169862377</v>
      </c>
      <c r="J969">
        <f t="shared" si="116"/>
        <v>665.20512884783079</v>
      </c>
      <c r="K969" s="27">
        <f t="shared" si="117"/>
        <v>-344.40290087015109</v>
      </c>
    </row>
    <row r="970" spans="1:11">
      <c r="A970" s="26">
        <v>920</v>
      </c>
      <c r="B970" s="82">
        <f t="shared" si="118"/>
        <v>0</v>
      </c>
      <c r="C970" s="58">
        <f t="shared" si="114"/>
        <v>156.29037528357509</v>
      </c>
      <c r="D970" s="83">
        <f t="shared" si="119"/>
        <v>666.66666666666663</v>
      </c>
      <c r="E970">
        <f t="shared" si="115"/>
        <v>0</v>
      </c>
      <c r="G970">
        <v>920</v>
      </c>
      <c r="H970" s="13">
        <f t="shared" si="120"/>
        <v>-7.7831728503952036E-4</v>
      </c>
      <c r="I970">
        <f t="shared" si="121"/>
        <v>155.57432338133873</v>
      </c>
      <c r="J970">
        <f t="shared" si="116"/>
        <v>665.20351637413012</v>
      </c>
      <c r="K970" s="27">
        <f t="shared" si="117"/>
        <v>-344.40123116237874</v>
      </c>
    </row>
    <row r="971" spans="1:11">
      <c r="A971" s="26">
        <v>921</v>
      </c>
      <c r="B971" s="82">
        <f t="shared" si="118"/>
        <v>0</v>
      </c>
      <c r="C971" s="58">
        <f t="shared" si="114"/>
        <v>156.29037528357509</v>
      </c>
      <c r="D971" s="83">
        <f t="shared" si="119"/>
        <v>666.66666666666663</v>
      </c>
      <c r="E971">
        <f t="shared" si="115"/>
        <v>0</v>
      </c>
      <c r="G971">
        <v>921</v>
      </c>
      <c r="H971" s="13">
        <f t="shared" si="120"/>
        <v>-7.7831728503952036E-4</v>
      </c>
      <c r="I971">
        <f t="shared" si="121"/>
        <v>155.57354506405369</v>
      </c>
      <c r="J971">
        <f t="shared" si="116"/>
        <v>665.20190385126136</v>
      </c>
      <c r="K971" s="27">
        <f t="shared" si="117"/>
        <v>-344.39956140773984</v>
      </c>
    </row>
    <row r="972" spans="1:11">
      <c r="A972" s="26">
        <v>922</v>
      </c>
      <c r="B972" s="82">
        <f t="shared" si="118"/>
        <v>0</v>
      </c>
      <c r="C972" s="58">
        <f t="shared" si="114"/>
        <v>156.29037528357509</v>
      </c>
      <c r="D972" s="83">
        <f t="shared" si="119"/>
        <v>666.66666666666663</v>
      </c>
      <c r="E972">
        <f t="shared" si="115"/>
        <v>0</v>
      </c>
      <c r="G972">
        <v>922</v>
      </c>
      <c r="H972" s="13">
        <f t="shared" si="120"/>
        <v>-7.7831728503952036E-4</v>
      </c>
      <c r="I972">
        <f t="shared" si="121"/>
        <v>155.57276674676865</v>
      </c>
      <c r="J972">
        <f t="shared" si="116"/>
        <v>665.20029127922089</v>
      </c>
      <c r="K972" s="27">
        <f t="shared" si="117"/>
        <v>-344.39789160623081</v>
      </c>
    </row>
    <row r="973" spans="1:11">
      <c r="A973" s="26">
        <v>923</v>
      </c>
      <c r="B973" s="82">
        <f t="shared" si="118"/>
        <v>0</v>
      </c>
      <c r="C973" s="58">
        <f t="shared" si="114"/>
        <v>156.29037528357509</v>
      </c>
      <c r="D973" s="83">
        <f t="shared" si="119"/>
        <v>666.66666666666663</v>
      </c>
      <c r="E973">
        <f t="shared" si="115"/>
        <v>0</v>
      </c>
      <c r="G973">
        <v>923</v>
      </c>
      <c r="H973" s="13">
        <f t="shared" si="120"/>
        <v>-7.7831728503952036E-4</v>
      </c>
      <c r="I973">
        <f t="shared" si="121"/>
        <v>155.57198842948361</v>
      </c>
      <c r="J973">
        <f t="shared" si="116"/>
        <v>665.19867865800518</v>
      </c>
      <c r="K973" s="27">
        <f t="shared" si="117"/>
        <v>-344.39622175784831</v>
      </c>
    </row>
    <row r="974" spans="1:11">
      <c r="A974" s="26">
        <v>924</v>
      </c>
      <c r="B974" s="82">
        <f t="shared" si="118"/>
        <v>0</v>
      </c>
      <c r="C974" s="58">
        <f t="shared" si="114"/>
        <v>156.29037528357509</v>
      </c>
      <c r="D974" s="83">
        <f t="shared" si="119"/>
        <v>666.66666666666663</v>
      </c>
      <c r="E974">
        <f t="shared" si="115"/>
        <v>0</v>
      </c>
      <c r="G974">
        <v>924</v>
      </c>
      <c r="H974" s="13">
        <f t="shared" si="120"/>
        <v>-7.7831728503952036E-4</v>
      </c>
      <c r="I974">
        <f t="shared" si="121"/>
        <v>155.57121011219857</v>
      </c>
      <c r="J974">
        <f t="shared" si="116"/>
        <v>665.19706598761047</v>
      </c>
      <c r="K974" s="27">
        <f t="shared" si="117"/>
        <v>-344.39455186258897</v>
      </c>
    </row>
    <row r="975" spans="1:11">
      <c r="A975" s="26">
        <v>925</v>
      </c>
      <c r="B975" s="82">
        <f t="shared" si="118"/>
        <v>0</v>
      </c>
      <c r="C975" s="58">
        <f t="shared" si="114"/>
        <v>156.29037528357509</v>
      </c>
      <c r="D975" s="83">
        <f t="shared" si="119"/>
        <v>666.66666666666663</v>
      </c>
      <c r="E975">
        <f t="shared" si="115"/>
        <v>0</v>
      </c>
      <c r="G975">
        <v>925</v>
      </c>
      <c r="H975" s="13">
        <f t="shared" si="120"/>
        <v>-7.7831728503952036E-4</v>
      </c>
      <c r="I975">
        <f t="shared" si="121"/>
        <v>155.57043179491353</v>
      </c>
      <c r="J975">
        <f t="shared" si="116"/>
        <v>665.19545326803313</v>
      </c>
      <c r="K975" s="27">
        <f t="shared" si="117"/>
        <v>-344.39288192044927</v>
      </c>
    </row>
    <row r="976" spans="1:11">
      <c r="A976" s="26">
        <v>926</v>
      </c>
      <c r="B976" s="82">
        <f t="shared" si="118"/>
        <v>0</v>
      </c>
      <c r="C976" s="58">
        <f t="shared" ref="C976:C1039" si="122">($C$37-$C$36)/2000+C975</f>
        <v>156.29037528357509</v>
      </c>
      <c r="D976" s="83">
        <f t="shared" si="119"/>
        <v>666.66666666666663</v>
      </c>
      <c r="E976">
        <f t="shared" si="115"/>
        <v>0</v>
      </c>
      <c r="G976">
        <v>926</v>
      </c>
      <c r="H976" s="13">
        <f t="shared" si="120"/>
        <v>-7.7831728503952036E-4</v>
      </c>
      <c r="I976">
        <f t="shared" si="121"/>
        <v>155.56965347762849</v>
      </c>
      <c r="J976">
        <f t="shared" si="116"/>
        <v>665.19384049926953</v>
      </c>
      <c r="K976" s="27">
        <f t="shared" si="117"/>
        <v>-344.39121193142586</v>
      </c>
    </row>
    <row r="977" spans="1:11">
      <c r="A977" s="26">
        <v>927</v>
      </c>
      <c r="B977" s="82">
        <f t="shared" si="118"/>
        <v>0</v>
      </c>
      <c r="C977" s="58">
        <f t="shared" si="122"/>
        <v>156.29037528357509</v>
      </c>
      <c r="D977" s="83">
        <f t="shared" si="119"/>
        <v>666.66666666666663</v>
      </c>
      <c r="E977">
        <f t="shared" si="115"/>
        <v>0</v>
      </c>
      <c r="G977">
        <v>927</v>
      </c>
      <c r="H977" s="13">
        <f t="shared" si="120"/>
        <v>-7.7831728503952036E-4</v>
      </c>
      <c r="I977">
        <f t="shared" si="121"/>
        <v>155.56887516034345</v>
      </c>
      <c r="J977">
        <f t="shared" si="116"/>
        <v>665.1922276813159</v>
      </c>
      <c r="K977" s="27">
        <f t="shared" si="117"/>
        <v>-344.38954189551526</v>
      </c>
    </row>
    <row r="978" spans="1:11">
      <c r="A978" s="26">
        <v>928</v>
      </c>
      <c r="B978" s="82">
        <f t="shared" si="118"/>
        <v>0</v>
      </c>
      <c r="C978" s="58">
        <f t="shared" si="122"/>
        <v>156.29037528357509</v>
      </c>
      <c r="D978" s="83">
        <f t="shared" si="119"/>
        <v>666.66666666666663</v>
      </c>
      <c r="E978">
        <f t="shared" si="115"/>
        <v>0</v>
      </c>
      <c r="G978">
        <v>928</v>
      </c>
      <c r="H978" s="13">
        <f t="shared" si="120"/>
        <v>-7.7831728503952036E-4</v>
      </c>
      <c r="I978">
        <f t="shared" si="121"/>
        <v>155.56809684305841</v>
      </c>
      <c r="J978">
        <f t="shared" si="116"/>
        <v>665.19061481416884</v>
      </c>
      <c r="K978" s="27">
        <f t="shared" si="117"/>
        <v>-344.3878718127142</v>
      </c>
    </row>
    <row r="979" spans="1:11">
      <c r="A979" s="26">
        <v>929</v>
      </c>
      <c r="B979" s="82">
        <f t="shared" si="118"/>
        <v>0</v>
      </c>
      <c r="C979" s="58">
        <f t="shared" si="122"/>
        <v>156.29037528357509</v>
      </c>
      <c r="D979" s="83">
        <f t="shared" si="119"/>
        <v>666.66666666666663</v>
      </c>
      <c r="E979">
        <f t="shared" si="115"/>
        <v>0</v>
      </c>
      <c r="G979">
        <v>929</v>
      </c>
      <c r="H979" s="13">
        <f t="shared" si="120"/>
        <v>-7.7831728503952036E-4</v>
      </c>
      <c r="I979">
        <f t="shared" si="121"/>
        <v>155.56731852577337</v>
      </c>
      <c r="J979">
        <f t="shared" si="116"/>
        <v>665.18900189782448</v>
      </c>
      <c r="K979" s="27">
        <f t="shared" si="117"/>
        <v>-344.38620168301924</v>
      </c>
    </row>
    <row r="980" spans="1:11">
      <c r="A980" s="26">
        <v>930</v>
      </c>
      <c r="B980" s="82">
        <f t="shared" si="118"/>
        <v>0</v>
      </c>
      <c r="C980" s="58">
        <f t="shared" si="122"/>
        <v>156.29037528357509</v>
      </c>
      <c r="D980" s="83">
        <f t="shared" si="119"/>
        <v>666.66666666666663</v>
      </c>
      <c r="E980">
        <f t="shared" si="115"/>
        <v>0</v>
      </c>
      <c r="G980">
        <v>930</v>
      </c>
      <c r="H980" s="13">
        <f t="shared" si="120"/>
        <v>-7.7831728503952036E-4</v>
      </c>
      <c r="I980">
        <f t="shared" si="121"/>
        <v>155.56654020848833</v>
      </c>
      <c r="J980">
        <f t="shared" si="116"/>
        <v>665.18738893227919</v>
      </c>
      <c r="K980" s="27">
        <f t="shared" si="117"/>
        <v>-344.38453150642681</v>
      </c>
    </row>
    <row r="981" spans="1:11">
      <c r="A981" s="26">
        <v>931</v>
      </c>
      <c r="B981" s="82">
        <f t="shared" si="118"/>
        <v>0</v>
      </c>
      <c r="C981" s="58">
        <f t="shared" si="122"/>
        <v>156.29037528357509</v>
      </c>
      <c r="D981" s="83">
        <f t="shared" si="119"/>
        <v>666.66666666666663</v>
      </c>
      <c r="E981">
        <f t="shared" si="115"/>
        <v>0</v>
      </c>
      <c r="G981">
        <v>931</v>
      </c>
      <c r="H981" s="13">
        <f t="shared" si="120"/>
        <v>-7.7831728503952036E-4</v>
      </c>
      <c r="I981">
        <f t="shared" si="121"/>
        <v>155.56576189120329</v>
      </c>
      <c r="J981">
        <f t="shared" si="116"/>
        <v>665.18577591752944</v>
      </c>
      <c r="K981" s="27">
        <f t="shared" si="117"/>
        <v>-344.38286128293367</v>
      </c>
    </row>
    <row r="982" spans="1:11">
      <c r="A982" s="26">
        <v>932</v>
      </c>
      <c r="B982" s="82">
        <f t="shared" si="118"/>
        <v>0</v>
      </c>
      <c r="C982" s="58">
        <f t="shared" si="122"/>
        <v>156.29037528357509</v>
      </c>
      <c r="D982" s="83">
        <f t="shared" si="119"/>
        <v>666.66666666666663</v>
      </c>
      <c r="E982">
        <f t="shared" si="115"/>
        <v>0</v>
      </c>
      <c r="G982">
        <v>932</v>
      </c>
      <c r="H982" s="13">
        <f t="shared" si="120"/>
        <v>-7.7831728503952036E-4</v>
      </c>
      <c r="I982">
        <f t="shared" si="121"/>
        <v>155.56498357391825</v>
      </c>
      <c r="J982">
        <f t="shared" si="116"/>
        <v>665.18416285357148</v>
      </c>
      <c r="K982" s="27">
        <f t="shared" si="117"/>
        <v>-344.38119101253636</v>
      </c>
    </row>
    <row r="983" spans="1:11">
      <c r="A983" s="26">
        <v>933</v>
      </c>
      <c r="B983" s="82">
        <f t="shared" si="118"/>
        <v>0</v>
      </c>
      <c r="C983" s="58">
        <f t="shared" si="122"/>
        <v>156.29037528357509</v>
      </c>
      <c r="D983" s="83">
        <f t="shared" si="119"/>
        <v>666.66666666666663</v>
      </c>
      <c r="E983">
        <f t="shared" si="115"/>
        <v>0</v>
      </c>
      <c r="G983">
        <v>933</v>
      </c>
      <c r="H983" s="13">
        <f t="shared" si="120"/>
        <v>-7.7831728503952036E-4</v>
      </c>
      <c r="I983">
        <f t="shared" si="121"/>
        <v>155.56420525663322</v>
      </c>
      <c r="J983">
        <f t="shared" si="116"/>
        <v>665.18254974040167</v>
      </c>
      <c r="K983" s="27">
        <f t="shared" si="117"/>
        <v>-344.37952069523141</v>
      </c>
    </row>
    <row r="984" spans="1:11">
      <c r="A984" s="26">
        <v>934</v>
      </c>
      <c r="B984" s="82">
        <f t="shared" si="118"/>
        <v>0</v>
      </c>
      <c r="C984" s="58">
        <f t="shared" si="122"/>
        <v>156.29037528357509</v>
      </c>
      <c r="D984" s="83">
        <f t="shared" si="119"/>
        <v>666.66666666666663</v>
      </c>
      <c r="E984">
        <f t="shared" si="115"/>
        <v>0</v>
      </c>
      <c r="G984">
        <v>934</v>
      </c>
      <c r="H984" s="13">
        <f t="shared" si="120"/>
        <v>-7.7831728503952036E-4</v>
      </c>
      <c r="I984">
        <f t="shared" si="121"/>
        <v>155.56342693934818</v>
      </c>
      <c r="J984">
        <f t="shared" si="116"/>
        <v>665.18093657801637</v>
      </c>
      <c r="K984" s="27">
        <f t="shared" si="117"/>
        <v>-344.37785033101551</v>
      </c>
    </row>
    <row r="985" spans="1:11">
      <c r="A985" s="26">
        <v>935</v>
      </c>
      <c r="B985" s="82">
        <f t="shared" si="118"/>
        <v>0</v>
      </c>
      <c r="C985" s="58">
        <f t="shared" si="122"/>
        <v>156.29037528357509</v>
      </c>
      <c r="D985" s="83">
        <f t="shared" si="119"/>
        <v>666.66666666666663</v>
      </c>
      <c r="E985">
        <f t="shared" si="115"/>
        <v>0</v>
      </c>
      <c r="G985">
        <v>935</v>
      </c>
      <c r="H985" s="13">
        <f t="shared" si="120"/>
        <v>-7.7831728503952036E-4</v>
      </c>
      <c r="I985">
        <f t="shared" si="121"/>
        <v>155.56264862206314</v>
      </c>
      <c r="J985">
        <f t="shared" si="116"/>
        <v>665.17932336641195</v>
      </c>
      <c r="K985" s="27">
        <f t="shared" si="117"/>
        <v>-344.37617991988526</v>
      </c>
    </row>
    <row r="986" spans="1:11">
      <c r="A986" s="26">
        <v>936</v>
      </c>
      <c r="B986" s="82">
        <f t="shared" si="118"/>
        <v>0</v>
      </c>
      <c r="C986" s="58">
        <f t="shared" si="122"/>
        <v>156.29037528357509</v>
      </c>
      <c r="D986" s="83">
        <f t="shared" si="119"/>
        <v>666.66666666666663</v>
      </c>
      <c r="E986">
        <f t="shared" si="115"/>
        <v>0</v>
      </c>
      <c r="G986">
        <v>936</v>
      </c>
      <c r="H986" s="13">
        <f t="shared" si="120"/>
        <v>-7.7831728503952036E-4</v>
      </c>
      <c r="I986">
        <f t="shared" si="121"/>
        <v>155.5618703047781</v>
      </c>
      <c r="J986">
        <f t="shared" si="116"/>
        <v>665.17771010558477</v>
      </c>
      <c r="K986" s="27">
        <f t="shared" si="117"/>
        <v>-344.37450946183714</v>
      </c>
    </row>
    <row r="987" spans="1:11">
      <c r="A987" s="26">
        <v>937</v>
      </c>
      <c r="B987" s="82">
        <f t="shared" si="118"/>
        <v>0</v>
      </c>
      <c r="C987" s="58">
        <f t="shared" si="122"/>
        <v>156.29037528357509</v>
      </c>
      <c r="D987" s="83">
        <f t="shared" si="119"/>
        <v>666.66666666666663</v>
      </c>
      <c r="E987">
        <f t="shared" si="115"/>
        <v>0</v>
      </c>
      <c r="G987">
        <v>937</v>
      </c>
      <c r="H987" s="13">
        <f t="shared" si="120"/>
        <v>-7.7831728503952036E-4</v>
      </c>
      <c r="I987">
        <f t="shared" si="121"/>
        <v>155.56109198749306</v>
      </c>
      <c r="J987">
        <f t="shared" si="116"/>
        <v>665.17609679553107</v>
      </c>
      <c r="K987" s="27">
        <f t="shared" si="117"/>
        <v>-344.37283895686772</v>
      </c>
    </row>
    <row r="988" spans="1:11">
      <c r="A988" s="26">
        <v>938</v>
      </c>
      <c r="B988" s="82">
        <f t="shared" si="118"/>
        <v>0</v>
      </c>
      <c r="C988" s="58">
        <f t="shared" si="122"/>
        <v>156.29037528357509</v>
      </c>
      <c r="D988" s="83">
        <f t="shared" si="119"/>
        <v>666.66666666666663</v>
      </c>
      <c r="E988">
        <f t="shared" si="115"/>
        <v>0</v>
      </c>
      <c r="G988">
        <v>938</v>
      </c>
      <c r="H988" s="13">
        <f t="shared" si="120"/>
        <v>-7.7831728503952036E-4</v>
      </c>
      <c r="I988">
        <f t="shared" si="121"/>
        <v>155.56031367020802</v>
      </c>
      <c r="J988">
        <f t="shared" si="116"/>
        <v>665.17448343624733</v>
      </c>
      <c r="K988" s="27">
        <f t="shared" si="117"/>
        <v>-344.37116840497362</v>
      </c>
    </row>
    <row r="989" spans="1:11">
      <c r="A989" s="26">
        <v>939</v>
      </c>
      <c r="B989" s="82">
        <f t="shared" si="118"/>
        <v>0</v>
      </c>
      <c r="C989" s="58">
        <f t="shared" si="122"/>
        <v>156.29037528357509</v>
      </c>
      <c r="D989" s="83">
        <f t="shared" si="119"/>
        <v>666.66666666666663</v>
      </c>
      <c r="E989">
        <f t="shared" si="115"/>
        <v>0</v>
      </c>
      <c r="G989">
        <v>939</v>
      </c>
      <c r="H989" s="13">
        <f t="shared" si="120"/>
        <v>-7.7831728503952036E-4</v>
      </c>
      <c r="I989">
        <f t="shared" si="121"/>
        <v>155.55953535292298</v>
      </c>
      <c r="J989">
        <f t="shared" si="116"/>
        <v>665.17287002772969</v>
      </c>
      <c r="K989" s="27">
        <f t="shared" si="117"/>
        <v>-344.36949780615151</v>
      </c>
    </row>
    <row r="990" spans="1:11">
      <c r="A990" s="26">
        <v>940</v>
      </c>
      <c r="B990" s="82">
        <f t="shared" si="118"/>
        <v>0</v>
      </c>
      <c r="C990" s="58">
        <f t="shared" si="122"/>
        <v>156.29037528357509</v>
      </c>
      <c r="D990" s="83">
        <f t="shared" si="119"/>
        <v>666.66666666666663</v>
      </c>
      <c r="E990">
        <f t="shared" si="115"/>
        <v>0</v>
      </c>
      <c r="G990">
        <v>940</v>
      </c>
      <c r="H990" s="13">
        <f t="shared" si="120"/>
        <v>-7.7831728503952036E-4</v>
      </c>
      <c r="I990">
        <f t="shared" si="121"/>
        <v>155.55875703563794</v>
      </c>
      <c r="J990">
        <f t="shared" si="116"/>
        <v>665.17125656997473</v>
      </c>
      <c r="K990" s="27">
        <f t="shared" si="117"/>
        <v>-344.36782716039789</v>
      </c>
    </row>
    <row r="991" spans="1:11">
      <c r="A991" s="26">
        <v>941</v>
      </c>
      <c r="B991" s="82">
        <f t="shared" si="118"/>
        <v>0</v>
      </c>
      <c r="C991" s="58">
        <f t="shared" si="122"/>
        <v>156.29037528357509</v>
      </c>
      <c r="D991" s="83">
        <f t="shared" si="119"/>
        <v>666.66666666666663</v>
      </c>
      <c r="E991">
        <f t="shared" si="115"/>
        <v>0</v>
      </c>
      <c r="G991">
        <v>941</v>
      </c>
      <c r="H991" s="13">
        <f t="shared" si="120"/>
        <v>-7.7831728503952036E-4</v>
      </c>
      <c r="I991">
        <f t="shared" si="121"/>
        <v>155.5579787183529</v>
      </c>
      <c r="J991">
        <f t="shared" si="116"/>
        <v>665.16964306297859</v>
      </c>
      <c r="K991" s="27">
        <f t="shared" si="117"/>
        <v>-344.36615646770929</v>
      </c>
    </row>
    <row r="992" spans="1:11">
      <c r="A992" s="26">
        <v>942</v>
      </c>
      <c r="B992" s="82">
        <f t="shared" si="118"/>
        <v>0</v>
      </c>
      <c r="C992" s="58">
        <f t="shared" si="122"/>
        <v>156.29037528357509</v>
      </c>
      <c r="D992" s="83">
        <f t="shared" si="119"/>
        <v>666.66666666666663</v>
      </c>
      <c r="E992">
        <f t="shared" si="115"/>
        <v>0</v>
      </c>
      <c r="G992">
        <v>942</v>
      </c>
      <c r="H992" s="13">
        <f t="shared" si="120"/>
        <v>-7.7831728503952036E-4</v>
      </c>
      <c r="I992">
        <f t="shared" si="121"/>
        <v>155.55720040106786</v>
      </c>
      <c r="J992">
        <f t="shared" si="116"/>
        <v>665.16802950673775</v>
      </c>
      <c r="K992" s="27">
        <f t="shared" si="117"/>
        <v>-344.36448572808246</v>
      </c>
    </row>
    <row r="993" spans="1:11">
      <c r="A993" s="26">
        <v>943</v>
      </c>
      <c r="B993" s="82">
        <f t="shared" si="118"/>
        <v>0</v>
      </c>
      <c r="C993" s="58">
        <f t="shared" si="122"/>
        <v>156.29037528357509</v>
      </c>
      <c r="D993" s="83">
        <f t="shared" si="119"/>
        <v>666.66666666666663</v>
      </c>
      <c r="E993">
        <f t="shared" si="115"/>
        <v>0</v>
      </c>
      <c r="G993">
        <v>943</v>
      </c>
      <c r="H993" s="13">
        <f t="shared" si="120"/>
        <v>-7.7831728503952036E-4</v>
      </c>
      <c r="I993">
        <f t="shared" si="121"/>
        <v>155.55642208378282</v>
      </c>
      <c r="J993">
        <f t="shared" si="116"/>
        <v>665.16641590124857</v>
      </c>
      <c r="K993" s="27">
        <f t="shared" si="117"/>
        <v>-344.36281494151382</v>
      </c>
    </row>
    <row r="994" spans="1:11">
      <c r="A994" s="26">
        <v>944</v>
      </c>
      <c r="B994" s="82">
        <f t="shared" si="118"/>
        <v>0</v>
      </c>
      <c r="C994" s="58">
        <f t="shared" si="122"/>
        <v>156.29037528357509</v>
      </c>
      <c r="D994" s="83">
        <f t="shared" si="119"/>
        <v>666.66666666666663</v>
      </c>
      <c r="E994">
        <f t="shared" si="115"/>
        <v>0</v>
      </c>
      <c r="G994">
        <v>944</v>
      </c>
      <c r="H994" s="13">
        <f t="shared" si="120"/>
        <v>-7.7831728503952036E-4</v>
      </c>
      <c r="I994">
        <f t="shared" si="121"/>
        <v>155.55564376649778</v>
      </c>
      <c r="J994">
        <f t="shared" si="116"/>
        <v>665.16480224650729</v>
      </c>
      <c r="K994" s="27">
        <f t="shared" si="117"/>
        <v>-344.36114410800019</v>
      </c>
    </row>
    <row r="995" spans="1:11">
      <c r="A995" s="26">
        <v>945</v>
      </c>
      <c r="B995" s="82">
        <f t="shared" si="118"/>
        <v>0</v>
      </c>
      <c r="C995" s="58">
        <f t="shared" si="122"/>
        <v>156.29037528357509</v>
      </c>
      <c r="D995" s="83">
        <f t="shared" si="119"/>
        <v>666.66666666666663</v>
      </c>
      <c r="E995">
        <f t="shared" si="115"/>
        <v>0</v>
      </c>
      <c r="G995">
        <v>945</v>
      </c>
      <c r="H995" s="13">
        <f t="shared" si="120"/>
        <v>-7.7831728503952036E-4</v>
      </c>
      <c r="I995">
        <f t="shared" si="121"/>
        <v>155.55486544921274</v>
      </c>
      <c r="J995">
        <f t="shared" si="116"/>
        <v>665.16318854251028</v>
      </c>
      <c r="K995" s="27">
        <f t="shared" si="117"/>
        <v>-344.35947322753799</v>
      </c>
    </row>
    <row r="996" spans="1:11">
      <c r="A996" s="26">
        <v>946</v>
      </c>
      <c r="B996" s="82">
        <f t="shared" si="118"/>
        <v>0</v>
      </c>
      <c r="C996" s="58">
        <f t="shared" si="122"/>
        <v>156.29037528357509</v>
      </c>
      <c r="D996" s="83">
        <f t="shared" si="119"/>
        <v>666.66666666666663</v>
      </c>
      <c r="E996">
        <f t="shared" si="115"/>
        <v>0</v>
      </c>
      <c r="G996">
        <v>946</v>
      </c>
      <c r="H996" s="13">
        <f t="shared" si="120"/>
        <v>-7.7831728503952036E-4</v>
      </c>
      <c r="I996">
        <f t="shared" si="121"/>
        <v>155.5540871319277</v>
      </c>
      <c r="J996">
        <f t="shared" si="116"/>
        <v>665.16157478925402</v>
      </c>
      <c r="K996" s="27">
        <f t="shared" si="117"/>
        <v>-344.35780230012364</v>
      </c>
    </row>
    <row r="997" spans="1:11">
      <c r="A997" s="26">
        <v>947</v>
      </c>
      <c r="B997" s="82">
        <f t="shared" si="118"/>
        <v>0</v>
      </c>
      <c r="C997" s="58">
        <f t="shared" si="122"/>
        <v>156.29037528357509</v>
      </c>
      <c r="D997" s="83">
        <f t="shared" si="119"/>
        <v>666.66666666666663</v>
      </c>
      <c r="E997">
        <f t="shared" si="115"/>
        <v>0</v>
      </c>
      <c r="G997">
        <v>947</v>
      </c>
      <c r="H997" s="13">
        <f t="shared" si="120"/>
        <v>-7.7831728503952036E-4</v>
      </c>
      <c r="I997">
        <f t="shared" si="121"/>
        <v>155.55330881464266</v>
      </c>
      <c r="J997">
        <f t="shared" si="116"/>
        <v>665.15996098673463</v>
      </c>
      <c r="K997" s="27">
        <f t="shared" si="117"/>
        <v>-344.35613132575389</v>
      </c>
    </row>
    <row r="998" spans="1:11">
      <c r="A998" s="26">
        <v>948</v>
      </c>
      <c r="B998" s="82">
        <f t="shared" si="118"/>
        <v>0</v>
      </c>
      <c r="C998" s="58">
        <f t="shared" si="122"/>
        <v>156.29037528357509</v>
      </c>
      <c r="D998" s="83">
        <f t="shared" si="119"/>
        <v>666.66666666666663</v>
      </c>
      <c r="E998">
        <f t="shared" si="115"/>
        <v>0</v>
      </c>
      <c r="G998">
        <v>948</v>
      </c>
      <c r="H998" s="13">
        <f t="shared" si="120"/>
        <v>-7.7831728503952036E-4</v>
      </c>
      <c r="I998">
        <f t="shared" si="121"/>
        <v>155.55253049735762</v>
      </c>
      <c r="J998">
        <f t="shared" si="116"/>
        <v>665.15834713494849</v>
      </c>
      <c r="K998" s="27">
        <f t="shared" si="117"/>
        <v>-344.35446030442534</v>
      </c>
    </row>
    <row r="999" spans="1:11">
      <c r="A999" s="26">
        <v>949</v>
      </c>
      <c r="B999" s="82">
        <f t="shared" si="118"/>
        <v>0</v>
      </c>
      <c r="C999" s="58">
        <f t="shared" si="122"/>
        <v>156.29037528357509</v>
      </c>
      <c r="D999" s="83">
        <f t="shared" si="119"/>
        <v>666.66666666666663</v>
      </c>
      <c r="E999">
        <f t="shared" si="115"/>
        <v>0</v>
      </c>
      <c r="G999">
        <v>949</v>
      </c>
      <c r="H999" s="13">
        <f t="shared" si="120"/>
        <v>-7.7831728503952036E-4</v>
      </c>
      <c r="I999">
        <f t="shared" si="121"/>
        <v>155.55175218007258</v>
      </c>
      <c r="J999">
        <f t="shared" si="116"/>
        <v>665.15673323389206</v>
      </c>
      <c r="K999" s="27">
        <f t="shared" si="117"/>
        <v>-344.35278923613458</v>
      </c>
    </row>
    <row r="1000" spans="1:11">
      <c r="A1000" s="26">
        <v>950</v>
      </c>
      <c r="B1000" s="82">
        <f t="shared" si="118"/>
        <v>0</v>
      </c>
      <c r="C1000" s="58">
        <f t="shared" si="122"/>
        <v>156.29037528357509</v>
      </c>
      <c r="D1000" s="83">
        <f t="shared" si="119"/>
        <v>666.66666666666663</v>
      </c>
      <c r="E1000">
        <f t="shared" si="115"/>
        <v>0</v>
      </c>
      <c r="G1000">
        <v>950</v>
      </c>
      <c r="H1000" s="13">
        <f t="shared" si="120"/>
        <v>-7.7831728503952036E-4</v>
      </c>
      <c r="I1000">
        <f t="shared" si="121"/>
        <v>155.55097386278754</v>
      </c>
      <c r="J1000">
        <f t="shared" si="116"/>
        <v>665.15511928356159</v>
      </c>
      <c r="K1000" s="27">
        <f t="shared" si="117"/>
        <v>-344.35111812087808</v>
      </c>
    </row>
    <row r="1001" spans="1:11">
      <c r="A1001" s="26">
        <v>951</v>
      </c>
      <c r="B1001" s="82">
        <f t="shared" si="118"/>
        <v>0</v>
      </c>
      <c r="C1001" s="58">
        <f t="shared" si="122"/>
        <v>156.29037528357509</v>
      </c>
      <c r="D1001" s="83">
        <f t="shared" si="119"/>
        <v>666.66666666666663</v>
      </c>
      <c r="E1001">
        <f t="shared" si="115"/>
        <v>0</v>
      </c>
      <c r="G1001">
        <v>951</v>
      </c>
      <c r="H1001" s="13">
        <f t="shared" si="120"/>
        <v>-7.7831728503952036E-4</v>
      </c>
      <c r="I1001">
        <f t="shared" si="121"/>
        <v>155.5501955455025</v>
      </c>
      <c r="J1001">
        <f t="shared" si="116"/>
        <v>665.15350528395345</v>
      </c>
      <c r="K1001" s="27">
        <f t="shared" si="117"/>
        <v>-344.34944695865255</v>
      </c>
    </row>
    <row r="1002" spans="1:11">
      <c r="A1002" s="26">
        <v>952</v>
      </c>
      <c r="B1002" s="82">
        <f t="shared" si="118"/>
        <v>0</v>
      </c>
      <c r="C1002" s="58">
        <f t="shared" si="122"/>
        <v>156.29037528357509</v>
      </c>
      <c r="D1002" s="83">
        <f t="shared" si="119"/>
        <v>666.66666666666663</v>
      </c>
      <c r="E1002">
        <f t="shared" si="115"/>
        <v>0</v>
      </c>
      <c r="G1002">
        <v>952</v>
      </c>
      <c r="H1002" s="13">
        <f t="shared" si="120"/>
        <v>-7.7831728503952036E-4</v>
      </c>
      <c r="I1002">
        <f t="shared" si="121"/>
        <v>155.54941722821746</v>
      </c>
      <c r="J1002">
        <f t="shared" si="116"/>
        <v>665.151891235064</v>
      </c>
      <c r="K1002" s="27">
        <f t="shared" si="117"/>
        <v>-344.34777574945457</v>
      </c>
    </row>
    <row r="1003" spans="1:11">
      <c r="A1003" s="26">
        <v>953</v>
      </c>
      <c r="B1003" s="82">
        <f t="shared" si="118"/>
        <v>0</v>
      </c>
      <c r="C1003" s="58">
        <f t="shared" si="122"/>
        <v>156.29037528357509</v>
      </c>
      <c r="D1003" s="83">
        <f t="shared" si="119"/>
        <v>666.66666666666663</v>
      </c>
      <c r="E1003">
        <f t="shared" si="115"/>
        <v>0</v>
      </c>
      <c r="G1003">
        <v>953</v>
      </c>
      <c r="H1003" s="13">
        <f t="shared" si="120"/>
        <v>-7.7831728503952036E-4</v>
      </c>
      <c r="I1003">
        <f t="shared" si="121"/>
        <v>155.54863891093243</v>
      </c>
      <c r="J1003">
        <f t="shared" si="116"/>
        <v>665.15027713688949</v>
      </c>
      <c r="K1003" s="27">
        <f t="shared" si="117"/>
        <v>-344.34610449328056</v>
      </c>
    </row>
    <row r="1004" spans="1:11">
      <c r="A1004" s="26">
        <v>954</v>
      </c>
      <c r="B1004" s="82">
        <f t="shared" si="118"/>
        <v>0</v>
      </c>
      <c r="C1004" s="58">
        <f t="shared" si="122"/>
        <v>156.29037528357509</v>
      </c>
      <c r="D1004" s="83">
        <f t="shared" si="119"/>
        <v>666.66666666666663</v>
      </c>
      <c r="E1004">
        <f t="shared" si="115"/>
        <v>0</v>
      </c>
      <c r="G1004">
        <v>954</v>
      </c>
      <c r="H1004" s="13">
        <f t="shared" si="120"/>
        <v>-7.7831728503952036E-4</v>
      </c>
      <c r="I1004">
        <f t="shared" si="121"/>
        <v>155.54786059364739</v>
      </c>
      <c r="J1004">
        <f t="shared" si="116"/>
        <v>665.14866298942638</v>
      </c>
      <c r="K1004" s="27">
        <f t="shared" si="117"/>
        <v>-344.34443319012718</v>
      </c>
    </row>
    <row r="1005" spans="1:11">
      <c r="A1005" s="26">
        <v>955</v>
      </c>
      <c r="B1005" s="82">
        <f t="shared" si="118"/>
        <v>0</v>
      </c>
      <c r="C1005" s="58">
        <f t="shared" si="122"/>
        <v>156.29037528357509</v>
      </c>
      <c r="D1005" s="83">
        <f t="shared" si="119"/>
        <v>666.66666666666663</v>
      </c>
      <c r="E1005">
        <f t="shared" si="115"/>
        <v>0</v>
      </c>
      <c r="G1005">
        <v>955</v>
      </c>
      <c r="H1005" s="13">
        <f t="shared" si="120"/>
        <v>-7.7831728503952036E-4</v>
      </c>
      <c r="I1005">
        <f t="shared" si="121"/>
        <v>155.54708227636235</v>
      </c>
      <c r="J1005">
        <f t="shared" si="116"/>
        <v>665.14704879267083</v>
      </c>
      <c r="K1005" s="27">
        <f t="shared" si="117"/>
        <v>-344.34276183999106</v>
      </c>
    </row>
    <row r="1006" spans="1:11">
      <c r="A1006" s="26">
        <v>956</v>
      </c>
      <c r="B1006" s="82">
        <f t="shared" si="118"/>
        <v>0</v>
      </c>
      <c r="C1006" s="58">
        <f t="shared" si="122"/>
        <v>156.29037528357509</v>
      </c>
      <c r="D1006" s="83">
        <f t="shared" si="119"/>
        <v>666.66666666666663</v>
      </c>
      <c r="E1006">
        <f t="shared" si="115"/>
        <v>0</v>
      </c>
      <c r="G1006">
        <v>956</v>
      </c>
      <c r="H1006" s="13">
        <f t="shared" si="120"/>
        <v>-7.7831728503952036E-4</v>
      </c>
      <c r="I1006">
        <f t="shared" si="121"/>
        <v>155.54630395907731</v>
      </c>
      <c r="J1006">
        <f t="shared" si="116"/>
        <v>665.14543454661941</v>
      </c>
      <c r="K1006" s="27">
        <f t="shared" si="117"/>
        <v>-344.34109044286879</v>
      </c>
    </row>
    <row r="1007" spans="1:11">
      <c r="A1007" s="26">
        <v>957</v>
      </c>
      <c r="B1007" s="82">
        <f t="shared" si="118"/>
        <v>0</v>
      </c>
      <c r="C1007" s="58">
        <f t="shared" si="122"/>
        <v>156.29037528357509</v>
      </c>
      <c r="D1007" s="83">
        <f t="shared" si="119"/>
        <v>666.66666666666663</v>
      </c>
      <c r="E1007">
        <f t="shared" si="115"/>
        <v>0</v>
      </c>
      <c r="G1007">
        <v>957</v>
      </c>
      <c r="H1007" s="13">
        <f t="shared" si="120"/>
        <v>-7.7831728503952036E-4</v>
      </c>
      <c r="I1007">
        <f t="shared" si="121"/>
        <v>155.54552564179227</v>
      </c>
      <c r="J1007">
        <f t="shared" si="116"/>
        <v>665.14382025126827</v>
      </c>
      <c r="K1007" s="27">
        <f t="shared" si="117"/>
        <v>-344.3394189987568</v>
      </c>
    </row>
    <row r="1008" spans="1:11">
      <c r="A1008" s="26">
        <v>958</v>
      </c>
      <c r="B1008" s="82">
        <f t="shared" si="118"/>
        <v>0</v>
      </c>
      <c r="C1008" s="58">
        <f t="shared" si="122"/>
        <v>156.29037528357509</v>
      </c>
      <c r="D1008" s="83">
        <f t="shared" si="119"/>
        <v>666.66666666666663</v>
      </c>
      <c r="E1008">
        <f t="shared" si="115"/>
        <v>0</v>
      </c>
      <c r="G1008">
        <v>958</v>
      </c>
      <c r="H1008" s="13">
        <f t="shared" si="120"/>
        <v>-7.7831728503952036E-4</v>
      </c>
      <c r="I1008">
        <f t="shared" si="121"/>
        <v>155.54474732450723</v>
      </c>
      <c r="J1008">
        <f t="shared" si="116"/>
        <v>665.14220590661375</v>
      </c>
      <c r="K1008" s="27">
        <f t="shared" si="117"/>
        <v>-344.33774750765184</v>
      </c>
    </row>
    <row r="1009" spans="1:11">
      <c r="A1009" s="26">
        <v>959</v>
      </c>
      <c r="B1009" s="82">
        <f t="shared" si="118"/>
        <v>0</v>
      </c>
      <c r="C1009" s="58">
        <f t="shared" si="122"/>
        <v>156.29037528357509</v>
      </c>
      <c r="D1009" s="83">
        <f t="shared" si="119"/>
        <v>666.66666666666663</v>
      </c>
      <c r="E1009">
        <f t="shared" si="115"/>
        <v>0</v>
      </c>
      <c r="G1009">
        <v>959</v>
      </c>
      <c r="H1009" s="13">
        <f t="shared" si="120"/>
        <v>-7.7831728503952036E-4</v>
      </c>
      <c r="I1009">
        <f t="shared" si="121"/>
        <v>155.54396900722219</v>
      </c>
      <c r="J1009">
        <f t="shared" si="116"/>
        <v>665.14059151265235</v>
      </c>
      <c r="K1009" s="27">
        <f t="shared" si="117"/>
        <v>-344.33607596955045</v>
      </c>
    </row>
    <row r="1010" spans="1:11">
      <c r="A1010" s="26">
        <v>960</v>
      </c>
      <c r="B1010" s="82">
        <f t="shared" si="118"/>
        <v>0</v>
      </c>
      <c r="C1010" s="58">
        <f t="shared" si="122"/>
        <v>156.29037528357509</v>
      </c>
      <c r="D1010" s="83">
        <f t="shared" si="119"/>
        <v>666.66666666666663</v>
      </c>
      <c r="E1010">
        <f t="shared" si="115"/>
        <v>0</v>
      </c>
      <c r="G1010">
        <v>960</v>
      </c>
      <c r="H1010" s="13">
        <f t="shared" si="120"/>
        <v>-7.7831728503952036E-4</v>
      </c>
      <c r="I1010">
        <f t="shared" si="121"/>
        <v>155.54319068993715</v>
      </c>
      <c r="J1010">
        <f t="shared" si="116"/>
        <v>665.1389770693803</v>
      </c>
      <c r="K1010" s="27">
        <f t="shared" si="117"/>
        <v>-344.33440438444921</v>
      </c>
    </row>
    <row r="1011" spans="1:11">
      <c r="A1011" s="26">
        <v>961</v>
      </c>
      <c r="B1011" s="82">
        <f t="shared" si="118"/>
        <v>0</v>
      </c>
      <c r="C1011" s="58">
        <f t="shared" si="122"/>
        <v>156.29037528357509</v>
      </c>
      <c r="D1011" s="83">
        <f t="shared" si="119"/>
        <v>666.66666666666663</v>
      </c>
      <c r="E1011">
        <f t="shared" ref="E1011:E1074" si="123">((D1011^2)+(D1011*D1012)+(D1012^2))*B1012/3</f>
        <v>0</v>
      </c>
      <c r="G1011">
        <v>961</v>
      </c>
      <c r="H1011" s="13">
        <f t="shared" si="120"/>
        <v>-7.7831728503952036E-4</v>
      </c>
      <c r="I1011">
        <f t="shared" si="121"/>
        <v>155.54241237265211</v>
      </c>
      <c r="J1011">
        <f t="shared" ref="J1011:J1074" si="124">IF($G$28&lt;$C$14,0,((($C$11^2)-((I1011-$C$13)^2))^0.5)+$C$16)</f>
        <v>665.13736257679386</v>
      </c>
      <c r="K1011" s="27">
        <f t="shared" ref="K1011:K1074" si="125">((J1011^2)+(J1011*J1012)+(J1012^2))*H1012/3</f>
        <v>-344.33273275234455</v>
      </c>
    </row>
    <row r="1012" spans="1:11">
      <c r="A1012" s="26">
        <v>962</v>
      </c>
      <c r="B1012" s="82">
        <f t="shared" ref="B1012:B1075" si="126">C1012-C1011</f>
        <v>0</v>
      </c>
      <c r="C1012" s="58">
        <f t="shared" si="122"/>
        <v>156.29037528357509</v>
      </c>
      <c r="D1012" s="83">
        <f t="shared" ref="D1012:D1075" si="127">IF($G$28&lt;$C$14,0,((($C$11^2)-((C1012-$C$13)^2))^0.5)+$C$16)</f>
        <v>666.66666666666663</v>
      </c>
      <c r="E1012">
        <f t="shared" si="123"/>
        <v>0</v>
      </c>
      <c r="G1012">
        <v>962</v>
      </c>
      <c r="H1012" s="13">
        <f t="shared" ref="H1012:H1075" si="128">I1012-I1011</f>
        <v>-7.7831728503952036E-4</v>
      </c>
      <c r="I1012">
        <f t="shared" ref="I1012:I1075" si="129">($G$27-$C$14)/2000+I1011</f>
        <v>155.54163405536707</v>
      </c>
      <c r="J1012">
        <f t="shared" si="124"/>
        <v>665.1357480348895</v>
      </c>
      <c r="K1012" s="27">
        <f t="shared" si="125"/>
        <v>-344.33106107323323</v>
      </c>
    </row>
    <row r="1013" spans="1:11">
      <c r="A1013" s="26">
        <v>963</v>
      </c>
      <c r="B1013" s="82">
        <f t="shared" si="126"/>
        <v>0</v>
      </c>
      <c r="C1013" s="58">
        <f t="shared" si="122"/>
        <v>156.29037528357509</v>
      </c>
      <c r="D1013" s="83">
        <f t="shared" si="127"/>
        <v>666.66666666666663</v>
      </c>
      <c r="E1013">
        <f t="shared" si="123"/>
        <v>0</v>
      </c>
      <c r="G1013">
        <v>963</v>
      </c>
      <c r="H1013" s="13">
        <f t="shared" si="128"/>
        <v>-7.7831728503952036E-4</v>
      </c>
      <c r="I1013">
        <f t="shared" si="129"/>
        <v>155.54085573808203</v>
      </c>
      <c r="J1013">
        <f t="shared" si="124"/>
        <v>665.13413344366336</v>
      </c>
      <c r="K1013" s="27">
        <f t="shared" si="125"/>
        <v>-344.32938934711166</v>
      </c>
    </row>
    <row r="1014" spans="1:11">
      <c r="A1014" s="26">
        <v>964</v>
      </c>
      <c r="B1014" s="82">
        <f t="shared" si="126"/>
        <v>0</v>
      </c>
      <c r="C1014" s="58">
        <f t="shared" si="122"/>
        <v>156.29037528357509</v>
      </c>
      <c r="D1014" s="83">
        <f t="shared" si="127"/>
        <v>666.66666666666663</v>
      </c>
      <c r="E1014">
        <f t="shared" si="123"/>
        <v>0</v>
      </c>
      <c r="G1014">
        <v>964</v>
      </c>
      <c r="H1014" s="13">
        <f t="shared" si="128"/>
        <v>-7.7831728503952036E-4</v>
      </c>
      <c r="I1014">
        <f t="shared" si="129"/>
        <v>155.54007742079699</v>
      </c>
      <c r="J1014">
        <f t="shared" si="124"/>
        <v>665.13251880311202</v>
      </c>
      <c r="K1014" s="27">
        <f t="shared" si="125"/>
        <v>-344.32771757397654</v>
      </c>
    </row>
    <row r="1015" spans="1:11">
      <c r="A1015" s="26">
        <v>965</v>
      </c>
      <c r="B1015" s="82">
        <f t="shared" si="126"/>
        <v>0</v>
      </c>
      <c r="C1015" s="58">
        <f t="shared" si="122"/>
        <v>156.29037528357509</v>
      </c>
      <c r="D1015" s="83">
        <f t="shared" si="127"/>
        <v>666.66666666666663</v>
      </c>
      <c r="E1015">
        <f t="shared" si="123"/>
        <v>0</v>
      </c>
      <c r="G1015">
        <v>965</v>
      </c>
      <c r="H1015" s="13">
        <f t="shared" si="128"/>
        <v>-7.7831728503952036E-4</v>
      </c>
      <c r="I1015">
        <f t="shared" si="129"/>
        <v>155.53929910351195</v>
      </c>
      <c r="J1015">
        <f t="shared" si="124"/>
        <v>665.13090411323162</v>
      </c>
      <c r="K1015" s="27">
        <f t="shared" si="125"/>
        <v>-344.32604575382442</v>
      </c>
    </row>
    <row r="1016" spans="1:11">
      <c r="A1016" s="26">
        <v>966</v>
      </c>
      <c r="B1016" s="82">
        <f t="shared" si="126"/>
        <v>0</v>
      </c>
      <c r="C1016" s="58">
        <f t="shared" si="122"/>
        <v>156.29037528357509</v>
      </c>
      <c r="D1016" s="83">
        <f t="shared" si="127"/>
        <v>666.66666666666663</v>
      </c>
      <c r="E1016">
        <f t="shared" si="123"/>
        <v>0</v>
      </c>
      <c r="G1016">
        <v>966</v>
      </c>
      <c r="H1016" s="13">
        <f t="shared" si="128"/>
        <v>-7.7831728503952036E-4</v>
      </c>
      <c r="I1016">
        <f t="shared" si="129"/>
        <v>155.53852078622691</v>
      </c>
      <c r="J1016">
        <f t="shared" si="124"/>
        <v>665.12928937401853</v>
      </c>
      <c r="K1016" s="27">
        <f t="shared" si="125"/>
        <v>-344.32437388665176</v>
      </c>
    </row>
    <row r="1017" spans="1:11">
      <c r="A1017" s="26">
        <v>967</v>
      </c>
      <c r="B1017" s="82">
        <f t="shared" si="126"/>
        <v>0</v>
      </c>
      <c r="C1017" s="58">
        <f t="shared" si="122"/>
        <v>156.29037528357509</v>
      </c>
      <c r="D1017" s="83">
        <f t="shared" si="127"/>
        <v>666.66666666666663</v>
      </c>
      <c r="E1017">
        <f t="shared" si="123"/>
        <v>0</v>
      </c>
      <c r="G1017">
        <v>967</v>
      </c>
      <c r="H1017" s="13">
        <f t="shared" si="128"/>
        <v>-7.7831728503952036E-4</v>
      </c>
      <c r="I1017">
        <f t="shared" si="129"/>
        <v>155.53774246894187</v>
      </c>
      <c r="J1017">
        <f t="shared" si="124"/>
        <v>665.12767458546921</v>
      </c>
      <c r="K1017" s="27">
        <f t="shared" si="125"/>
        <v>-344.32270197245538</v>
      </c>
    </row>
    <row r="1018" spans="1:11">
      <c r="A1018" s="26">
        <v>968</v>
      </c>
      <c r="B1018" s="82">
        <f t="shared" si="126"/>
        <v>0</v>
      </c>
      <c r="C1018" s="58">
        <f t="shared" si="122"/>
        <v>156.29037528357509</v>
      </c>
      <c r="D1018" s="83">
        <f t="shared" si="127"/>
        <v>666.66666666666663</v>
      </c>
      <c r="E1018">
        <f t="shared" si="123"/>
        <v>0</v>
      </c>
      <c r="G1018">
        <v>968</v>
      </c>
      <c r="H1018" s="13">
        <f t="shared" si="128"/>
        <v>-7.7831728503952036E-4</v>
      </c>
      <c r="I1018">
        <f t="shared" si="129"/>
        <v>155.53696415165683</v>
      </c>
      <c r="J1018">
        <f t="shared" si="124"/>
        <v>665.1260597475798</v>
      </c>
      <c r="K1018" s="27">
        <f t="shared" si="125"/>
        <v>-344.32103001123164</v>
      </c>
    </row>
    <row r="1019" spans="1:11">
      <c r="A1019" s="26">
        <v>969</v>
      </c>
      <c r="B1019" s="82">
        <f t="shared" si="126"/>
        <v>0</v>
      </c>
      <c r="C1019" s="58">
        <f t="shared" si="122"/>
        <v>156.29037528357509</v>
      </c>
      <c r="D1019" s="83">
        <f t="shared" si="127"/>
        <v>666.66666666666663</v>
      </c>
      <c r="E1019">
        <f t="shared" si="123"/>
        <v>0</v>
      </c>
      <c r="G1019">
        <v>969</v>
      </c>
      <c r="H1019" s="13">
        <f t="shared" si="128"/>
        <v>-7.7831728503952036E-4</v>
      </c>
      <c r="I1019">
        <f t="shared" si="129"/>
        <v>155.53618583437179</v>
      </c>
      <c r="J1019">
        <f t="shared" si="124"/>
        <v>665.12444486034678</v>
      </c>
      <c r="K1019" s="27">
        <f t="shared" si="125"/>
        <v>-344.31935800297714</v>
      </c>
    </row>
    <row r="1020" spans="1:11">
      <c r="A1020" s="26">
        <v>970</v>
      </c>
      <c r="B1020" s="82">
        <f t="shared" si="126"/>
        <v>0</v>
      </c>
      <c r="C1020" s="58">
        <f t="shared" si="122"/>
        <v>156.29037528357509</v>
      </c>
      <c r="D1020" s="83">
        <f t="shared" si="127"/>
        <v>666.66666666666663</v>
      </c>
      <c r="E1020">
        <f t="shared" si="123"/>
        <v>0</v>
      </c>
      <c r="G1020">
        <v>970</v>
      </c>
      <c r="H1020" s="13">
        <f t="shared" si="128"/>
        <v>-7.7831728503952036E-4</v>
      </c>
      <c r="I1020">
        <f t="shared" si="129"/>
        <v>155.53540751708675</v>
      </c>
      <c r="J1020">
        <f t="shared" si="124"/>
        <v>665.1228299237664</v>
      </c>
      <c r="K1020" s="27">
        <f t="shared" si="125"/>
        <v>-344.31768594768852</v>
      </c>
    </row>
    <row r="1021" spans="1:11">
      <c r="A1021" s="26">
        <v>971</v>
      </c>
      <c r="B1021" s="82">
        <f t="shared" si="126"/>
        <v>0</v>
      </c>
      <c r="C1021" s="58">
        <f t="shared" si="122"/>
        <v>156.29037528357509</v>
      </c>
      <c r="D1021" s="83">
        <f t="shared" si="127"/>
        <v>666.66666666666663</v>
      </c>
      <c r="E1021">
        <f t="shared" si="123"/>
        <v>0</v>
      </c>
      <c r="G1021">
        <v>971</v>
      </c>
      <c r="H1021" s="13">
        <f t="shared" si="128"/>
        <v>-7.7831728503952036E-4</v>
      </c>
      <c r="I1021">
        <f t="shared" si="129"/>
        <v>155.53462919980171</v>
      </c>
      <c r="J1021">
        <f t="shared" si="124"/>
        <v>665.12121493783502</v>
      </c>
      <c r="K1021" s="27">
        <f t="shared" si="125"/>
        <v>-344.31601384536231</v>
      </c>
    </row>
    <row r="1022" spans="1:11">
      <c r="A1022" s="26">
        <v>972</v>
      </c>
      <c r="B1022" s="82">
        <f t="shared" si="126"/>
        <v>0</v>
      </c>
      <c r="C1022" s="58">
        <f t="shared" si="122"/>
        <v>156.29037528357509</v>
      </c>
      <c r="D1022" s="83">
        <f t="shared" si="127"/>
        <v>666.66666666666663</v>
      </c>
      <c r="E1022">
        <f t="shared" si="123"/>
        <v>0</v>
      </c>
      <c r="G1022">
        <v>972</v>
      </c>
      <c r="H1022" s="13">
        <f t="shared" si="128"/>
        <v>-7.7831728503952036E-4</v>
      </c>
      <c r="I1022">
        <f t="shared" si="129"/>
        <v>155.53385088251667</v>
      </c>
      <c r="J1022">
        <f t="shared" si="124"/>
        <v>665.11959990254888</v>
      </c>
      <c r="K1022" s="27">
        <f t="shared" si="125"/>
        <v>-344.3143416959951</v>
      </c>
    </row>
    <row r="1023" spans="1:11">
      <c r="A1023" s="26">
        <v>973</v>
      </c>
      <c r="B1023" s="82">
        <f t="shared" si="126"/>
        <v>0</v>
      </c>
      <c r="C1023" s="58">
        <f t="shared" si="122"/>
        <v>156.29037528357509</v>
      </c>
      <c r="D1023" s="83">
        <f t="shared" si="127"/>
        <v>666.66666666666663</v>
      </c>
      <c r="E1023">
        <f t="shared" si="123"/>
        <v>0</v>
      </c>
      <c r="G1023">
        <v>973</v>
      </c>
      <c r="H1023" s="13">
        <f t="shared" si="128"/>
        <v>-7.7831728503952036E-4</v>
      </c>
      <c r="I1023">
        <f t="shared" si="129"/>
        <v>155.53307256523163</v>
      </c>
      <c r="J1023">
        <f t="shared" si="124"/>
        <v>665.11798481790447</v>
      </c>
      <c r="K1023" s="27">
        <f t="shared" si="125"/>
        <v>-344.31266949958336</v>
      </c>
    </row>
    <row r="1024" spans="1:11">
      <c r="A1024" s="26">
        <v>974</v>
      </c>
      <c r="B1024" s="82">
        <f t="shared" si="126"/>
        <v>0</v>
      </c>
      <c r="C1024" s="58">
        <f t="shared" si="122"/>
        <v>156.29037528357509</v>
      </c>
      <c r="D1024" s="83">
        <f t="shared" si="127"/>
        <v>666.66666666666663</v>
      </c>
      <c r="E1024">
        <f t="shared" si="123"/>
        <v>0</v>
      </c>
      <c r="G1024">
        <v>974</v>
      </c>
      <c r="H1024" s="13">
        <f t="shared" si="128"/>
        <v>-7.7831728503952036E-4</v>
      </c>
      <c r="I1024">
        <f t="shared" si="129"/>
        <v>155.5322942479466</v>
      </c>
      <c r="J1024">
        <f t="shared" si="124"/>
        <v>665.11636968389803</v>
      </c>
      <c r="K1024" s="27">
        <f t="shared" si="125"/>
        <v>-344.31099725612381</v>
      </c>
    </row>
    <row r="1025" spans="1:11">
      <c r="A1025" s="26">
        <v>975</v>
      </c>
      <c r="B1025" s="82">
        <f t="shared" si="126"/>
        <v>0</v>
      </c>
      <c r="C1025" s="58">
        <f t="shared" si="122"/>
        <v>156.29037528357509</v>
      </c>
      <c r="D1025" s="83">
        <f t="shared" si="127"/>
        <v>666.66666666666663</v>
      </c>
      <c r="E1025">
        <f t="shared" si="123"/>
        <v>0</v>
      </c>
      <c r="G1025">
        <v>975</v>
      </c>
      <c r="H1025" s="13">
        <f t="shared" si="128"/>
        <v>-7.7831728503952036E-4</v>
      </c>
      <c r="I1025">
        <f t="shared" si="129"/>
        <v>155.53151593066156</v>
      </c>
      <c r="J1025">
        <f t="shared" si="124"/>
        <v>665.11475450052581</v>
      </c>
      <c r="K1025" s="27">
        <f t="shared" si="125"/>
        <v>-344.30932496561292</v>
      </c>
    </row>
    <row r="1026" spans="1:11">
      <c r="A1026" s="26">
        <v>976</v>
      </c>
      <c r="B1026" s="82">
        <f t="shared" si="126"/>
        <v>0</v>
      </c>
      <c r="C1026" s="58">
        <f t="shared" si="122"/>
        <v>156.29037528357509</v>
      </c>
      <c r="D1026" s="83">
        <f t="shared" si="127"/>
        <v>666.66666666666663</v>
      </c>
      <c r="E1026">
        <f t="shared" si="123"/>
        <v>0</v>
      </c>
      <c r="G1026">
        <v>976</v>
      </c>
      <c r="H1026" s="13">
        <f t="shared" si="128"/>
        <v>-7.7831728503952036E-4</v>
      </c>
      <c r="I1026">
        <f t="shared" si="129"/>
        <v>155.53073761337652</v>
      </c>
      <c r="J1026">
        <f t="shared" si="124"/>
        <v>665.11313926778428</v>
      </c>
      <c r="K1026" s="27">
        <f t="shared" si="125"/>
        <v>-344.30765262804738</v>
      </c>
    </row>
    <row r="1027" spans="1:11">
      <c r="A1027" s="26">
        <v>977</v>
      </c>
      <c r="B1027" s="82">
        <f t="shared" si="126"/>
        <v>0</v>
      </c>
      <c r="C1027" s="58">
        <f t="shared" si="122"/>
        <v>156.29037528357509</v>
      </c>
      <c r="D1027" s="83">
        <f t="shared" si="127"/>
        <v>666.66666666666663</v>
      </c>
      <c r="E1027">
        <f t="shared" si="123"/>
        <v>0</v>
      </c>
      <c r="G1027">
        <v>977</v>
      </c>
      <c r="H1027" s="13">
        <f t="shared" si="128"/>
        <v>-7.7831728503952036E-4</v>
      </c>
      <c r="I1027">
        <f t="shared" si="129"/>
        <v>155.52995929609148</v>
      </c>
      <c r="J1027">
        <f t="shared" si="124"/>
        <v>665.11152398566969</v>
      </c>
      <c r="K1027" s="27">
        <f t="shared" si="125"/>
        <v>-344.30598024342356</v>
      </c>
    </row>
    <row r="1028" spans="1:11">
      <c r="A1028" s="26">
        <v>978</v>
      </c>
      <c r="B1028" s="82">
        <f t="shared" si="126"/>
        <v>0</v>
      </c>
      <c r="C1028" s="58">
        <f t="shared" si="122"/>
        <v>156.29037528357509</v>
      </c>
      <c r="D1028" s="83">
        <f t="shared" si="127"/>
        <v>666.66666666666663</v>
      </c>
      <c r="E1028">
        <f t="shared" si="123"/>
        <v>0</v>
      </c>
      <c r="G1028">
        <v>978</v>
      </c>
      <c r="H1028" s="13">
        <f t="shared" si="128"/>
        <v>-7.7831728503952036E-4</v>
      </c>
      <c r="I1028">
        <f t="shared" si="129"/>
        <v>155.52918097880644</v>
      </c>
      <c r="J1028">
        <f t="shared" si="124"/>
        <v>665.1099086541783</v>
      </c>
      <c r="K1028" s="27">
        <f t="shared" si="125"/>
        <v>-344.30430781173817</v>
      </c>
    </row>
    <row r="1029" spans="1:11">
      <c r="A1029" s="26">
        <v>979</v>
      </c>
      <c r="B1029" s="82">
        <f t="shared" si="126"/>
        <v>0</v>
      </c>
      <c r="C1029" s="58">
        <f t="shared" si="122"/>
        <v>156.29037528357509</v>
      </c>
      <c r="D1029" s="83">
        <f t="shared" si="127"/>
        <v>666.66666666666663</v>
      </c>
      <c r="E1029">
        <f t="shared" si="123"/>
        <v>0</v>
      </c>
      <c r="G1029">
        <v>979</v>
      </c>
      <c r="H1029" s="13">
        <f t="shared" si="128"/>
        <v>-7.7831728503952036E-4</v>
      </c>
      <c r="I1029">
        <f t="shared" si="129"/>
        <v>155.5284026615214</v>
      </c>
      <c r="J1029">
        <f t="shared" si="124"/>
        <v>665.10829327330657</v>
      </c>
      <c r="K1029" s="27">
        <f t="shared" si="125"/>
        <v>-344.30263533298785</v>
      </c>
    </row>
    <row r="1030" spans="1:11">
      <c r="A1030" s="26">
        <v>980</v>
      </c>
      <c r="B1030" s="82">
        <f t="shared" si="126"/>
        <v>0</v>
      </c>
      <c r="C1030" s="58">
        <f t="shared" si="122"/>
        <v>156.29037528357509</v>
      </c>
      <c r="D1030" s="83">
        <f t="shared" si="127"/>
        <v>666.66666666666663</v>
      </c>
      <c r="E1030">
        <f t="shared" si="123"/>
        <v>0</v>
      </c>
      <c r="G1030">
        <v>980</v>
      </c>
      <c r="H1030" s="13">
        <f t="shared" si="128"/>
        <v>-7.7831728503952036E-4</v>
      </c>
      <c r="I1030">
        <f t="shared" si="129"/>
        <v>155.52762434423636</v>
      </c>
      <c r="J1030">
        <f t="shared" si="124"/>
        <v>665.10667784305076</v>
      </c>
      <c r="K1030" s="27">
        <f t="shared" si="125"/>
        <v>-344.30096280716884</v>
      </c>
    </row>
    <row r="1031" spans="1:11">
      <c r="A1031" s="26">
        <v>981</v>
      </c>
      <c r="B1031" s="82">
        <f t="shared" si="126"/>
        <v>0</v>
      </c>
      <c r="C1031" s="58">
        <f t="shared" si="122"/>
        <v>156.29037528357509</v>
      </c>
      <c r="D1031" s="83">
        <f t="shared" si="127"/>
        <v>666.66666666666663</v>
      </c>
      <c r="E1031">
        <f t="shared" si="123"/>
        <v>0</v>
      </c>
      <c r="G1031">
        <v>981</v>
      </c>
      <c r="H1031" s="13">
        <f t="shared" si="128"/>
        <v>-7.7831728503952036E-4</v>
      </c>
      <c r="I1031">
        <f t="shared" si="129"/>
        <v>155.52684602695132</v>
      </c>
      <c r="J1031">
        <f t="shared" si="124"/>
        <v>665.10506236340711</v>
      </c>
      <c r="K1031" s="27">
        <f t="shared" si="125"/>
        <v>-344.29929023427809</v>
      </c>
    </row>
    <row r="1032" spans="1:11">
      <c r="A1032" s="26">
        <v>982</v>
      </c>
      <c r="B1032" s="82">
        <f t="shared" si="126"/>
        <v>0</v>
      </c>
      <c r="C1032" s="58">
        <f t="shared" si="122"/>
        <v>156.29037528357509</v>
      </c>
      <c r="D1032" s="83">
        <f t="shared" si="127"/>
        <v>666.66666666666663</v>
      </c>
      <c r="E1032">
        <f t="shared" si="123"/>
        <v>0</v>
      </c>
      <c r="G1032">
        <v>982</v>
      </c>
      <c r="H1032" s="13">
        <f t="shared" si="128"/>
        <v>-7.7831728503952036E-4</v>
      </c>
      <c r="I1032">
        <f t="shared" si="129"/>
        <v>155.52606770966628</v>
      </c>
      <c r="J1032">
        <f t="shared" si="124"/>
        <v>665.10344683437222</v>
      </c>
      <c r="K1032" s="27">
        <f t="shared" si="125"/>
        <v>-344.297617614312</v>
      </c>
    </row>
    <row r="1033" spans="1:11">
      <c r="A1033" s="26">
        <v>983</v>
      </c>
      <c r="B1033" s="82">
        <f t="shared" si="126"/>
        <v>0</v>
      </c>
      <c r="C1033" s="58">
        <f t="shared" si="122"/>
        <v>156.29037528357509</v>
      </c>
      <c r="D1033" s="83">
        <f t="shared" si="127"/>
        <v>666.66666666666663</v>
      </c>
      <c r="E1033">
        <f t="shared" si="123"/>
        <v>0</v>
      </c>
      <c r="G1033">
        <v>983</v>
      </c>
      <c r="H1033" s="13">
        <f t="shared" si="128"/>
        <v>-7.7831728503952036E-4</v>
      </c>
      <c r="I1033">
        <f t="shared" si="129"/>
        <v>155.52528939238124</v>
      </c>
      <c r="J1033">
        <f t="shared" si="124"/>
        <v>665.1018312559421</v>
      </c>
      <c r="K1033" s="27">
        <f t="shared" si="125"/>
        <v>-344.29594494726712</v>
      </c>
    </row>
    <row r="1034" spans="1:11">
      <c r="A1034" s="26">
        <v>984</v>
      </c>
      <c r="B1034" s="82">
        <f t="shared" si="126"/>
        <v>0</v>
      </c>
      <c r="C1034" s="58">
        <f t="shared" si="122"/>
        <v>156.29037528357509</v>
      </c>
      <c r="D1034" s="83">
        <f t="shared" si="127"/>
        <v>666.66666666666663</v>
      </c>
      <c r="E1034">
        <f t="shared" si="123"/>
        <v>0</v>
      </c>
      <c r="G1034">
        <v>984</v>
      </c>
      <c r="H1034" s="13">
        <f t="shared" si="128"/>
        <v>-7.7831728503952036E-4</v>
      </c>
      <c r="I1034">
        <f t="shared" si="129"/>
        <v>155.5245110750962</v>
      </c>
      <c r="J1034">
        <f t="shared" si="124"/>
        <v>665.10021562811323</v>
      </c>
      <c r="K1034" s="27">
        <f t="shared" si="125"/>
        <v>-344.29427223314002</v>
      </c>
    </row>
    <row r="1035" spans="1:11">
      <c r="A1035" s="26">
        <v>985</v>
      </c>
      <c r="B1035" s="82">
        <f t="shared" si="126"/>
        <v>0</v>
      </c>
      <c r="C1035" s="58">
        <f t="shared" si="122"/>
        <v>156.29037528357509</v>
      </c>
      <c r="D1035" s="83">
        <f t="shared" si="127"/>
        <v>666.66666666666663</v>
      </c>
      <c r="E1035">
        <f t="shared" si="123"/>
        <v>0</v>
      </c>
      <c r="G1035">
        <v>985</v>
      </c>
      <c r="H1035" s="13">
        <f t="shared" si="128"/>
        <v>-7.7831728503952036E-4</v>
      </c>
      <c r="I1035">
        <f t="shared" si="129"/>
        <v>155.52373275781116</v>
      </c>
      <c r="J1035">
        <f t="shared" si="124"/>
        <v>665.09859995088186</v>
      </c>
      <c r="K1035" s="27">
        <f t="shared" si="125"/>
        <v>-344.2925994719273</v>
      </c>
    </row>
    <row r="1036" spans="1:11">
      <c r="A1036" s="26">
        <v>986</v>
      </c>
      <c r="B1036" s="82">
        <f t="shared" si="126"/>
        <v>0</v>
      </c>
      <c r="C1036" s="58">
        <f t="shared" si="122"/>
        <v>156.29037528357509</v>
      </c>
      <c r="D1036" s="83">
        <f t="shared" si="127"/>
        <v>666.66666666666663</v>
      </c>
      <c r="E1036">
        <f t="shared" si="123"/>
        <v>0</v>
      </c>
      <c r="G1036">
        <v>986</v>
      </c>
      <c r="H1036" s="13">
        <f t="shared" si="128"/>
        <v>-7.7831728503952036E-4</v>
      </c>
      <c r="I1036">
        <f t="shared" si="129"/>
        <v>155.52295444052612</v>
      </c>
      <c r="J1036">
        <f t="shared" si="124"/>
        <v>665.09698422424435</v>
      </c>
      <c r="K1036" s="27">
        <f t="shared" si="125"/>
        <v>-344.2909266636255</v>
      </c>
    </row>
    <row r="1037" spans="1:11">
      <c r="A1037" s="26">
        <v>987</v>
      </c>
      <c r="B1037" s="82">
        <f t="shared" si="126"/>
        <v>0</v>
      </c>
      <c r="C1037" s="58">
        <f t="shared" si="122"/>
        <v>156.29037528357509</v>
      </c>
      <c r="D1037" s="83">
        <f t="shared" si="127"/>
        <v>666.66666666666663</v>
      </c>
      <c r="E1037">
        <f t="shared" si="123"/>
        <v>0</v>
      </c>
      <c r="G1037">
        <v>987</v>
      </c>
      <c r="H1037" s="13">
        <f t="shared" si="128"/>
        <v>-7.7831728503952036E-4</v>
      </c>
      <c r="I1037">
        <f t="shared" si="129"/>
        <v>155.52217612324108</v>
      </c>
      <c r="J1037">
        <f t="shared" si="124"/>
        <v>665.09536844819706</v>
      </c>
      <c r="K1037" s="27">
        <f t="shared" si="125"/>
        <v>-344.28925380823119</v>
      </c>
    </row>
    <row r="1038" spans="1:11">
      <c r="A1038" s="26">
        <v>988</v>
      </c>
      <c r="B1038" s="82">
        <f t="shared" si="126"/>
        <v>0</v>
      </c>
      <c r="C1038" s="58">
        <f t="shared" si="122"/>
        <v>156.29037528357509</v>
      </c>
      <c r="D1038" s="83">
        <f t="shared" si="127"/>
        <v>666.66666666666663</v>
      </c>
      <c r="E1038">
        <f t="shared" si="123"/>
        <v>0</v>
      </c>
      <c r="G1038">
        <v>988</v>
      </c>
      <c r="H1038" s="13">
        <f t="shared" si="128"/>
        <v>-7.7831728503952036E-4</v>
      </c>
      <c r="I1038">
        <f t="shared" si="129"/>
        <v>155.52139780595604</v>
      </c>
      <c r="J1038">
        <f t="shared" si="124"/>
        <v>665.09375262273625</v>
      </c>
      <c r="K1038" s="27">
        <f t="shared" si="125"/>
        <v>-344.28758090574098</v>
      </c>
    </row>
    <row r="1039" spans="1:11">
      <c r="A1039" s="26">
        <v>989</v>
      </c>
      <c r="B1039" s="82">
        <f t="shared" si="126"/>
        <v>0</v>
      </c>
      <c r="C1039" s="58">
        <f t="shared" si="122"/>
        <v>156.29037528357509</v>
      </c>
      <c r="D1039" s="83">
        <f t="shared" si="127"/>
        <v>666.66666666666663</v>
      </c>
      <c r="E1039">
        <f t="shared" si="123"/>
        <v>0</v>
      </c>
      <c r="G1039">
        <v>989</v>
      </c>
      <c r="H1039" s="13">
        <f t="shared" si="128"/>
        <v>-7.7831728503952036E-4</v>
      </c>
      <c r="I1039">
        <f t="shared" si="129"/>
        <v>155.520619488671</v>
      </c>
      <c r="J1039">
        <f t="shared" si="124"/>
        <v>665.09213674785838</v>
      </c>
      <c r="K1039" s="27">
        <f t="shared" si="125"/>
        <v>-344.28590795615133</v>
      </c>
    </row>
    <row r="1040" spans="1:11">
      <c r="A1040" s="26">
        <v>990</v>
      </c>
      <c r="B1040" s="82">
        <f t="shared" si="126"/>
        <v>0</v>
      </c>
      <c r="C1040" s="58">
        <f t="shared" ref="C1040:C1103" si="130">($C$37-$C$36)/2000+C1039</f>
        <v>156.29037528357509</v>
      </c>
      <c r="D1040" s="83">
        <f t="shared" si="127"/>
        <v>666.66666666666663</v>
      </c>
      <c r="E1040">
        <f t="shared" si="123"/>
        <v>0</v>
      </c>
      <c r="G1040">
        <v>990</v>
      </c>
      <c r="H1040" s="13">
        <f t="shared" si="128"/>
        <v>-7.7831728503952036E-4</v>
      </c>
      <c r="I1040">
        <f t="shared" si="129"/>
        <v>155.51984117138596</v>
      </c>
      <c r="J1040">
        <f t="shared" si="124"/>
        <v>665.09052082355947</v>
      </c>
      <c r="K1040" s="27">
        <f t="shared" si="125"/>
        <v>-344.28423495945884</v>
      </c>
    </row>
    <row r="1041" spans="1:11">
      <c r="A1041" s="26">
        <v>991</v>
      </c>
      <c r="B1041" s="82">
        <f t="shared" si="126"/>
        <v>0</v>
      </c>
      <c r="C1041" s="58">
        <f t="shared" si="130"/>
        <v>156.29037528357509</v>
      </c>
      <c r="D1041" s="83">
        <f t="shared" si="127"/>
        <v>666.66666666666663</v>
      </c>
      <c r="E1041">
        <f t="shared" si="123"/>
        <v>0</v>
      </c>
      <c r="G1041">
        <v>991</v>
      </c>
      <c r="H1041" s="13">
        <f t="shared" si="128"/>
        <v>-7.7831728503952036E-4</v>
      </c>
      <c r="I1041">
        <f t="shared" si="129"/>
        <v>155.51906285410092</v>
      </c>
      <c r="J1041">
        <f t="shared" si="124"/>
        <v>665.08890484983613</v>
      </c>
      <c r="K1041" s="27">
        <f t="shared" si="125"/>
        <v>-344.2825619156601</v>
      </c>
    </row>
    <row r="1042" spans="1:11">
      <c r="A1042" s="26">
        <v>992</v>
      </c>
      <c r="B1042" s="82">
        <f t="shared" si="126"/>
        <v>0</v>
      </c>
      <c r="C1042" s="58">
        <f t="shared" si="130"/>
        <v>156.29037528357509</v>
      </c>
      <c r="D1042" s="83">
        <f t="shared" si="127"/>
        <v>666.66666666666663</v>
      </c>
      <c r="E1042">
        <f t="shared" si="123"/>
        <v>0</v>
      </c>
      <c r="G1042">
        <v>992</v>
      </c>
      <c r="H1042" s="13">
        <f t="shared" si="128"/>
        <v>-7.7831728503952036E-4</v>
      </c>
      <c r="I1042">
        <f t="shared" si="129"/>
        <v>155.51828453681588</v>
      </c>
      <c r="J1042">
        <f t="shared" si="124"/>
        <v>665.08728882668447</v>
      </c>
      <c r="K1042" s="27">
        <f t="shared" si="125"/>
        <v>-344.28088882475163</v>
      </c>
    </row>
    <row r="1043" spans="1:11">
      <c r="A1043" s="26">
        <v>993</v>
      </c>
      <c r="B1043" s="82">
        <f t="shared" si="126"/>
        <v>0</v>
      </c>
      <c r="C1043" s="58">
        <f t="shared" si="130"/>
        <v>156.29037528357509</v>
      </c>
      <c r="D1043" s="83">
        <f t="shared" si="127"/>
        <v>666.66666666666663</v>
      </c>
      <c r="E1043">
        <f t="shared" si="123"/>
        <v>0</v>
      </c>
      <c r="G1043">
        <v>993</v>
      </c>
      <c r="H1043" s="13">
        <f t="shared" si="128"/>
        <v>-7.7831728503952036E-4</v>
      </c>
      <c r="I1043">
        <f t="shared" si="129"/>
        <v>155.51750621953084</v>
      </c>
      <c r="J1043">
        <f t="shared" si="124"/>
        <v>665.08567275410098</v>
      </c>
      <c r="K1043" s="27">
        <f t="shared" si="125"/>
        <v>-344.27921568673008</v>
      </c>
    </row>
    <row r="1044" spans="1:11">
      <c r="A1044" s="26">
        <v>994</v>
      </c>
      <c r="B1044" s="82">
        <f t="shared" si="126"/>
        <v>0</v>
      </c>
      <c r="C1044" s="58">
        <f t="shared" si="130"/>
        <v>156.29037528357509</v>
      </c>
      <c r="D1044" s="83">
        <f t="shared" si="127"/>
        <v>666.66666666666663</v>
      </c>
      <c r="E1044">
        <f t="shared" si="123"/>
        <v>0</v>
      </c>
      <c r="G1044">
        <v>994</v>
      </c>
      <c r="H1044" s="13">
        <f t="shared" si="128"/>
        <v>-7.7831728503952036E-4</v>
      </c>
      <c r="I1044">
        <f t="shared" si="129"/>
        <v>155.5167279022458</v>
      </c>
      <c r="J1044">
        <f t="shared" si="124"/>
        <v>665.08405663208191</v>
      </c>
      <c r="K1044" s="27">
        <f t="shared" si="125"/>
        <v>-344.27754250159182</v>
      </c>
    </row>
    <row r="1045" spans="1:11">
      <c r="A1045" s="26">
        <v>995</v>
      </c>
      <c r="B1045" s="82">
        <f t="shared" si="126"/>
        <v>0</v>
      </c>
      <c r="C1045" s="58">
        <f t="shared" si="130"/>
        <v>156.29037528357509</v>
      </c>
      <c r="D1045" s="83">
        <f t="shared" si="127"/>
        <v>666.66666666666663</v>
      </c>
      <c r="E1045">
        <f t="shared" si="123"/>
        <v>0</v>
      </c>
      <c r="G1045">
        <v>995</v>
      </c>
      <c r="H1045" s="13">
        <f t="shared" si="128"/>
        <v>-7.7831728503952036E-4</v>
      </c>
      <c r="I1045">
        <f t="shared" si="129"/>
        <v>155.51594958496077</v>
      </c>
      <c r="J1045">
        <f t="shared" si="124"/>
        <v>665.0824404606235</v>
      </c>
      <c r="K1045" s="27">
        <f t="shared" si="125"/>
        <v>-344.27586926933367</v>
      </c>
    </row>
    <row r="1046" spans="1:11">
      <c r="A1046" s="26">
        <v>996</v>
      </c>
      <c r="B1046" s="82">
        <f t="shared" si="126"/>
        <v>0</v>
      </c>
      <c r="C1046" s="58">
        <f t="shared" si="130"/>
        <v>156.29037528357509</v>
      </c>
      <c r="D1046" s="83">
        <f t="shared" si="127"/>
        <v>666.66666666666663</v>
      </c>
      <c r="E1046">
        <f t="shared" si="123"/>
        <v>0</v>
      </c>
      <c r="G1046">
        <v>996</v>
      </c>
      <c r="H1046" s="13">
        <f t="shared" si="128"/>
        <v>-7.7831728503952036E-4</v>
      </c>
      <c r="I1046">
        <f t="shared" si="129"/>
        <v>155.51517126767573</v>
      </c>
      <c r="J1046">
        <f t="shared" si="124"/>
        <v>665.08082423972223</v>
      </c>
      <c r="K1046" s="27">
        <f t="shared" si="125"/>
        <v>-344.27419598995215</v>
      </c>
    </row>
    <row r="1047" spans="1:11">
      <c r="A1047" s="26">
        <v>997</v>
      </c>
      <c r="B1047" s="82">
        <f t="shared" si="126"/>
        <v>0</v>
      </c>
      <c r="C1047" s="58">
        <f t="shared" si="130"/>
        <v>156.29037528357509</v>
      </c>
      <c r="D1047" s="83">
        <f t="shared" si="127"/>
        <v>666.66666666666663</v>
      </c>
      <c r="E1047">
        <f t="shared" si="123"/>
        <v>0</v>
      </c>
      <c r="G1047">
        <v>997</v>
      </c>
      <c r="H1047" s="13">
        <f t="shared" si="128"/>
        <v>-7.7831728503952036E-4</v>
      </c>
      <c r="I1047">
        <f t="shared" si="129"/>
        <v>155.51439295039069</v>
      </c>
      <c r="J1047">
        <f t="shared" si="124"/>
        <v>665.07920796937435</v>
      </c>
      <c r="K1047" s="27">
        <f t="shared" si="125"/>
        <v>-344.27252266344357</v>
      </c>
    </row>
    <row r="1048" spans="1:11">
      <c r="A1048" s="26">
        <v>998</v>
      </c>
      <c r="B1048" s="82">
        <f t="shared" si="126"/>
        <v>0</v>
      </c>
      <c r="C1048" s="58">
        <f t="shared" si="130"/>
        <v>156.29037528357509</v>
      </c>
      <c r="D1048" s="83">
        <f t="shared" si="127"/>
        <v>666.66666666666663</v>
      </c>
      <c r="E1048">
        <f t="shared" si="123"/>
        <v>0</v>
      </c>
      <c r="G1048">
        <v>998</v>
      </c>
      <c r="H1048" s="13">
        <f t="shared" si="128"/>
        <v>-7.7831728503952036E-4</v>
      </c>
      <c r="I1048">
        <f t="shared" si="129"/>
        <v>155.51361463310565</v>
      </c>
      <c r="J1048">
        <f t="shared" si="124"/>
        <v>665.07759164957611</v>
      </c>
      <c r="K1048" s="27">
        <f t="shared" si="125"/>
        <v>-344.27084928980474</v>
      </c>
    </row>
    <row r="1049" spans="1:11">
      <c r="A1049" s="26">
        <v>999</v>
      </c>
      <c r="B1049" s="82">
        <f t="shared" si="126"/>
        <v>0</v>
      </c>
      <c r="C1049" s="58">
        <f t="shared" si="130"/>
        <v>156.29037528357509</v>
      </c>
      <c r="D1049" s="83">
        <f t="shared" si="127"/>
        <v>666.66666666666663</v>
      </c>
      <c r="E1049">
        <f t="shared" si="123"/>
        <v>0</v>
      </c>
      <c r="G1049">
        <v>999</v>
      </c>
      <c r="H1049" s="13">
        <f t="shared" si="128"/>
        <v>-7.7831728503952036E-4</v>
      </c>
      <c r="I1049">
        <f t="shared" si="129"/>
        <v>155.51283631582061</v>
      </c>
      <c r="J1049">
        <f t="shared" si="124"/>
        <v>665.07597528032386</v>
      </c>
      <c r="K1049" s="27">
        <f t="shared" si="125"/>
        <v>-344.2691758690321</v>
      </c>
    </row>
    <row r="1050" spans="1:11">
      <c r="A1050" s="26">
        <v>1000</v>
      </c>
      <c r="B1050" s="82">
        <f t="shared" si="126"/>
        <v>0</v>
      </c>
      <c r="C1050" s="58">
        <f t="shared" si="130"/>
        <v>156.29037528357509</v>
      </c>
      <c r="D1050" s="83">
        <f t="shared" si="127"/>
        <v>666.66666666666663</v>
      </c>
      <c r="E1050">
        <f t="shared" si="123"/>
        <v>0</v>
      </c>
      <c r="G1050">
        <v>1000</v>
      </c>
      <c r="H1050" s="13">
        <f t="shared" si="128"/>
        <v>-7.7831728503952036E-4</v>
      </c>
      <c r="I1050">
        <f t="shared" si="129"/>
        <v>155.51205799853557</v>
      </c>
      <c r="J1050">
        <f t="shared" si="124"/>
        <v>665.07435886161386</v>
      </c>
      <c r="K1050" s="27">
        <f t="shared" si="125"/>
        <v>-344.26750240112216</v>
      </c>
    </row>
    <row r="1051" spans="1:11">
      <c r="A1051" s="26">
        <v>1001</v>
      </c>
      <c r="B1051" s="82">
        <f t="shared" si="126"/>
        <v>0</v>
      </c>
      <c r="C1051" s="58">
        <f t="shared" si="130"/>
        <v>156.29037528357509</v>
      </c>
      <c r="D1051" s="83">
        <f t="shared" si="127"/>
        <v>666.66666666666663</v>
      </c>
      <c r="E1051">
        <f t="shared" si="123"/>
        <v>0</v>
      </c>
      <c r="G1051">
        <v>1001</v>
      </c>
      <c r="H1051" s="13">
        <f t="shared" si="128"/>
        <v>-7.7831728503952036E-4</v>
      </c>
      <c r="I1051">
        <f t="shared" si="129"/>
        <v>155.51127968125053</v>
      </c>
      <c r="J1051">
        <f t="shared" si="124"/>
        <v>665.07274239344258</v>
      </c>
      <c r="K1051" s="27">
        <f t="shared" si="125"/>
        <v>-344.26582888607163</v>
      </c>
    </row>
    <row r="1052" spans="1:11">
      <c r="A1052" s="26">
        <v>1002</v>
      </c>
      <c r="B1052" s="82">
        <f t="shared" si="126"/>
        <v>0</v>
      </c>
      <c r="C1052" s="58">
        <f t="shared" si="130"/>
        <v>156.29037528357509</v>
      </c>
      <c r="D1052" s="83">
        <f t="shared" si="127"/>
        <v>666.66666666666663</v>
      </c>
      <c r="E1052">
        <f t="shared" si="123"/>
        <v>0</v>
      </c>
      <c r="G1052">
        <v>1002</v>
      </c>
      <c r="H1052" s="13">
        <f t="shared" si="128"/>
        <v>-7.7831728503952036E-4</v>
      </c>
      <c r="I1052">
        <f t="shared" si="129"/>
        <v>155.51050136396549</v>
      </c>
      <c r="J1052">
        <f t="shared" si="124"/>
        <v>665.07112587580616</v>
      </c>
      <c r="K1052" s="27">
        <f t="shared" si="125"/>
        <v>-344.26415532387705</v>
      </c>
    </row>
    <row r="1053" spans="1:11">
      <c r="A1053" s="26">
        <v>1003</v>
      </c>
      <c r="B1053" s="82">
        <f t="shared" si="126"/>
        <v>0</v>
      </c>
      <c r="C1053" s="58">
        <f t="shared" si="130"/>
        <v>156.29037528357509</v>
      </c>
      <c r="D1053" s="83">
        <f t="shared" si="127"/>
        <v>666.66666666666663</v>
      </c>
      <c r="E1053">
        <f t="shared" si="123"/>
        <v>0</v>
      </c>
      <c r="G1053">
        <v>1003</v>
      </c>
      <c r="H1053" s="13">
        <f t="shared" si="128"/>
        <v>-7.7831728503952036E-4</v>
      </c>
      <c r="I1053">
        <f t="shared" si="129"/>
        <v>155.50972304668045</v>
      </c>
      <c r="J1053">
        <f t="shared" si="124"/>
        <v>665.06950930870107</v>
      </c>
      <c r="K1053" s="27">
        <f t="shared" si="125"/>
        <v>-344.26248171453477</v>
      </c>
    </row>
    <row r="1054" spans="1:11">
      <c r="A1054" s="26">
        <v>1004</v>
      </c>
      <c r="B1054" s="82">
        <f t="shared" si="126"/>
        <v>0</v>
      </c>
      <c r="C1054" s="58">
        <f t="shared" si="130"/>
        <v>156.29037528357509</v>
      </c>
      <c r="D1054" s="83">
        <f t="shared" si="127"/>
        <v>666.66666666666663</v>
      </c>
      <c r="E1054">
        <f t="shared" si="123"/>
        <v>0</v>
      </c>
      <c r="G1054">
        <v>1004</v>
      </c>
      <c r="H1054" s="13">
        <f t="shared" si="128"/>
        <v>-7.7831728503952036E-4</v>
      </c>
      <c r="I1054">
        <f t="shared" si="129"/>
        <v>155.50894472939541</v>
      </c>
      <c r="J1054">
        <f t="shared" si="124"/>
        <v>665.06789269212345</v>
      </c>
      <c r="K1054" s="27">
        <f t="shared" si="125"/>
        <v>-344.2608080580415</v>
      </c>
    </row>
    <row r="1055" spans="1:11">
      <c r="A1055" s="26">
        <v>1005</v>
      </c>
      <c r="B1055" s="82">
        <f t="shared" si="126"/>
        <v>0</v>
      </c>
      <c r="C1055" s="58">
        <f t="shared" si="130"/>
        <v>156.29037528357509</v>
      </c>
      <c r="D1055" s="83">
        <f t="shared" si="127"/>
        <v>666.66666666666663</v>
      </c>
      <c r="E1055">
        <f t="shared" si="123"/>
        <v>0</v>
      </c>
      <c r="G1055">
        <v>1005</v>
      </c>
      <c r="H1055" s="13">
        <f t="shared" si="128"/>
        <v>-7.7831728503952036E-4</v>
      </c>
      <c r="I1055">
        <f t="shared" si="129"/>
        <v>155.50816641211037</v>
      </c>
      <c r="J1055">
        <f t="shared" si="124"/>
        <v>665.06627602606977</v>
      </c>
      <c r="K1055" s="27">
        <f t="shared" si="125"/>
        <v>-344.25913435439389</v>
      </c>
    </row>
    <row r="1056" spans="1:11">
      <c r="A1056" s="26">
        <v>1006</v>
      </c>
      <c r="B1056" s="82">
        <f t="shared" si="126"/>
        <v>0</v>
      </c>
      <c r="C1056" s="58">
        <f t="shared" si="130"/>
        <v>156.29037528357509</v>
      </c>
      <c r="D1056" s="83">
        <f t="shared" si="127"/>
        <v>666.66666666666663</v>
      </c>
      <c r="E1056">
        <f t="shared" si="123"/>
        <v>0</v>
      </c>
      <c r="G1056">
        <v>1006</v>
      </c>
      <c r="H1056" s="13">
        <f t="shared" si="128"/>
        <v>-7.7831728503952036E-4</v>
      </c>
      <c r="I1056">
        <f t="shared" si="129"/>
        <v>155.50738809482533</v>
      </c>
      <c r="J1056">
        <f t="shared" si="124"/>
        <v>665.06465931053629</v>
      </c>
      <c r="K1056" s="27">
        <f t="shared" si="125"/>
        <v>-344.25746060358847</v>
      </c>
    </row>
    <row r="1057" spans="1:11">
      <c r="A1057" s="26">
        <v>1007</v>
      </c>
      <c r="B1057" s="82">
        <f t="shared" si="126"/>
        <v>0</v>
      </c>
      <c r="C1057" s="58">
        <f t="shared" si="130"/>
        <v>156.29037528357509</v>
      </c>
      <c r="D1057" s="83">
        <f t="shared" si="127"/>
        <v>666.66666666666663</v>
      </c>
      <c r="E1057">
        <f t="shared" si="123"/>
        <v>0</v>
      </c>
      <c r="G1057">
        <v>1007</v>
      </c>
      <c r="H1057" s="13">
        <f t="shared" si="128"/>
        <v>-7.7831728503952036E-4</v>
      </c>
      <c r="I1057">
        <f t="shared" si="129"/>
        <v>155.50660977754029</v>
      </c>
      <c r="J1057">
        <f t="shared" si="124"/>
        <v>665.06304254551935</v>
      </c>
      <c r="K1057" s="27">
        <f t="shared" si="125"/>
        <v>-344.25578680562154</v>
      </c>
    </row>
    <row r="1058" spans="1:11">
      <c r="A1058" s="26">
        <v>1008</v>
      </c>
      <c r="B1058" s="82">
        <f t="shared" si="126"/>
        <v>0</v>
      </c>
      <c r="C1058" s="58">
        <f t="shared" si="130"/>
        <v>156.29037528357509</v>
      </c>
      <c r="D1058" s="83">
        <f t="shared" si="127"/>
        <v>666.66666666666663</v>
      </c>
      <c r="E1058">
        <f t="shared" si="123"/>
        <v>0</v>
      </c>
      <c r="G1058">
        <v>1008</v>
      </c>
      <c r="H1058" s="13">
        <f t="shared" si="128"/>
        <v>-7.7831728503952036E-4</v>
      </c>
      <c r="I1058">
        <f t="shared" si="129"/>
        <v>155.50583146025525</v>
      </c>
      <c r="J1058">
        <f t="shared" si="124"/>
        <v>665.06142573101511</v>
      </c>
      <c r="K1058" s="27">
        <f t="shared" si="125"/>
        <v>-344.25411296048992</v>
      </c>
    </row>
    <row r="1059" spans="1:11">
      <c r="A1059" s="26">
        <v>1009</v>
      </c>
      <c r="B1059" s="82">
        <f t="shared" si="126"/>
        <v>0</v>
      </c>
      <c r="C1059" s="58">
        <f t="shared" si="130"/>
        <v>156.29037528357509</v>
      </c>
      <c r="D1059" s="83">
        <f t="shared" si="127"/>
        <v>666.66666666666663</v>
      </c>
      <c r="E1059">
        <f t="shared" si="123"/>
        <v>0</v>
      </c>
      <c r="G1059">
        <v>1009</v>
      </c>
      <c r="H1059" s="13">
        <f t="shared" si="128"/>
        <v>-7.7831728503952036E-4</v>
      </c>
      <c r="I1059">
        <f t="shared" si="129"/>
        <v>155.50505314297021</v>
      </c>
      <c r="J1059">
        <f t="shared" si="124"/>
        <v>665.05980886702014</v>
      </c>
      <c r="K1059" s="27">
        <f t="shared" si="125"/>
        <v>-344.25243906818997</v>
      </c>
    </row>
    <row r="1060" spans="1:11">
      <c r="A1060" s="26">
        <v>1010</v>
      </c>
      <c r="B1060" s="82">
        <f t="shared" si="126"/>
        <v>0</v>
      </c>
      <c r="C1060" s="58">
        <f t="shared" si="130"/>
        <v>156.29037528357509</v>
      </c>
      <c r="D1060" s="83">
        <f t="shared" si="127"/>
        <v>666.66666666666663</v>
      </c>
      <c r="E1060">
        <f t="shared" si="123"/>
        <v>0</v>
      </c>
      <c r="G1060">
        <v>1010</v>
      </c>
      <c r="H1060" s="13">
        <f t="shared" si="128"/>
        <v>-7.7831728503952036E-4</v>
      </c>
      <c r="I1060">
        <f t="shared" si="129"/>
        <v>155.50427482568517</v>
      </c>
      <c r="J1060">
        <f t="shared" si="124"/>
        <v>665.05819195353047</v>
      </c>
      <c r="K1060" s="27">
        <f t="shared" si="125"/>
        <v>-344.25076512871857</v>
      </c>
    </row>
    <row r="1061" spans="1:11">
      <c r="A1061" s="26">
        <v>1011</v>
      </c>
      <c r="B1061" s="82">
        <f t="shared" si="126"/>
        <v>0</v>
      </c>
      <c r="C1061" s="58">
        <f t="shared" si="130"/>
        <v>156.29037528357509</v>
      </c>
      <c r="D1061" s="83">
        <f t="shared" si="127"/>
        <v>666.66666666666663</v>
      </c>
      <c r="E1061">
        <f t="shared" si="123"/>
        <v>0</v>
      </c>
      <c r="G1061">
        <v>1011</v>
      </c>
      <c r="H1061" s="13">
        <f t="shared" si="128"/>
        <v>-7.7831728503952036E-4</v>
      </c>
      <c r="I1061">
        <f t="shared" si="129"/>
        <v>155.50349650840013</v>
      </c>
      <c r="J1061">
        <f t="shared" si="124"/>
        <v>665.05657499054269</v>
      </c>
      <c r="K1061" s="27">
        <f t="shared" si="125"/>
        <v>-344.2490911420719</v>
      </c>
    </row>
    <row r="1062" spans="1:11">
      <c r="A1062" s="26">
        <v>1012</v>
      </c>
      <c r="B1062" s="82">
        <f t="shared" si="126"/>
        <v>0</v>
      </c>
      <c r="C1062" s="58">
        <f t="shared" si="130"/>
        <v>156.29037528357509</v>
      </c>
      <c r="D1062" s="83">
        <f t="shared" si="127"/>
        <v>666.66666666666663</v>
      </c>
      <c r="E1062">
        <f t="shared" si="123"/>
        <v>0</v>
      </c>
      <c r="G1062">
        <v>1012</v>
      </c>
      <c r="H1062" s="13">
        <f t="shared" si="128"/>
        <v>-7.7831728503952036E-4</v>
      </c>
      <c r="I1062">
        <f t="shared" si="129"/>
        <v>155.50271819111509</v>
      </c>
      <c r="J1062">
        <f t="shared" si="124"/>
        <v>665.05495797805281</v>
      </c>
      <c r="K1062" s="27">
        <f t="shared" si="125"/>
        <v>-344.24741710824674</v>
      </c>
    </row>
    <row r="1063" spans="1:11">
      <c r="A1063" s="26">
        <v>1013</v>
      </c>
      <c r="B1063" s="82">
        <f t="shared" si="126"/>
        <v>0</v>
      </c>
      <c r="C1063" s="58">
        <f t="shared" si="130"/>
        <v>156.29037528357509</v>
      </c>
      <c r="D1063" s="83">
        <f t="shared" si="127"/>
        <v>666.66666666666663</v>
      </c>
      <c r="E1063">
        <f t="shared" si="123"/>
        <v>0</v>
      </c>
      <c r="G1063">
        <v>1013</v>
      </c>
      <c r="H1063" s="13">
        <f t="shared" si="128"/>
        <v>-7.7831728503952036E-4</v>
      </c>
      <c r="I1063">
        <f t="shared" si="129"/>
        <v>155.50193987383005</v>
      </c>
      <c r="J1063">
        <f t="shared" si="124"/>
        <v>665.05334091605732</v>
      </c>
      <c r="K1063" s="27">
        <f t="shared" si="125"/>
        <v>-344.24574302723948</v>
      </c>
    </row>
    <row r="1064" spans="1:11">
      <c r="A1064" s="26">
        <v>1014</v>
      </c>
      <c r="B1064" s="82">
        <f t="shared" si="126"/>
        <v>0</v>
      </c>
      <c r="C1064" s="58">
        <f t="shared" si="130"/>
        <v>156.29037528357509</v>
      </c>
      <c r="D1064" s="83">
        <f t="shared" si="127"/>
        <v>666.66666666666663</v>
      </c>
      <c r="E1064">
        <f t="shared" si="123"/>
        <v>0</v>
      </c>
      <c r="G1064">
        <v>1014</v>
      </c>
      <c r="H1064" s="13">
        <f t="shared" si="128"/>
        <v>-7.7831728503952036E-4</v>
      </c>
      <c r="I1064">
        <f t="shared" si="129"/>
        <v>155.50116155654501</v>
      </c>
      <c r="J1064">
        <f t="shared" si="124"/>
        <v>665.05172380455258</v>
      </c>
      <c r="K1064" s="27">
        <f t="shared" si="125"/>
        <v>-344.24406889904679</v>
      </c>
    </row>
    <row r="1065" spans="1:11">
      <c r="A1065" s="26">
        <v>1015</v>
      </c>
      <c r="B1065" s="82">
        <f t="shared" si="126"/>
        <v>0</v>
      </c>
      <c r="C1065" s="58">
        <f t="shared" si="130"/>
        <v>156.29037528357509</v>
      </c>
      <c r="D1065" s="83">
        <f t="shared" si="127"/>
        <v>666.66666666666663</v>
      </c>
      <c r="E1065">
        <f t="shared" si="123"/>
        <v>0</v>
      </c>
      <c r="G1065">
        <v>1015</v>
      </c>
      <c r="H1065" s="13">
        <f t="shared" si="128"/>
        <v>-7.7831728503952036E-4</v>
      </c>
      <c r="I1065">
        <f t="shared" si="129"/>
        <v>155.50038323925997</v>
      </c>
      <c r="J1065">
        <f t="shared" si="124"/>
        <v>665.05010664353472</v>
      </c>
      <c r="K1065" s="27">
        <f t="shared" si="125"/>
        <v>-344.2423947236652</v>
      </c>
    </row>
    <row r="1066" spans="1:11">
      <c r="A1066" s="26">
        <v>1016</v>
      </c>
      <c r="B1066" s="82">
        <f t="shared" si="126"/>
        <v>0</v>
      </c>
      <c r="C1066" s="58">
        <f t="shared" si="130"/>
        <v>156.29037528357509</v>
      </c>
      <c r="D1066" s="83">
        <f t="shared" si="127"/>
        <v>666.66666666666663</v>
      </c>
      <c r="E1066">
        <f t="shared" si="123"/>
        <v>0</v>
      </c>
      <c r="G1066">
        <v>1016</v>
      </c>
      <c r="H1066" s="13">
        <f t="shared" si="128"/>
        <v>-7.7831728503952036E-4</v>
      </c>
      <c r="I1066">
        <f t="shared" si="129"/>
        <v>155.49960492197494</v>
      </c>
      <c r="J1066">
        <f t="shared" si="124"/>
        <v>665.04848943300021</v>
      </c>
      <c r="K1066" s="27">
        <f t="shared" si="125"/>
        <v>-344.24072050109118</v>
      </c>
    </row>
    <row r="1067" spans="1:11">
      <c r="A1067" s="26">
        <v>1017</v>
      </c>
      <c r="B1067" s="82">
        <f t="shared" si="126"/>
        <v>0</v>
      </c>
      <c r="C1067" s="58">
        <f t="shared" si="130"/>
        <v>156.29037528357509</v>
      </c>
      <c r="D1067" s="83">
        <f t="shared" si="127"/>
        <v>666.66666666666663</v>
      </c>
      <c r="E1067">
        <f t="shared" si="123"/>
        <v>0</v>
      </c>
      <c r="G1067">
        <v>1017</v>
      </c>
      <c r="H1067" s="13">
        <f t="shared" si="128"/>
        <v>-7.7831728503952036E-4</v>
      </c>
      <c r="I1067">
        <f t="shared" si="129"/>
        <v>155.4988266046899</v>
      </c>
      <c r="J1067">
        <f t="shared" si="124"/>
        <v>665.04687217294531</v>
      </c>
      <c r="K1067" s="27">
        <f t="shared" si="125"/>
        <v>-344.23904623132148</v>
      </c>
    </row>
    <row r="1068" spans="1:11">
      <c r="A1068" s="26">
        <v>1018</v>
      </c>
      <c r="B1068" s="82">
        <f t="shared" si="126"/>
        <v>0</v>
      </c>
      <c r="C1068" s="58">
        <f t="shared" si="130"/>
        <v>156.29037528357509</v>
      </c>
      <c r="D1068" s="83">
        <f t="shared" si="127"/>
        <v>666.66666666666663</v>
      </c>
      <c r="E1068">
        <f t="shared" si="123"/>
        <v>0</v>
      </c>
      <c r="G1068">
        <v>1018</v>
      </c>
      <c r="H1068" s="13">
        <f t="shared" si="128"/>
        <v>-7.7831728503952036E-4</v>
      </c>
      <c r="I1068">
        <f t="shared" si="129"/>
        <v>155.49804828740486</v>
      </c>
      <c r="J1068">
        <f t="shared" si="124"/>
        <v>665.04525486336627</v>
      </c>
      <c r="K1068" s="27">
        <f t="shared" si="125"/>
        <v>-344.23737191435248</v>
      </c>
    </row>
    <row r="1069" spans="1:11">
      <c r="A1069" s="26">
        <v>1019</v>
      </c>
      <c r="B1069" s="82">
        <f t="shared" si="126"/>
        <v>0</v>
      </c>
      <c r="C1069" s="58">
        <f t="shared" si="130"/>
        <v>156.29037528357509</v>
      </c>
      <c r="D1069" s="83">
        <f t="shared" si="127"/>
        <v>666.66666666666663</v>
      </c>
      <c r="E1069">
        <f t="shared" si="123"/>
        <v>0</v>
      </c>
      <c r="G1069">
        <v>1019</v>
      </c>
      <c r="H1069" s="13">
        <f t="shared" si="128"/>
        <v>-7.7831728503952036E-4</v>
      </c>
      <c r="I1069">
        <f t="shared" si="129"/>
        <v>155.49726997011982</v>
      </c>
      <c r="J1069">
        <f t="shared" si="124"/>
        <v>665.04363750425944</v>
      </c>
      <c r="K1069" s="27">
        <f t="shared" si="125"/>
        <v>-344.23569755018076</v>
      </c>
    </row>
    <row r="1070" spans="1:11">
      <c r="A1070" s="26">
        <v>1020</v>
      </c>
      <c r="B1070" s="82">
        <f t="shared" si="126"/>
        <v>0</v>
      </c>
      <c r="C1070" s="58">
        <f t="shared" si="130"/>
        <v>156.29037528357509</v>
      </c>
      <c r="D1070" s="83">
        <f t="shared" si="127"/>
        <v>666.66666666666663</v>
      </c>
      <c r="E1070">
        <f t="shared" si="123"/>
        <v>0</v>
      </c>
      <c r="G1070">
        <v>1020</v>
      </c>
      <c r="H1070" s="13">
        <f t="shared" si="128"/>
        <v>-7.7831728503952036E-4</v>
      </c>
      <c r="I1070">
        <f t="shared" si="129"/>
        <v>155.49649165283478</v>
      </c>
      <c r="J1070">
        <f t="shared" si="124"/>
        <v>665.04202009562107</v>
      </c>
      <c r="K1070" s="27">
        <f t="shared" si="125"/>
        <v>-344.23402313880274</v>
      </c>
    </row>
    <row r="1071" spans="1:11">
      <c r="A1071" s="26">
        <v>1021</v>
      </c>
      <c r="B1071" s="82">
        <f t="shared" si="126"/>
        <v>0</v>
      </c>
      <c r="C1071" s="58">
        <f t="shared" si="130"/>
        <v>156.29037528357509</v>
      </c>
      <c r="D1071" s="83">
        <f t="shared" si="127"/>
        <v>666.66666666666663</v>
      </c>
      <c r="E1071">
        <f t="shared" si="123"/>
        <v>0</v>
      </c>
      <c r="G1071">
        <v>1021</v>
      </c>
      <c r="H1071" s="13">
        <f t="shared" si="128"/>
        <v>-7.7831728503952036E-4</v>
      </c>
      <c r="I1071">
        <f t="shared" si="129"/>
        <v>155.49571333554974</v>
      </c>
      <c r="J1071">
        <f t="shared" si="124"/>
        <v>665.04040263744753</v>
      </c>
      <c r="K1071" s="27">
        <f t="shared" si="125"/>
        <v>-344.23234868021535</v>
      </c>
    </row>
    <row r="1072" spans="1:11">
      <c r="A1072" s="26">
        <v>1022</v>
      </c>
      <c r="B1072" s="82">
        <f t="shared" si="126"/>
        <v>0</v>
      </c>
      <c r="C1072" s="58">
        <f t="shared" si="130"/>
        <v>156.29037528357509</v>
      </c>
      <c r="D1072" s="83">
        <f t="shared" si="127"/>
        <v>666.66666666666663</v>
      </c>
      <c r="E1072">
        <f t="shared" si="123"/>
        <v>0</v>
      </c>
      <c r="G1072">
        <v>1022</v>
      </c>
      <c r="H1072" s="13">
        <f t="shared" si="128"/>
        <v>-7.7831728503952036E-4</v>
      </c>
      <c r="I1072">
        <f t="shared" si="129"/>
        <v>155.4949350182647</v>
      </c>
      <c r="J1072">
        <f t="shared" si="124"/>
        <v>665.03878512973517</v>
      </c>
      <c r="K1072" s="27">
        <f t="shared" si="125"/>
        <v>-344.23067417441479</v>
      </c>
    </row>
    <row r="1073" spans="1:11">
      <c r="A1073" s="26">
        <v>1023</v>
      </c>
      <c r="B1073" s="82">
        <f t="shared" si="126"/>
        <v>0</v>
      </c>
      <c r="C1073" s="58">
        <f t="shared" si="130"/>
        <v>156.29037528357509</v>
      </c>
      <c r="D1073" s="83">
        <f t="shared" si="127"/>
        <v>666.66666666666663</v>
      </c>
      <c r="E1073">
        <f t="shared" si="123"/>
        <v>0</v>
      </c>
      <c r="G1073">
        <v>1023</v>
      </c>
      <c r="H1073" s="13">
        <f t="shared" si="128"/>
        <v>-7.7831728503952036E-4</v>
      </c>
      <c r="I1073">
        <f t="shared" si="129"/>
        <v>155.49415670097966</v>
      </c>
      <c r="J1073">
        <f t="shared" si="124"/>
        <v>665.03716757248014</v>
      </c>
      <c r="K1073" s="27">
        <f t="shared" si="125"/>
        <v>-344.22899962139769</v>
      </c>
    </row>
    <row r="1074" spans="1:11">
      <c r="A1074" s="26">
        <v>1024</v>
      </c>
      <c r="B1074" s="82">
        <f t="shared" si="126"/>
        <v>0</v>
      </c>
      <c r="C1074" s="58">
        <f t="shared" si="130"/>
        <v>156.29037528357509</v>
      </c>
      <c r="D1074" s="83">
        <f t="shared" si="127"/>
        <v>666.66666666666663</v>
      </c>
      <c r="E1074">
        <f t="shared" si="123"/>
        <v>0</v>
      </c>
      <c r="G1074">
        <v>1024</v>
      </c>
      <c r="H1074" s="13">
        <f t="shared" si="128"/>
        <v>-7.7831728503952036E-4</v>
      </c>
      <c r="I1074">
        <f t="shared" si="129"/>
        <v>155.49337838369462</v>
      </c>
      <c r="J1074">
        <f t="shared" si="124"/>
        <v>665.03554996567891</v>
      </c>
      <c r="K1074" s="27">
        <f t="shared" si="125"/>
        <v>-344.22732502116065</v>
      </c>
    </row>
    <row r="1075" spans="1:11">
      <c r="A1075" s="26">
        <v>1025</v>
      </c>
      <c r="B1075" s="82">
        <f t="shared" si="126"/>
        <v>0</v>
      </c>
      <c r="C1075" s="58">
        <f t="shared" si="130"/>
        <v>156.29037528357509</v>
      </c>
      <c r="D1075" s="83">
        <f t="shared" si="127"/>
        <v>666.66666666666663</v>
      </c>
      <c r="E1075">
        <f t="shared" ref="E1075:E1138" si="131">((D1075^2)+(D1075*D1076)+(D1076^2))*B1076/3</f>
        <v>0</v>
      </c>
      <c r="G1075">
        <v>1025</v>
      </c>
      <c r="H1075" s="13">
        <f t="shared" si="128"/>
        <v>-7.7831728503952036E-4</v>
      </c>
      <c r="I1075">
        <f t="shared" si="129"/>
        <v>155.49260006640958</v>
      </c>
      <c r="J1075">
        <f t="shared" ref="J1075:J1138" si="132">IF($G$28&lt;$C$14,0,((($C$11^2)-((I1075-$C$13)^2))^0.5)+$C$16)</f>
        <v>665.03393230932772</v>
      </c>
      <c r="K1075" s="27">
        <f t="shared" ref="K1075:K1138" si="133">((J1075^2)+(J1075*J1076)+(J1076^2))*H1076/3</f>
        <v>-344.22565037370026</v>
      </c>
    </row>
    <row r="1076" spans="1:11">
      <c r="A1076" s="26">
        <v>1026</v>
      </c>
      <c r="B1076" s="82">
        <f t="shared" ref="B1076:B1139" si="134">C1076-C1075</f>
        <v>0</v>
      </c>
      <c r="C1076" s="58">
        <f t="shared" si="130"/>
        <v>156.29037528357509</v>
      </c>
      <c r="D1076" s="83">
        <f t="shared" ref="D1076:D1139" si="135">IF($G$28&lt;$C$14,0,((($C$11^2)-((C1076-$C$13)^2))^0.5)+$C$16)</f>
        <v>666.66666666666663</v>
      </c>
      <c r="E1076">
        <f t="shared" si="131"/>
        <v>0</v>
      </c>
      <c r="G1076">
        <v>1026</v>
      </c>
      <c r="H1076" s="13">
        <f t="shared" ref="H1076:H1139" si="136">I1076-I1075</f>
        <v>-7.7831728503952036E-4</v>
      </c>
      <c r="I1076">
        <f t="shared" ref="I1076:I1139" si="137">($G$27-$C$14)/2000+I1075</f>
        <v>155.49182174912454</v>
      </c>
      <c r="J1076">
        <f t="shared" si="132"/>
        <v>665.03231460342283</v>
      </c>
      <c r="K1076" s="27">
        <f t="shared" si="133"/>
        <v>-344.22397567901288</v>
      </c>
    </row>
    <row r="1077" spans="1:11">
      <c r="A1077" s="26">
        <v>1027</v>
      </c>
      <c r="B1077" s="82">
        <f t="shared" si="134"/>
        <v>0</v>
      </c>
      <c r="C1077" s="58">
        <f t="shared" si="130"/>
        <v>156.29037528357509</v>
      </c>
      <c r="D1077" s="83">
        <f t="shared" si="135"/>
        <v>666.66666666666663</v>
      </c>
      <c r="E1077">
        <f t="shared" si="131"/>
        <v>0</v>
      </c>
      <c r="G1077">
        <v>1027</v>
      </c>
      <c r="H1077" s="13">
        <f t="shared" si="136"/>
        <v>-7.7831728503952036E-4</v>
      </c>
      <c r="I1077">
        <f t="shared" si="137"/>
        <v>155.4910434318395</v>
      </c>
      <c r="J1077">
        <f t="shared" si="132"/>
        <v>665.0306968479606</v>
      </c>
      <c r="K1077" s="27">
        <f t="shared" si="133"/>
        <v>-344.22230093709521</v>
      </c>
    </row>
    <row r="1078" spans="1:11">
      <c r="A1078" s="26">
        <v>1028</v>
      </c>
      <c r="B1078" s="82">
        <f t="shared" si="134"/>
        <v>0</v>
      </c>
      <c r="C1078" s="58">
        <f t="shared" si="130"/>
        <v>156.29037528357509</v>
      </c>
      <c r="D1078" s="83">
        <f t="shared" si="135"/>
        <v>666.66666666666663</v>
      </c>
      <c r="E1078">
        <f t="shared" si="131"/>
        <v>0</v>
      </c>
      <c r="G1078">
        <v>1028</v>
      </c>
      <c r="H1078" s="13">
        <f t="shared" si="136"/>
        <v>-7.7831728503952036E-4</v>
      </c>
      <c r="I1078">
        <f t="shared" si="137"/>
        <v>155.49026511455446</v>
      </c>
      <c r="J1078">
        <f t="shared" si="132"/>
        <v>665.02907904293716</v>
      </c>
      <c r="K1078" s="27">
        <f t="shared" si="133"/>
        <v>-344.22062614794368</v>
      </c>
    </row>
    <row r="1079" spans="1:11">
      <c r="A1079" s="26">
        <v>1029</v>
      </c>
      <c r="B1079" s="82">
        <f t="shared" si="134"/>
        <v>0</v>
      </c>
      <c r="C1079" s="58">
        <f t="shared" si="130"/>
        <v>156.29037528357509</v>
      </c>
      <c r="D1079" s="83">
        <f t="shared" si="135"/>
        <v>666.66666666666663</v>
      </c>
      <c r="E1079">
        <f t="shared" si="131"/>
        <v>0</v>
      </c>
      <c r="G1079">
        <v>1029</v>
      </c>
      <c r="H1079" s="13">
        <f t="shared" si="136"/>
        <v>-7.7831728503952036E-4</v>
      </c>
      <c r="I1079">
        <f t="shared" si="137"/>
        <v>155.48948679726942</v>
      </c>
      <c r="J1079">
        <f t="shared" si="132"/>
        <v>665.02746118834909</v>
      </c>
      <c r="K1079" s="27">
        <f t="shared" si="133"/>
        <v>-344.21895131155503</v>
      </c>
    </row>
    <row r="1080" spans="1:11">
      <c r="A1080" s="26">
        <v>1030</v>
      </c>
      <c r="B1080" s="82">
        <f t="shared" si="134"/>
        <v>0</v>
      </c>
      <c r="C1080" s="58">
        <f t="shared" si="130"/>
        <v>156.29037528357509</v>
      </c>
      <c r="D1080" s="83">
        <f t="shared" si="135"/>
        <v>666.66666666666663</v>
      </c>
      <c r="E1080">
        <f t="shared" si="131"/>
        <v>0</v>
      </c>
      <c r="G1080">
        <v>1030</v>
      </c>
      <c r="H1080" s="13">
        <f t="shared" si="136"/>
        <v>-7.7831728503952036E-4</v>
      </c>
      <c r="I1080">
        <f t="shared" si="137"/>
        <v>155.48870847998438</v>
      </c>
      <c r="J1080">
        <f t="shared" si="132"/>
        <v>665.02584328419255</v>
      </c>
      <c r="K1080" s="27">
        <f t="shared" si="133"/>
        <v>-344.2172764279257</v>
      </c>
    </row>
    <row r="1081" spans="1:11">
      <c r="A1081" s="26">
        <v>1031</v>
      </c>
      <c r="B1081" s="82">
        <f t="shared" si="134"/>
        <v>0</v>
      </c>
      <c r="C1081" s="58">
        <f t="shared" si="130"/>
        <v>156.29037528357509</v>
      </c>
      <c r="D1081" s="83">
        <f t="shared" si="135"/>
        <v>666.66666666666663</v>
      </c>
      <c r="E1081">
        <f t="shared" si="131"/>
        <v>0</v>
      </c>
      <c r="G1081">
        <v>1031</v>
      </c>
      <c r="H1081" s="13">
        <f t="shared" si="136"/>
        <v>-7.7831728503952036E-4</v>
      </c>
      <c r="I1081">
        <f t="shared" si="137"/>
        <v>155.48793016269934</v>
      </c>
      <c r="J1081">
        <f t="shared" si="132"/>
        <v>665.02422533046388</v>
      </c>
      <c r="K1081" s="27">
        <f t="shared" si="133"/>
        <v>-344.21560149705215</v>
      </c>
    </row>
    <row r="1082" spans="1:11">
      <c r="A1082" s="26">
        <v>1032</v>
      </c>
      <c r="B1082" s="82">
        <f t="shared" si="134"/>
        <v>0</v>
      </c>
      <c r="C1082" s="58">
        <f t="shared" si="130"/>
        <v>156.29037528357509</v>
      </c>
      <c r="D1082" s="83">
        <f t="shared" si="135"/>
        <v>666.66666666666663</v>
      </c>
      <c r="E1082">
        <f t="shared" si="131"/>
        <v>0</v>
      </c>
      <c r="G1082">
        <v>1032</v>
      </c>
      <c r="H1082" s="13">
        <f t="shared" si="136"/>
        <v>-7.7831728503952036E-4</v>
      </c>
      <c r="I1082">
        <f t="shared" si="137"/>
        <v>155.4871518454143</v>
      </c>
      <c r="J1082">
        <f t="shared" si="132"/>
        <v>665.02260732715922</v>
      </c>
      <c r="K1082" s="27">
        <f t="shared" si="133"/>
        <v>-344.21392651893092</v>
      </c>
    </row>
    <row r="1083" spans="1:11">
      <c r="A1083" s="26">
        <v>1033</v>
      </c>
      <c r="B1083" s="82">
        <f t="shared" si="134"/>
        <v>0</v>
      </c>
      <c r="C1083" s="58">
        <f t="shared" si="130"/>
        <v>156.29037528357509</v>
      </c>
      <c r="D1083" s="83">
        <f t="shared" si="135"/>
        <v>666.66666666666663</v>
      </c>
      <c r="E1083">
        <f t="shared" si="131"/>
        <v>0</v>
      </c>
      <c r="G1083">
        <v>1033</v>
      </c>
      <c r="H1083" s="13">
        <f t="shared" si="136"/>
        <v>-7.7831728503952036E-4</v>
      </c>
      <c r="I1083">
        <f t="shared" si="137"/>
        <v>155.48637352812926</v>
      </c>
      <c r="J1083">
        <f t="shared" si="132"/>
        <v>665.02098927427505</v>
      </c>
      <c r="K1083" s="27">
        <f t="shared" si="133"/>
        <v>-344.21225149355877</v>
      </c>
    </row>
    <row r="1084" spans="1:11">
      <c r="A1084" s="26">
        <v>1034</v>
      </c>
      <c r="B1084" s="82">
        <f t="shared" si="134"/>
        <v>0</v>
      </c>
      <c r="C1084" s="58">
        <f t="shared" si="130"/>
        <v>156.29037528357509</v>
      </c>
      <c r="D1084" s="83">
        <f t="shared" si="135"/>
        <v>666.66666666666663</v>
      </c>
      <c r="E1084">
        <f t="shared" si="131"/>
        <v>0</v>
      </c>
      <c r="G1084">
        <v>1034</v>
      </c>
      <c r="H1084" s="13">
        <f t="shared" si="136"/>
        <v>-7.7831728503952036E-4</v>
      </c>
      <c r="I1084">
        <f t="shared" si="137"/>
        <v>155.48559521084422</v>
      </c>
      <c r="J1084">
        <f t="shared" si="132"/>
        <v>665.01937117180762</v>
      </c>
      <c r="K1084" s="27">
        <f t="shared" si="133"/>
        <v>-344.210576420932</v>
      </c>
    </row>
    <row r="1085" spans="1:11">
      <c r="A1085" s="26">
        <v>1035</v>
      </c>
      <c r="B1085" s="82">
        <f t="shared" si="134"/>
        <v>0</v>
      </c>
      <c r="C1085" s="58">
        <f t="shared" si="130"/>
        <v>156.29037528357509</v>
      </c>
      <c r="D1085" s="83">
        <f t="shared" si="135"/>
        <v>666.66666666666663</v>
      </c>
      <c r="E1085">
        <f t="shared" si="131"/>
        <v>0</v>
      </c>
      <c r="G1085">
        <v>1035</v>
      </c>
      <c r="H1085" s="13">
        <f t="shared" si="136"/>
        <v>-7.7831728503952036E-4</v>
      </c>
      <c r="I1085">
        <f t="shared" si="137"/>
        <v>155.48481689355918</v>
      </c>
      <c r="J1085">
        <f t="shared" si="132"/>
        <v>665.01775301975329</v>
      </c>
      <c r="K1085" s="27">
        <f t="shared" si="133"/>
        <v>-344.20890130104732</v>
      </c>
    </row>
    <row r="1086" spans="1:11">
      <c r="A1086" s="26">
        <v>1036</v>
      </c>
      <c r="B1086" s="82">
        <f t="shared" si="134"/>
        <v>0</v>
      </c>
      <c r="C1086" s="58">
        <f t="shared" si="130"/>
        <v>156.29037528357509</v>
      </c>
      <c r="D1086" s="83">
        <f t="shared" si="135"/>
        <v>666.66666666666663</v>
      </c>
      <c r="E1086">
        <f t="shared" si="131"/>
        <v>0</v>
      </c>
      <c r="G1086">
        <v>1036</v>
      </c>
      <c r="H1086" s="13">
        <f t="shared" si="136"/>
        <v>-7.7831728503952036E-4</v>
      </c>
      <c r="I1086">
        <f t="shared" si="137"/>
        <v>155.48403857627414</v>
      </c>
      <c r="J1086">
        <f t="shared" si="132"/>
        <v>665.01613481810818</v>
      </c>
      <c r="K1086" s="27">
        <f t="shared" si="133"/>
        <v>-344.2072261339012</v>
      </c>
    </row>
    <row r="1087" spans="1:11">
      <c r="A1087" s="26">
        <v>1037</v>
      </c>
      <c r="B1087" s="82">
        <f t="shared" si="134"/>
        <v>0</v>
      </c>
      <c r="C1087" s="58">
        <f t="shared" si="130"/>
        <v>156.29037528357509</v>
      </c>
      <c r="D1087" s="83">
        <f t="shared" si="135"/>
        <v>666.66666666666663</v>
      </c>
      <c r="E1087">
        <f t="shared" si="131"/>
        <v>0</v>
      </c>
      <c r="G1087">
        <v>1037</v>
      </c>
      <c r="H1087" s="13">
        <f t="shared" si="136"/>
        <v>-7.7831728503952036E-4</v>
      </c>
      <c r="I1087">
        <f t="shared" si="137"/>
        <v>155.48326025898911</v>
      </c>
      <c r="J1087">
        <f t="shared" si="132"/>
        <v>665.01451656686879</v>
      </c>
      <c r="K1087" s="27">
        <f t="shared" si="133"/>
        <v>-344.20555091949018</v>
      </c>
    </row>
    <row r="1088" spans="1:11">
      <c r="A1088" s="26">
        <v>1038</v>
      </c>
      <c r="B1088" s="82">
        <f t="shared" si="134"/>
        <v>0</v>
      </c>
      <c r="C1088" s="58">
        <f t="shared" si="130"/>
        <v>156.29037528357509</v>
      </c>
      <c r="D1088" s="83">
        <f t="shared" si="135"/>
        <v>666.66666666666663</v>
      </c>
      <c r="E1088">
        <f t="shared" si="131"/>
        <v>0</v>
      </c>
      <c r="G1088">
        <v>1038</v>
      </c>
      <c r="H1088" s="13">
        <f t="shared" si="136"/>
        <v>-7.7831728503952036E-4</v>
      </c>
      <c r="I1088">
        <f t="shared" si="137"/>
        <v>155.48248194170407</v>
      </c>
      <c r="J1088">
        <f t="shared" si="132"/>
        <v>665.01289826603124</v>
      </c>
      <c r="K1088" s="27">
        <f t="shared" si="133"/>
        <v>-344.20387565781078</v>
      </c>
    </row>
    <row r="1089" spans="1:11">
      <c r="A1089" s="26">
        <v>1039</v>
      </c>
      <c r="B1089" s="82">
        <f t="shared" si="134"/>
        <v>0</v>
      </c>
      <c r="C1089" s="58">
        <f t="shared" si="130"/>
        <v>156.29037528357509</v>
      </c>
      <c r="D1089" s="83">
        <f t="shared" si="135"/>
        <v>666.66666666666663</v>
      </c>
      <c r="E1089">
        <f t="shared" si="131"/>
        <v>0</v>
      </c>
      <c r="G1089">
        <v>1039</v>
      </c>
      <c r="H1089" s="13">
        <f t="shared" si="136"/>
        <v>-7.7831728503952036E-4</v>
      </c>
      <c r="I1089">
        <f t="shared" si="137"/>
        <v>155.48170362441903</v>
      </c>
      <c r="J1089">
        <f t="shared" si="132"/>
        <v>665.0112799155919</v>
      </c>
      <c r="K1089" s="27">
        <f t="shared" si="133"/>
        <v>-344.20220034885955</v>
      </c>
    </row>
    <row r="1090" spans="1:11">
      <c r="A1090" s="26">
        <v>1040</v>
      </c>
      <c r="B1090" s="82">
        <f t="shared" si="134"/>
        <v>0</v>
      </c>
      <c r="C1090" s="58">
        <f t="shared" si="130"/>
        <v>156.29037528357509</v>
      </c>
      <c r="D1090" s="83">
        <f t="shared" si="135"/>
        <v>666.66666666666663</v>
      </c>
      <c r="E1090">
        <f t="shared" si="131"/>
        <v>0</v>
      </c>
      <c r="G1090">
        <v>1040</v>
      </c>
      <c r="H1090" s="13">
        <f t="shared" si="136"/>
        <v>-7.7831728503952036E-4</v>
      </c>
      <c r="I1090">
        <f t="shared" si="137"/>
        <v>155.48092530713399</v>
      </c>
      <c r="J1090">
        <f t="shared" si="132"/>
        <v>665.00966151554712</v>
      </c>
      <c r="K1090" s="27">
        <f t="shared" si="133"/>
        <v>-344.20052499263306</v>
      </c>
    </row>
    <row r="1091" spans="1:11">
      <c r="A1091" s="26">
        <v>1041</v>
      </c>
      <c r="B1091" s="82">
        <f t="shared" si="134"/>
        <v>0</v>
      </c>
      <c r="C1091" s="58">
        <f t="shared" si="130"/>
        <v>156.29037528357509</v>
      </c>
      <c r="D1091" s="83">
        <f t="shared" si="135"/>
        <v>666.66666666666663</v>
      </c>
      <c r="E1091">
        <f t="shared" si="131"/>
        <v>0</v>
      </c>
      <c r="G1091">
        <v>1041</v>
      </c>
      <c r="H1091" s="13">
        <f t="shared" si="136"/>
        <v>-7.7831728503952036E-4</v>
      </c>
      <c r="I1091">
        <f t="shared" si="137"/>
        <v>155.48014698984895</v>
      </c>
      <c r="J1091">
        <f t="shared" si="132"/>
        <v>665.00804306589316</v>
      </c>
      <c r="K1091" s="27">
        <f t="shared" si="133"/>
        <v>-344.19884958912786</v>
      </c>
    </row>
    <row r="1092" spans="1:11">
      <c r="A1092" s="26">
        <v>1042</v>
      </c>
      <c r="B1092" s="82">
        <f t="shared" si="134"/>
        <v>0</v>
      </c>
      <c r="C1092" s="58">
        <f t="shared" si="130"/>
        <v>156.29037528357509</v>
      </c>
      <c r="D1092" s="83">
        <f t="shared" si="135"/>
        <v>666.66666666666663</v>
      </c>
      <c r="E1092">
        <f t="shared" si="131"/>
        <v>0</v>
      </c>
      <c r="G1092">
        <v>1042</v>
      </c>
      <c r="H1092" s="13">
        <f t="shared" si="136"/>
        <v>-7.7831728503952036E-4</v>
      </c>
      <c r="I1092">
        <f t="shared" si="137"/>
        <v>155.47936867256391</v>
      </c>
      <c r="J1092">
        <f t="shared" si="132"/>
        <v>665.00642456662627</v>
      </c>
      <c r="K1092" s="27">
        <f t="shared" si="133"/>
        <v>-344.19717413834042</v>
      </c>
    </row>
    <row r="1093" spans="1:11">
      <c r="A1093" s="26">
        <v>1043</v>
      </c>
      <c r="B1093" s="82">
        <f t="shared" si="134"/>
        <v>0</v>
      </c>
      <c r="C1093" s="58">
        <f t="shared" si="130"/>
        <v>156.29037528357509</v>
      </c>
      <c r="D1093" s="83">
        <f t="shared" si="135"/>
        <v>666.66666666666663</v>
      </c>
      <c r="E1093">
        <f t="shared" si="131"/>
        <v>0</v>
      </c>
      <c r="G1093">
        <v>1043</v>
      </c>
      <c r="H1093" s="13">
        <f t="shared" si="136"/>
        <v>-7.7831728503952036E-4</v>
      </c>
      <c r="I1093">
        <f t="shared" si="137"/>
        <v>155.47859035527887</v>
      </c>
      <c r="J1093">
        <f t="shared" si="132"/>
        <v>665.00480601774279</v>
      </c>
      <c r="K1093" s="27">
        <f t="shared" si="133"/>
        <v>-344.19549864026743</v>
      </c>
    </row>
    <row r="1094" spans="1:11">
      <c r="A1094" s="26">
        <v>1044</v>
      </c>
      <c r="B1094" s="82">
        <f t="shared" si="134"/>
        <v>0</v>
      </c>
      <c r="C1094" s="58">
        <f t="shared" si="130"/>
        <v>156.29037528357509</v>
      </c>
      <c r="D1094" s="83">
        <f t="shared" si="135"/>
        <v>666.66666666666663</v>
      </c>
      <c r="E1094">
        <f t="shared" si="131"/>
        <v>0</v>
      </c>
      <c r="G1094">
        <v>1044</v>
      </c>
      <c r="H1094" s="13">
        <f t="shared" si="136"/>
        <v>-7.7831728503952036E-4</v>
      </c>
      <c r="I1094">
        <f t="shared" si="137"/>
        <v>155.47781203799383</v>
      </c>
      <c r="J1094">
        <f t="shared" si="132"/>
        <v>665.003187419239</v>
      </c>
      <c r="K1094" s="27">
        <f t="shared" si="133"/>
        <v>-344.19382309490516</v>
      </c>
    </row>
    <row r="1095" spans="1:11">
      <c r="A1095" s="26">
        <v>1045</v>
      </c>
      <c r="B1095" s="82">
        <f t="shared" si="134"/>
        <v>0</v>
      </c>
      <c r="C1095" s="58">
        <f t="shared" si="130"/>
        <v>156.29037528357509</v>
      </c>
      <c r="D1095" s="83">
        <f t="shared" si="135"/>
        <v>666.66666666666663</v>
      </c>
      <c r="E1095">
        <f t="shared" si="131"/>
        <v>0</v>
      </c>
      <c r="G1095">
        <v>1045</v>
      </c>
      <c r="H1095" s="13">
        <f t="shared" si="136"/>
        <v>-7.7831728503952036E-4</v>
      </c>
      <c r="I1095">
        <f t="shared" si="137"/>
        <v>155.47703372070879</v>
      </c>
      <c r="J1095">
        <f t="shared" si="132"/>
        <v>665.00156877111112</v>
      </c>
      <c r="K1095" s="27">
        <f t="shared" si="133"/>
        <v>-344.19214750225041</v>
      </c>
    </row>
    <row r="1096" spans="1:11">
      <c r="A1096" s="26">
        <v>1046</v>
      </c>
      <c r="B1096" s="82">
        <f t="shared" si="134"/>
        <v>0</v>
      </c>
      <c r="C1096" s="58">
        <f t="shared" si="130"/>
        <v>156.29037528357509</v>
      </c>
      <c r="D1096" s="83">
        <f t="shared" si="135"/>
        <v>666.66666666666663</v>
      </c>
      <c r="E1096">
        <f t="shared" si="131"/>
        <v>0</v>
      </c>
      <c r="G1096">
        <v>1046</v>
      </c>
      <c r="H1096" s="13">
        <f t="shared" si="136"/>
        <v>-7.7831728503952036E-4</v>
      </c>
      <c r="I1096">
        <f t="shared" si="137"/>
        <v>155.47625540342375</v>
      </c>
      <c r="J1096">
        <f t="shared" si="132"/>
        <v>664.99995007335565</v>
      </c>
      <c r="K1096" s="27">
        <f t="shared" si="133"/>
        <v>-344.19047186229955</v>
      </c>
    </row>
    <row r="1097" spans="1:11">
      <c r="A1097" s="26">
        <v>1047</v>
      </c>
      <c r="B1097" s="82">
        <f t="shared" si="134"/>
        <v>0</v>
      </c>
      <c r="C1097" s="58">
        <f t="shared" si="130"/>
        <v>156.29037528357509</v>
      </c>
      <c r="D1097" s="83">
        <f t="shared" si="135"/>
        <v>666.66666666666663</v>
      </c>
      <c r="E1097">
        <f t="shared" si="131"/>
        <v>0</v>
      </c>
      <c r="G1097">
        <v>1047</v>
      </c>
      <c r="H1097" s="13">
        <f t="shared" si="136"/>
        <v>-7.7831728503952036E-4</v>
      </c>
      <c r="I1097">
        <f t="shared" si="137"/>
        <v>155.47547708613871</v>
      </c>
      <c r="J1097">
        <f t="shared" si="132"/>
        <v>664.99833132596859</v>
      </c>
      <c r="K1097" s="27">
        <f t="shared" si="133"/>
        <v>-344.18879617504922</v>
      </c>
    </row>
    <row r="1098" spans="1:11">
      <c r="A1098" s="26">
        <v>1048</v>
      </c>
      <c r="B1098" s="82">
        <f t="shared" si="134"/>
        <v>0</v>
      </c>
      <c r="C1098" s="58">
        <f t="shared" si="130"/>
        <v>156.29037528357509</v>
      </c>
      <c r="D1098" s="83">
        <f t="shared" si="135"/>
        <v>666.66666666666663</v>
      </c>
      <c r="E1098">
        <f t="shared" si="131"/>
        <v>0</v>
      </c>
      <c r="G1098">
        <v>1048</v>
      </c>
      <c r="H1098" s="13">
        <f t="shared" si="136"/>
        <v>-7.7831728503952036E-4</v>
      </c>
      <c r="I1098">
        <f t="shared" si="137"/>
        <v>155.47469876885367</v>
      </c>
      <c r="J1098">
        <f t="shared" si="132"/>
        <v>664.99671252894655</v>
      </c>
      <c r="K1098" s="27">
        <f t="shared" si="133"/>
        <v>-344.18712044049602</v>
      </c>
    </row>
    <row r="1099" spans="1:11">
      <c r="A1099" s="26">
        <v>1049</v>
      </c>
      <c r="B1099" s="82">
        <f t="shared" si="134"/>
        <v>0</v>
      </c>
      <c r="C1099" s="58">
        <f t="shared" si="130"/>
        <v>156.29037528357509</v>
      </c>
      <c r="D1099" s="83">
        <f t="shared" si="135"/>
        <v>666.66666666666663</v>
      </c>
      <c r="E1099">
        <f t="shared" si="131"/>
        <v>0</v>
      </c>
      <c r="G1099">
        <v>1049</v>
      </c>
      <c r="H1099" s="13">
        <f t="shared" si="136"/>
        <v>-7.7831728503952036E-4</v>
      </c>
      <c r="I1099">
        <f t="shared" si="137"/>
        <v>155.47392045156863</v>
      </c>
      <c r="J1099">
        <f t="shared" si="132"/>
        <v>664.99509368228564</v>
      </c>
      <c r="K1099" s="27">
        <f t="shared" si="133"/>
        <v>-344.18544465863624</v>
      </c>
    </row>
    <row r="1100" spans="1:11">
      <c r="A1100" s="26">
        <v>1050</v>
      </c>
      <c r="B1100" s="82">
        <f t="shared" si="134"/>
        <v>0</v>
      </c>
      <c r="C1100" s="58">
        <f t="shared" si="130"/>
        <v>156.29037528357509</v>
      </c>
      <c r="D1100" s="83">
        <f t="shared" si="135"/>
        <v>666.66666666666663</v>
      </c>
      <c r="E1100">
        <f t="shared" si="131"/>
        <v>0</v>
      </c>
      <c r="G1100">
        <v>1050</v>
      </c>
      <c r="H1100" s="13">
        <f t="shared" si="136"/>
        <v>-7.7831728503952036E-4</v>
      </c>
      <c r="I1100">
        <f t="shared" si="137"/>
        <v>155.47314213428359</v>
      </c>
      <c r="J1100">
        <f t="shared" si="132"/>
        <v>664.99347478598202</v>
      </c>
      <c r="K1100" s="27">
        <f t="shared" si="133"/>
        <v>-344.18376882946654</v>
      </c>
    </row>
    <row r="1101" spans="1:11">
      <c r="A1101" s="26">
        <v>1051</v>
      </c>
      <c r="B1101" s="82">
        <f t="shared" si="134"/>
        <v>0</v>
      </c>
      <c r="C1101" s="58">
        <f t="shared" si="130"/>
        <v>156.29037528357509</v>
      </c>
      <c r="D1101" s="83">
        <f t="shared" si="135"/>
        <v>666.66666666666663</v>
      </c>
      <c r="E1101">
        <f t="shared" si="131"/>
        <v>0</v>
      </c>
      <c r="G1101">
        <v>1051</v>
      </c>
      <c r="H1101" s="13">
        <f t="shared" si="136"/>
        <v>-7.7831728503952036E-4</v>
      </c>
      <c r="I1101">
        <f t="shared" si="137"/>
        <v>155.47236381699855</v>
      </c>
      <c r="J1101">
        <f t="shared" si="132"/>
        <v>664.99185584003226</v>
      </c>
      <c r="K1101" s="27">
        <f t="shared" si="133"/>
        <v>-344.18209295298357</v>
      </c>
    </row>
    <row r="1102" spans="1:11">
      <c r="A1102" s="26">
        <v>1052</v>
      </c>
      <c r="B1102" s="82">
        <f t="shared" si="134"/>
        <v>0</v>
      </c>
      <c r="C1102" s="58">
        <f t="shared" si="130"/>
        <v>156.29037528357509</v>
      </c>
      <c r="D1102" s="83">
        <f t="shared" si="135"/>
        <v>666.66666666666663</v>
      </c>
      <c r="E1102">
        <f t="shared" si="131"/>
        <v>0</v>
      </c>
      <c r="G1102">
        <v>1052</v>
      </c>
      <c r="H1102" s="13">
        <f t="shared" si="136"/>
        <v>-7.7831728503952036E-4</v>
      </c>
      <c r="I1102">
        <f t="shared" si="137"/>
        <v>155.47158549971351</v>
      </c>
      <c r="J1102">
        <f t="shared" si="132"/>
        <v>664.9902368444325</v>
      </c>
      <c r="K1102" s="27">
        <f t="shared" si="133"/>
        <v>-344.18041702918373</v>
      </c>
    </row>
    <row r="1103" spans="1:11">
      <c r="A1103" s="26">
        <v>1053</v>
      </c>
      <c r="B1103" s="82">
        <f t="shared" si="134"/>
        <v>0</v>
      </c>
      <c r="C1103" s="58">
        <f t="shared" si="130"/>
        <v>156.29037528357509</v>
      </c>
      <c r="D1103" s="83">
        <f t="shared" si="135"/>
        <v>666.66666666666663</v>
      </c>
      <c r="E1103">
        <f t="shared" si="131"/>
        <v>0</v>
      </c>
      <c r="G1103">
        <v>1053</v>
      </c>
      <c r="H1103" s="13">
        <f t="shared" si="136"/>
        <v>-7.7831728503952036E-4</v>
      </c>
      <c r="I1103">
        <f t="shared" si="137"/>
        <v>155.47080718242847</v>
      </c>
      <c r="J1103">
        <f t="shared" si="132"/>
        <v>664.98861779917911</v>
      </c>
      <c r="K1103" s="27">
        <f t="shared" si="133"/>
        <v>-344.17874105806368</v>
      </c>
    </row>
    <row r="1104" spans="1:11">
      <c r="A1104" s="26">
        <v>1054</v>
      </c>
      <c r="B1104" s="82">
        <f t="shared" si="134"/>
        <v>0</v>
      </c>
      <c r="C1104" s="58">
        <f t="shared" ref="C1104:C1167" si="138">($C$37-$C$36)/2000+C1103</f>
        <v>156.29037528357509</v>
      </c>
      <c r="D1104" s="83">
        <f t="shared" si="135"/>
        <v>666.66666666666663</v>
      </c>
      <c r="E1104">
        <f t="shared" si="131"/>
        <v>0</v>
      </c>
      <c r="G1104">
        <v>1054</v>
      </c>
      <c r="H1104" s="13">
        <f t="shared" si="136"/>
        <v>-7.7831728503952036E-4</v>
      </c>
      <c r="I1104">
        <f t="shared" si="137"/>
        <v>155.47002886514343</v>
      </c>
      <c r="J1104">
        <f t="shared" si="132"/>
        <v>664.98699870426822</v>
      </c>
      <c r="K1104" s="27">
        <f t="shared" si="133"/>
        <v>-344.17706503961972</v>
      </c>
    </row>
    <row r="1105" spans="1:11">
      <c r="A1105" s="26">
        <v>1055</v>
      </c>
      <c r="B1105" s="82">
        <f t="shared" si="134"/>
        <v>0</v>
      </c>
      <c r="C1105" s="58">
        <f t="shared" si="138"/>
        <v>156.29037528357509</v>
      </c>
      <c r="D1105" s="83">
        <f t="shared" si="135"/>
        <v>666.66666666666663</v>
      </c>
      <c r="E1105">
        <f t="shared" si="131"/>
        <v>0</v>
      </c>
      <c r="G1105">
        <v>1055</v>
      </c>
      <c r="H1105" s="13">
        <f t="shared" si="136"/>
        <v>-7.7831728503952036E-4</v>
      </c>
      <c r="I1105">
        <f t="shared" si="137"/>
        <v>155.46925054785839</v>
      </c>
      <c r="J1105">
        <f t="shared" si="132"/>
        <v>664.9853795596963</v>
      </c>
      <c r="K1105" s="27">
        <f t="shared" si="133"/>
        <v>-344.17538897384861</v>
      </c>
    </row>
    <row r="1106" spans="1:11">
      <c r="A1106" s="26">
        <v>1056</v>
      </c>
      <c r="B1106" s="82">
        <f t="shared" si="134"/>
        <v>0</v>
      </c>
      <c r="C1106" s="58">
        <f t="shared" si="138"/>
        <v>156.29037528357509</v>
      </c>
      <c r="D1106" s="83">
        <f t="shared" si="135"/>
        <v>666.66666666666663</v>
      </c>
      <c r="E1106">
        <f t="shared" si="131"/>
        <v>0</v>
      </c>
      <c r="G1106">
        <v>1056</v>
      </c>
      <c r="H1106" s="13">
        <f t="shared" si="136"/>
        <v>-7.7831728503952036E-4</v>
      </c>
      <c r="I1106">
        <f t="shared" si="137"/>
        <v>155.46847223057335</v>
      </c>
      <c r="J1106">
        <f t="shared" si="132"/>
        <v>664.98376036545949</v>
      </c>
      <c r="K1106" s="27">
        <f t="shared" si="133"/>
        <v>-344.17371286074678</v>
      </c>
    </row>
    <row r="1107" spans="1:11">
      <c r="A1107" s="26">
        <v>1057</v>
      </c>
      <c r="B1107" s="82">
        <f t="shared" si="134"/>
        <v>0</v>
      </c>
      <c r="C1107" s="58">
        <f t="shared" si="138"/>
        <v>156.29037528357509</v>
      </c>
      <c r="D1107" s="83">
        <f t="shared" si="135"/>
        <v>666.66666666666663</v>
      </c>
      <c r="E1107">
        <f t="shared" si="131"/>
        <v>0</v>
      </c>
      <c r="G1107">
        <v>1057</v>
      </c>
      <c r="H1107" s="13">
        <f t="shared" si="136"/>
        <v>-7.7831728503952036E-4</v>
      </c>
      <c r="I1107">
        <f t="shared" si="137"/>
        <v>155.46769391328831</v>
      </c>
      <c r="J1107">
        <f t="shared" si="132"/>
        <v>664.98214112155415</v>
      </c>
      <c r="K1107" s="27">
        <f t="shared" si="133"/>
        <v>-344.17203670031085</v>
      </c>
    </row>
    <row r="1108" spans="1:11">
      <c r="A1108" s="26">
        <v>1058</v>
      </c>
      <c r="B1108" s="82">
        <f t="shared" si="134"/>
        <v>0</v>
      </c>
      <c r="C1108" s="58">
        <f t="shared" si="138"/>
        <v>156.29037528357509</v>
      </c>
      <c r="D1108" s="83">
        <f t="shared" si="135"/>
        <v>666.66666666666663</v>
      </c>
      <c r="E1108">
        <f t="shared" si="131"/>
        <v>0</v>
      </c>
      <c r="G1108">
        <v>1058</v>
      </c>
      <c r="H1108" s="13">
        <f t="shared" si="136"/>
        <v>-7.7831728503952036E-4</v>
      </c>
      <c r="I1108">
        <f t="shared" si="137"/>
        <v>155.46691559600328</v>
      </c>
      <c r="J1108">
        <f t="shared" si="132"/>
        <v>664.98052182797664</v>
      </c>
      <c r="K1108" s="27">
        <f t="shared" si="133"/>
        <v>-344.17036049253721</v>
      </c>
    </row>
    <row r="1109" spans="1:11">
      <c r="A1109" s="26">
        <v>1059</v>
      </c>
      <c r="B1109" s="82">
        <f t="shared" si="134"/>
        <v>0</v>
      </c>
      <c r="C1109" s="58">
        <f t="shared" si="138"/>
        <v>156.29037528357509</v>
      </c>
      <c r="D1109" s="83">
        <f t="shared" si="135"/>
        <v>666.66666666666663</v>
      </c>
      <c r="E1109">
        <f t="shared" si="131"/>
        <v>0</v>
      </c>
      <c r="G1109">
        <v>1059</v>
      </c>
      <c r="H1109" s="13">
        <f t="shared" si="136"/>
        <v>-7.7831728503952036E-4</v>
      </c>
      <c r="I1109">
        <f t="shared" si="137"/>
        <v>155.46613727871824</v>
      </c>
      <c r="J1109">
        <f t="shared" si="132"/>
        <v>664.97890248472311</v>
      </c>
      <c r="K1109" s="27">
        <f t="shared" si="133"/>
        <v>-344.16868423742261</v>
      </c>
    </row>
    <row r="1110" spans="1:11">
      <c r="A1110" s="26">
        <v>1060</v>
      </c>
      <c r="B1110" s="82">
        <f t="shared" si="134"/>
        <v>0</v>
      </c>
      <c r="C1110" s="58">
        <f t="shared" si="138"/>
        <v>156.29037528357509</v>
      </c>
      <c r="D1110" s="83">
        <f t="shared" si="135"/>
        <v>666.66666666666663</v>
      </c>
      <c r="E1110">
        <f t="shared" si="131"/>
        <v>0</v>
      </c>
      <c r="G1110">
        <v>1060</v>
      </c>
      <c r="H1110" s="13">
        <f t="shared" si="136"/>
        <v>-7.7831728503952036E-4</v>
      </c>
      <c r="I1110">
        <f t="shared" si="137"/>
        <v>155.4653589614332</v>
      </c>
      <c r="J1110">
        <f t="shared" si="132"/>
        <v>664.9772830917899</v>
      </c>
      <c r="K1110" s="27">
        <f t="shared" si="133"/>
        <v>-344.16700793496324</v>
      </c>
    </row>
    <row r="1111" spans="1:11">
      <c r="A1111" s="26">
        <v>1061</v>
      </c>
      <c r="B1111" s="82">
        <f t="shared" si="134"/>
        <v>0</v>
      </c>
      <c r="C1111" s="58">
        <f t="shared" si="138"/>
        <v>156.29037528357509</v>
      </c>
      <c r="D1111" s="83">
        <f t="shared" si="135"/>
        <v>666.66666666666663</v>
      </c>
      <c r="E1111">
        <f t="shared" si="131"/>
        <v>0</v>
      </c>
      <c r="G1111">
        <v>1061</v>
      </c>
      <c r="H1111" s="13">
        <f t="shared" si="136"/>
        <v>-7.7831728503952036E-4</v>
      </c>
      <c r="I1111">
        <f t="shared" si="137"/>
        <v>155.46458064414816</v>
      </c>
      <c r="J1111">
        <f t="shared" si="132"/>
        <v>664.97566364917327</v>
      </c>
      <c r="K1111" s="27">
        <f t="shared" si="133"/>
        <v>-344.16533158515585</v>
      </c>
    </row>
    <row r="1112" spans="1:11">
      <c r="A1112" s="26">
        <v>1062</v>
      </c>
      <c r="B1112" s="82">
        <f t="shared" si="134"/>
        <v>0</v>
      </c>
      <c r="C1112" s="58">
        <f t="shared" si="138"/>
        <v>156.29037528357509</v>
      </c>
      <c r="D1112" s="83">
        <f t="shared" si="135"/>
        <v>666.66666666666663</v>
      </c>
      <c r="E1112">
        <f t="shared" si="131"/>
        <v>0</v>
      </c>
      <c r="G1112">
        <v>1062</v>
      </c>
      <c r="H1112" s="13">
        <f t="shared" si="136"/>
        <v>-7.7831728503952036E-4</v>
      </c>
      <c r="I1112">
        <f t="shared" si="137"/>
        <v>155.46380232686312</v>
      </c>
      <c r="J1112">
        <f t="shared" si="132"/>
        <v>664.97404415686958</v>
      </c>
      <c r="K1112" s="27">
        <f t="shared" si="133"/>
        <v>-344.16365518799711</v>
      </c>
    </row>
    <row r="1113" spans="1:11">
      <c r="A1113" s="26">
        <v>1063</v>
      </c>
      <c r="B1113" s="82">
        <f t="shared" si="134"/>
        <v>0</v>
      </c>
      <c r="C1113" s="58">
        <f t="shared" si="138"/>
        <v>156.29037528357509</v>
      </c>
      <c r="D1113" s="83">
        <f t="shared" si="135"/>
        <v>666.66666666666663</v>
      </c>
      <c r="E1113">
        <f t="shared" si="131"/>
        <v>0</v>
      </c>
      <c r="G1113">
        <v>1063</v>
      </c>
      <c r="H1113" s="13">
        <f t="shared" si="136"/>
        <v>-7.7831728503952036E-4</v>
      </c>
      <c r="I1113">
        <f t="shared" si="137"/>
        <v>155.46302400957808</v>
      </c>
      <c r="J1113">
        <f t="shared" si="132"/>
        <v>664.97242461487508</v>
      </c>
      <c r="K1113" s="27">
        <f t="shared" si="133"/>
        <v>-344.1619787434833</v>
      </c>
    </row>
    <row r="1114" spans="1:11">
      <c r="A1114" s="26">
        <v>1064</v>
      </c>
      <c r="B1114" s="82">
        <f t="shared" si="134"/>
        <v>0</v>
      </c>
      <c r="C1114" s="58">
        <f t="shared" si="138"/>
        <v>156.29037528357509</v>
      </c>
      <c r="D1114" s="83">
        <f t="shared" si="135"/>
        <v>666.66666666666663</v>
      </c>
      <c r="E1114">
        <f t="shared" si="131"/>
        <v>0</v>
      </c>
      <c r="G1114">
        <v>1064</v>
      </c>
      <c r="H1114" s="13">
        <f t="shared" si="136"/>
        <v>-7.7831728503952036E-4</v>
      </c>
      <c r="I1114">
        <f t="shared" si="137"/>
        <v>155.46224569229304</v>
      </c>
      <c r="J1114">
        <f t="shared" si="132"/>
        <v>664.97080502318602</v>
      </c>
      <c r="K1114" s="27">
        <f t="shared" si="133"/>
        <v>-344.16030225161109</v>
      </c>
    </row>
    <row r="1115" spans="1:11">
      <c r="A1115" s="26">
        <v>1065</v>
      </c>
      <c r="B1115" s="82">
        <f t="shared" si="134"/>
        <v>0</v>
      </c>
      <c r="C1115" s="58">
        <f t="shared" si="138"/>
        <v>156.29037528357509</v>
      </c>
      <c r="D1115" s="83">
        <f t="shared" si="135"/>
        <v>666.66666666666663</v>
      </c>
      <c r="E1115">
        <f t="shared" si="131"/>
        <v>0</v>
      </c>
      <c r="G1115">
        <v>1065</v>
      </c>
      <c r="H1115" s="13">
        <f t="shared" si="136"/>
        <v>-7.7831728503952036E-4</v>
      </c>
      <c r="I1115">
        <f t="shared" si="137"/>
        <v>155.461467375008</v>
      </c>
      <c r="J1115">
        <f t="shared" si="132"/>
        <v>664.96918538179875</v>
      </c>
      <c r="K1115" s="27">
        <f t="shared" si="133"/>
        <v>-344.15862571237682</v>
      </c>
    </row>
    <row r="1116" spans="1:11">
      <c r="A1116" s="26">
        <v>1066</v>
      </c>
      <c r="B1116" s="82">
        <f t="shared" si="134"/>
        <v>0</v>
      </c>
      <c r="C1116" s="58">
        <f t="shared" si="138"/>
        <v>156.29037528357509</v>
      </c>
      <c r="D1116" s="83">
        <f t="shared" si="135"/>
        <v>666.66666666666663</v>
      </c>
      <c r="E1116">
        <f t="shared" si="131"/>
        <v>0</v>
      </c>
      <c r="G1116">
        <v>1066</v>
      </c>
      <c r="H1116" s="13">
        <f t="shared" si="136"/>
        <v>-7.7831728503952036E-4</v>
      </c>
      <c r="I1116">
        <f t="shared" si="137"/>
        <v>155.46068905772296</v>
      </c>
      <c r="J1116">
        <f t="shared" si="132"/>
        <v>664.96756569070942</v>
      </c>
      <c r="K1116" s="27">
        <f t="shared" si="133"/>
        <v>-344.15694912577732</v>
      </c>
    </row>
    <row r="1117" spans="1:11">
      <c r="A1117" s="26">
        <v>1067</v>
      </c>
      <c r="B1117" s="82">
        <f t="shared" si="134"/>
        <v>0</v>
      </c>
      <c r="C1117" s="58">
        <f t="shared" si="138"/>
        <v>156.29037528357509</v>
      </c>
      <c r="D1117" s="83">
        <f t="shared" si="135"/>
        <v>666.66666666666663</v>
      </c>
      <c r="E1117">
        <f t="shared" si="131"/>
        <v>0</v>
      </c>
      <c r="G1117">
        <v>1067</v>
      </c>
      <c r="H1117" s="13">
        <f t="shared" si="136"/>
        <v>-7.7831728503952036E-4</v>
      </c>
      <c r="I1117">
        <f t="shared" si="137"/>
        <v>155.45991074043792</v>
      </c>
      <c r="J1117">
        <f t="shared" si="132"/>
        <v>664.9659459499145</v>
      </c>
      <c r="K1117" s="27">
        <f t="shared" si="133"/>
        <v>-344.15527249180883</v>
      </c>
    </row>
    <row r="1118" spans="1:11">
      <c r="A1118" s="26">
        <v>1068</v>
      </c>
      <c r="B1118" s="82">
        <f t="shared" si="134"/>
        <v>0</v>
      </c>
      <c r="C1118" s="58">
        <f t="shared" si="138"/>
        <v>156.29037528357509</v>
      </c>
      <c r="D1118" s="83">
        <f t="shared" si="135"/>
        <v>666.66666666666663</v>
      </c>
      <c r="E1118">
        <f t="shared" si="131"/>
        <v>0</v>
      </c>
      <c r="G1118">
        <v>1068</v>
      </c>
      <c r="H1118" s="13">
        <f t="shared" si="136"/>
        <v>-7.7831728503952036E-4</v>
      </c>
      <c r="I1118">
        <f t="shared" si="137"/>
        <v>155.45913242315288</v>
      </c>
      <c r="J1118">
        <f t="shared" si="132"/>
        <v>664.96432615941012</v>
      </c>
      <c r="K1118" s="27">
        <f t="shared" si="133"/>
        <v>-344.15359581046806</v>
      </c>
    </row>
    <row r="1119" spans="1:11">
      <c r="A1119" s="26">
        <v>1069</v>
      </c>
      <c r="B1119" s="82">
        <f t="shared" si="134"/>
        <v>0</v>
      </c>
      <c r="C1119" s="58">
        <f t="shared" si="138"/>
        <v>156.29037528357509</v>
      </c>
      <c r="D1119" s="83">
        <f t="shared" si="135"/>
        <v>666.66666666666663</v>
      </c>
      <c r="E1119">
        <f t="shared" si="131"/>
        <v>0</v>
      </c>
      <c r="G1119">
        <v>1069</v>
      </c>
      <c r="H1119" s="13">
        <f t="shared" si="136"/>
        <v>-7.7831728503952036E-4</v>
      </c>
      <c r="I1119">
        <f t="shared" si="137"/>
        <v>155.45835410586784</v>
      </c>
      <c r="J1119">
        <f t="shared" si="132"/>
        <v>664.96270631919265</v>
      </c>
      <c r="K1119" s="27">
        <f t="shared" si="133"/>
        <v>-344.15191908175149</v>
      </c>
    </row>
    <row r="1120" spans="1:11">
      <c r="A1120" s="26">
        <v>1070</v>
      </c>
      <c r="B1120" s="82">
        <f t="shared" si="134"/>
        <v>0</v>
      </c>
      <c r="C1120" s="58">
        <f t="shared" si="138"/>
        <v>156.29037528357509</v>
      </c>
      <c r="D1120" s="83">
        <f t="shared" si="135"/>
        <v>666.66666666666663</v>
      </c>
      <c r="E1120">
        <f t="shared" si="131"/>
        <v>0</v>
      </c>
      <c r="G1120">
        <v>1070</v>
      </c>
      <c r="H1120" s="13">
        <f t="shared" si="136"/>
        <v>-7.7831728503952036E-4</v>
      </c>
      <c r="I1120">
        <f t="shared" si="137"/>
        <v>155.4575757885828</v>
      </c>
      <c r="J1120">
        <f t="shared" si="132"/>
        <v>664.96108642925833</v>
      </c>
      <c r="K1120" s="27">
        <f t="shared" si="133"/>
        <v>-344.15024230565564</v>
      </c>
    </row>
    <row r="1121" spans="1:11">
      <c r="A1121" s="26">
        <v>1071</v>
      </c>
      <c r="B1121" s="82">
        <f t="shared" si="134"/>
        <v>0</v>
      </c>
      <c r="C1121" s="58">
        <f t="shared" si="138"/>
        <v>156.29037528357509</v>
      </c>
      <c r="D1121" s="83">
        <f t="shared" si="135"/>
        <v>666.66666666666663</v>
      </c>
      <c r="E1121">
        <f t="shared" si="131"/>
        <v>0</v>
      </c>
      <c r="G1121">
        <v>1071</v>
      </c>
      <c r="H1121" s="13">
        <f t="shared" si="136"/>
        <v>-7.7831728503952036E-4</v>
      </c>
      <c r="I1121">
        <f t="shared" si="137"/>
        <v>155.45679747129776</v>
      </c>
      <c r="J1121">
        <f t="shared" si="132"/>
        <v>664.95946648960341</v>
      </c>
      <c r="K1121" s="27">
        <f t="shared" si="133"/>
        <v>-344.14856548217699</v>
      </c>
    </row>
    <row r="1122" spans="1:11">
      <c r="A1122" s="26">
        <v>1072</v>
      </c>
      <c r="B1122" s="82">
        <f t="shared" si="134"/>
        <v>0</v>
      </c>
      <c r="C1122" s="58">
        <f t="shared" si="138"/>
        <v>156.29037528357509</v>
      </c>
      <c r="D1122" s="83">
        <f t="shared" si="135"/>
        <v>666.66666666666663</v>
      </c>
      <c r="E1122">
        <f t="shared" si="131"/>
        <v>0</v>
      </c>
      <c r="G1122">
        <v>1072</v>
      </c>
      <c r="H1122" s="13">
        <f t="shared" si="136"/>
        <v>-7.7831728503952036E-4</v>
      </c>
      <c r="I1122">
        <f t="shared" si="137"/>
        <v>155.45601915401272</v>
      </c>
      <c r="J1122">
        <f t="shared" si="132"/>
        <v>664.95784650022415</v>
      </c>
      <c r="K1122" s="27">
        <f t="shared" si="133"/>
        <v>-344.14688861131208</v>
      </c>
    </row>
    <row r="1123" spans="1:11">
      <c r="A1123" s="26">
        <v>1073</v>
      </c>
      <c r="B1123" s="82">
        <f t="shared" si="134"/>
        <v>0</v>
      </c>
      <c r="C1123" s="58">
        <f t="shared" si="138"/>
        <v>156.29037528357509</v>
      </c>
      <c r="D1123" s="83">
        <f t="shared" si="135"/>
        <v>666.66666666666663</v>
      </c>
      <c r="E1123">
        <f t="shared" si="131"/>
        <v>0</v>
      </c>
      <c r="G1123">
        <v>1073</v>
      </c>
      <c r="H1123" s="13">
        <f t="shared" si="136"/>
        <v>-7.7831728503952036E-4</v>
      </c>
      <c r="I1123">
        <f t="shared" si="137"/>
        <v>155.45524083672768</v>
      </c>
      <c r="J1123">
        <f t="shared" si="132"/>
        <v>664.95622646111701</v>
      </c>
      <c r="K1123" s="27">
        <f t="shared" si="133"/>
        <v>-344.14521169305755</v>
      </c>
    </row>
    <row r="1124" spans="1:11">
      <c r="A1124" s="26">
        <v>1074</v>
      </c>
      <c r="B1124" s="82">
        <f t="shared" si="134"/>
        <v>0</v>
      </c>
      <c r="C1124" s="58">
        <f t="shared" si="138"/>
        <v>156.29037528357509</v>
      </c>
      <c r="D1124" s="83">
        <f t="shared" si="135"/>
        <v>666.66666666666663</v>
      </c>
      <c r="E1124">
        <f t="shared" si="131"/>
        <v>0</v>
      </c>
      <c r="G1124">
        <v>1074</v>
      </c>
      <c r="H1124" s="13">
        <f t="shared" si="136"/>
        <v>-7.7831728503952036E-4</v>
      </c>
      <c r="I1124">
        <f t="shared" si="137"/>
        <v>155.45446251944264</v>
      </c>
      <c r="J1124">
        <f t="shared" si="132"/>
        <v>664.95460637227814</v>
      </c>
      <c r="K1124" s="27">
        <f t="shared" si="133"/>
        <v>-344.14353472740981</v>
      </c>
    </row>
    <row r="1125" spans="1:11">
      <c r="A1125" s="26">
        <v>1075</v>
      </c>
      <c r="B1125" s="82">
        <f t="shared" si="134"/>
        <v>0</v>
      </c>
      <c r="C1125" s="58">
        <f t="shared" si="138"/>
        <v>156.29037528357509</v>
      </c>
      <c r="D1125" s="83">
        <f t="shared" si="135"/>
        <v>666.66666666666663</v>
      </c>
      <c r="E1125">
        <f t="shared" si="131"/>
        <v>0</v>
      </c>
      <c r="G1125">
        <v>1075</v>
      </c>
      <c r="H1125" s="13">
        <f t="shared" si="136"/>
        <v>-7.7831728503952036E-4</v>
      </c>
      <c r="I1125">
        <f t="shared" si="137"/>
        <v>155.4536842021576</v>
      </c>
      <c r="J1125">
        <f t="shared" si="132"/>
        <v>664.95298623370377</v>
      </c>
      <c r="K1125" s="27">
        <f t="shared" si="133"/>
        <v>-344.14185771436541</v>
      </c>
    </row>
    <row r="1126" spans="1:11">
      <c r="A1126" s="26">
        <v>1076</v>
      </c>
      <c r="B1126" s="82">
        <f t="shared" si="134"/>
        <v>0</v>
      </c>
      <c r="C1126" s="58">
        <f t="shared" si="138"/>
        <v>156.29037528357509</v>
      </c>
      <c r="D1126" s="83">
        <f t="shared" si="135"/>
        <v>666.66666666666663</v>
      </c>
      <c r="E1126">
        <f t="shared" si="131"/>
        <v>0</v>
      </c>
      <c r="G1126">
        <v>1076</v>
      </c>
      <c r="H1126" s="13">
        <f t="shared" si="136"/>
        <v>-7.7831728503952036E-4</v>
      </c>
      <c r="I1126">
        <f t="shared" si="137"/>
        <v>155.45290588487256</v>
      </c>
      <c r="J1126">
        <f t="shared" si="132"/>
        <v>664.95136604539027</v>
      </c>
      <c r="K1126" s="27">
        <f t="shared" si="133"/>
        <v>-344.14018065392082</v>
      </c>
    </row>
    <row r="1127" spans="1:11">
      <c r="A1127" s="26">
        <v>1077</v>
      </c>
      <c r="B1127" s="82">
        <f t="shared" si="134"/>
        <v>0</v>
      </c>
      <c r="C1127" s="58">
        <f t="shared" si="138"/>
        <v>156.29037528357509</v>
      </c>
      <c r="D1127" s="83">
        <f t="shared" si="135"/>
        <v>666.66666666666663</v>
      </c>
      <c r="E1127">
        <f t="shared" si="131"/>
        <v>0</v>
      </c>
      <c r="G1127">
        <v>1077</v>
      </c>
      <c r="H1127" s="13">
        <f t="shared" si="136"/>
        <v>-7.7831728503952036E-4</v>
      </c>
      <c r="I1127">
        <f t="shared" si="137"/>
        <v>155.45212756758752</v>
      </c>
      <c r="J1127">
        <f t="shared" si="132"/>
        <v>664.94974580733378</v>
      </c>
      <c r="K1127" s="27">
        <f t="shared" si="133"/>
        <v>-344.13850354607257</v>
      </c>
    </row>
    <row r="1128" spans="1:11">
      <c r="A1128" s="26">
        <v>1078</v>
      </c>
      <c r="B1128" s="82">
        <f t="shared" si="134"/>
        <v>0</v>
      </c>
      <c r="C1128" s="58">
        <f t="shared" si="138"/>
        <v>156.29037528357509</v>
      </c>
      <c r="D1128" s="83">
        <f t="shared" si="135"/>
        <v>666.66666666666663</v>
      </c>
      <c r="E1128">
        <f t="shared" si="131"/>
        <v>0</v>
      </c>
      <c r="G1128">
        <v>1078</v>
      </c>
      <c r="H1128" s="13">
        <f t="shared" si="136"/>
        <v>-7.7831728503952036E-4</v>
      </c>
      <c r="I1128">
        <f t="shared" si="137"/>
        <v>155.45134925030248</v>
      </c>
      <c r="J1128">
        <f t="shared" si="132"/>
        <v>664.94812551953078</v>
      </c>
      <c r="K1128" s="27">
        <f t="shared" si="133"/>
        <v>-344.13682639081736</v>
      </c>
    </row>
    <row r="1129" spans="1:11">
      <c r="A1129" s="26">
        <v>1079</v>
      </c>
      <c r="B1129" s="82">
        <f t="shared" si="134"/>
        <v>0</v>
      </c>
      <c r="C1129" s="58">
        <f t="shared" si="138"/>
        <v>156.29037528357509</v>
      </c>
      <c r="D1129" s="83">
        <f t="shared" si="135"/>
        <v>666.66666666666663</v>
      </c>
      <c r="E1129">
        <f t="shared" si="131"/>
        <v>0</v>
      </c>
      <c r="G1129">
        <v>1079</v>
      </c>
      <c r="H1129" s="13">
        <f t="shared" si="136"/>
        <v>-7.7831728503952036E-4</v>
      </c>
      <c r="I1129">
        <f t="shared" si="137"/>
        <v>155.45057093301745</v>
      </c>
      <c r="J1129">
        <f t="shared" si="132"/>
        <v>664.9465051819775</v>
      </c>
      <c r="K1129" s="27">
        <f t="shared" si="133"/>
        <v>-344.13514918815162</v>
      </c>
    </row>
    <row r="1130" spans="1:11">
      <c r="A1130" s="26">
        <v>1080</v>
      </c>
      <c r="B1130" s="82">
        <f t="shared" si="134"/>
        <v>0</v>
      </c>
      <c r="C1130" s="58">
        <f t="shared" si="138"/>
        <v>156.29037528357509</v>
      </c>
      <c r="D1130" s="83">
        <f t="shared" si="135"/>
        <v>666.66666666666663</v>
      </c>
      <c r="E1130">
        <f t="shared" si="131"/>
        <v>0</v>
      </c>
      <c r="G1130">
        <v>1080</v>
      </c>
      <c r="H1130" s="13">
        <f t="shared" si="136"/>
        <v>-7.7831728503952036E-4</v>
      </c>
      <c r="I1130">
        <f t="shared" si="137"/>
        <v>155.44979261573241</v>
      </c>
      <c r="J1130">
        <f t="shared" si="132"/>
        <v>664.94488479467009</v>
      </c>
      <c r="K1130" s="27">
        <f t="shared" si="133"/>
        <v>-344.13347193807175</v>
      </c>
    </row>
    <row r="1131" spans="1:11">
      <c r="A1131" s="26">
        <v>1081</v>
      </c>
      <c r="B1131" s="82">
        <f t="shared" si="134"/>
        <v>0</v>
      </c>
      <c r="C1131" s="58">
        <f t="shared" si="138"/>
        <v>156.29037528357509</v>
      </c>
      <c r="D1131" s="83">
        <f t="shared" si="135"/>
        <v>666.66666666666663</v>
      </c>
      <c r="E1131">
        <f t="shared" si="131"/>
        <v>0</v>
      </c>
      <c r="G1131">
        <v>1081</v>
      </c>
      <c r="H1131" s="13">
        <f t="shared" si="136"/>
        <v>-7.7831728503952036E-4</v>
      </c>
      <c r="I1131">
        <f t="shared" si="137"/>
        <v>155.44901429844737</v>
      </c>
      <c r="J1131">
        <f t="shared" si="132"/>
        <v>664.9432643576049</v>
      </c>
      <c r="K1131" s="27">
        <f t="shared" si="133"/>
        <v>-344.1317946405743</v>
      </c>
    </row>
    <row r="1132" spans="1:11">
      <c r="A1132" s="26">
        <v>1082</v>
      </c>
      <c r="B1132" s="82">
        <f t="shared" si="134"/>
        <v>0</v>
      </c>
      <c r="C1132" s="58">
        <f t="shared" si="138"/>
        <v>156.29037528357509</v>
      </c>
      <c r="D1132" s="83">
        <f t="shared" si="135"/>
        <v>666.66666666666663</v>
      </c>
      <c r="E1132">
        <f t="shared" si="131"/>
        <v>0</v>
      </c>
      <c r="G1132">
        <v>1082</v>
      </c>
      <c r="H1132" s="13">
        <f t="shared" si="136"/>
        <v>-7.7831728503952036E-4</v>
      </c>
      <c r="I1132">
        <f t="shared" si="137"/>
        <v>155.44823598116233</v>
      </c>
      <c r="J1132">
        <f t="shared" si="132"/>
        <v>664.94164387077819</v>
      </c>
      <c r="K1132" s="27">
        <f t="shared" si="133"/>
        <v>-344.13011729565591</v>
      </c>
    </row>
    <row r="1133" spans="1:11">
      <c r="A1133" s="26">
        <v>1083</v>
      </c>
      <c r="B1133" s="82">
        <f t="shared" si="134"/>
        <v>0</v>
      </c>
      <c r="C1133" s="58">
        <f t="shared" si="138"/>
        <v>156.29037528357509</v>
      </c>
      <c r="D1133" s="83">
        <f t="shared" si="135"/>
        <v>666.66666666666663</v>
      </c>
      <c r="E1133">
        <f t="shared" si="131"/>
        <v>0</v>
      </c>
      <c r="G1133">
        <v>1083</v>
      </c>
      <c r="H1133" s="13">
        <f t="shared" si="136"/>
        <v>-7.7831728503952036E-4</v>
      </c>
      <c r="I1133">
        <f t="shared" si="137"/>
        <v>155.44745766387729</v>
      </c>
      <c r="J1133">
        <f t="shared" si="132"/>
        <v>664.94002333418621</v>
      </c>
      <c r="K1133" s="27">
        <f t="shared" si="133"/>
        <v>-344.12843990331294</v>
      </c>
    </row>
    <row r="1134" spans="1:11">
      <c r="A1134" s="26">
        <v>1084</v>
      </c>
      <c r="B1134" s="82">
        <f t="shared" si="134"/>
        <v>0</v>
      </c>
      <c r="C1134" s="58">
        <f t="shared" si="138"/>
        <v>156.29037528357509</v>
      </c>
      <c r="D1134" s="83">
        <f t="shared" si="135"/>
        <v>666.66666666666663</v>
      </c>
      <c r="E1134">
        <f t="shared" si="131"/>
        <v>0</v>
      </c>
      <c r="G1134">
        <v>1084</v>
      </c>
      <c r="H1134" s="13">
        <f t="shared" si="136"/>
        <v>-7.7831728503952036E-4</v>
      </c>
      <c r="I1134">
        <f t="shared" si="137"/>
        <v>155.44667934659225</v>
      </c>
      <c r="J1134">
        <f t="shared" si="132"/>
        <v>664.93840274782531</v>
      </c>
      <c r="K1134" s="27">
        <f t="shared" si="133"/>
        <v>-344.12676246354209</v>
      </c>
    </row>
    <row r="1135" spans="1:11">
      <c r="A1135" s="26">
        <v>1085</v>
      </c>
      <c r="B1135" s="82">
        <f t="shared" si="134"/>
        <v>0</v>
      </c>
      <c r="C1135" s="58">
        <f t="shared" si="138"/>
        <v>156.29037528357509</v>
      </c>
      <c r="D1135" s="83">
        <f t="shared" si="135"/>
        <v>666.66666666666663</v>
      </c>
      <c r="E1135">
        <f t="shared" si="131"/>
        <v>0</v>
      </c>
      <c r="G1135">
        <v>1085</v>
      </c>
      <c r="H1135" s="13">
        <f t="shared" si="136"/>
        <v>-7.7831728503952036E-4</v>
      </c>
      <c r="I1135">
        <f t="shared" si="137"/>
        <v>155.44590102930721</v>
      </c>
      <c r="J1135">
        <f t="shared" si="132"/>
        <v>664.93678211169174</v>
      </c>
      <c r="K1135" s="27">
        <f t="shared" si="133"/>
        <v>-344.12508497633985</v>
      </c>
    </row>
    <row r="1136" spans="1:11">
      <c r="A1136" s="26">
        <v>1086</v>
      </c>
      <c r="B1136" s="82">
        <f t="shared" si="134"/>
        <v>0</v>
      </c>
      <c r="C1136" s="58">
        <f t="shared" si="138"/>
        <v>156.29037528357509</v>
      </c>
      <c r="D1136" s="83">
        <f t="shared" si="135"/>
        <v>666.66666666666663</v>
      </c>
      <c r="E1136">
        <f t="shared" si="131"/>
        <v>0</v>
      </c>
      <c r="G1136">
        <v>1086</v>
      </c>
      <c r="H1136" s="13">
        <f t="shared" si="136"/>
        <v>-7.7831728503952036E-4</v>
      </c>
      <c r="I1136">
        <f t="shared" si="137"/>
        <v>155.44512271202217</v>
      </c>
      <c r="J1136">
        <f t="shared" si="132"/>
        <v>664.93516142578176</v>
      </c>
      <c r="K1136" s="27">
        <f t="shared" si="133"/>
        <v>-344.12340744170257</v>
      </c>
    </row>
    <row r="1137" spans="1:11">
      <c r="A1137" s="26">
        <v>1087</v>
      </c>
      <c r="B1137" s="82">
        <f t="shared" si="134"/>
        <v>0</v>
      </c>
      <c r="C1137" s="58">
        <f t="shared" si="138"/>
        <v>156.29037528357509</v>
      </c>
      <c r="D1137" s="83">
        <f t="shared" si="135"/>
        <v>666.66666666666663</v>
      </c>
      <c r="E1137">
        <f t="shared" si="131"/>
        <v>0</v>
      </c>
      <c r="G1137">
        <v>1087</v>
      </c>
      <c r="H1137" s="13">
        <f t="shared" si="136"/>
        <v>-7.7831728503952036E-4</v>
      </c>
      <c r="I1137">
        <f t="shared" si="137"/>
        <v>155.44434439473713</v>
      </c>
      <c r="J1137">
        <f t="shared" si="132"/>
        <v>664.9335406900916</v>
      </c>
      <c r="K1137" s="27">
        <f t="shared" si="133"/>
        <v>-344.12172985962701</v>
      </c>
    </row>
    <row r="1138" spans="1:11">
      <c r="A1138" s="26">
        <v>1088</v>
      </c>
      <c r="B1138" s="82">
        <f t="shared" si="134"/>
        <v>0</v>
      </c>
      <c r="C1138" s="58">
        <f t="shared" si="138"/>
        <v>156.29037528357509</v>
      </c>
      <c r="D1138" s="83">
        <f t="shared" si="135"/>
        <v>666.66666666666663</v>
      </c>
      <c r="E1138">
        <f t="shared" si="131"/>
        <v>0</v>
      </c>
      <c r="G1138">
        <v>1088</v>
      </c>
      <c r="H1138" s="13">
        <f t="shared" si="136"/>
        <v>-7.7831728503952036E-4</v>
      </c>
      <c r="I1138">
        <f t="shared" si="137"/>
        <v>155.44356607745209</v>
      </c>
      <c r="J1138">
        <f t="shared" si="132"/>
        <v>664.93191990461764</v>
      </c>
      <c r="K1138" s="27">
        <f t="shared" si="133"/>
        <v>-344.12005223010948</v>
      </c>
    </row>
    <row r="1139" spans="1:11">
      <c r="A1139" s="26">
        <v>1089</v>
      </c>
      <c r="B1139" s="82">
        <f t="shared" si="134"/>
        <v>0</v>
      </c>
      <c r="C1139" s="58">
        <f t="shared" si="138"/>
        <v>156.29037528357509</v>
      </c>
      <c r="D1139" s="83">
        <f t="shared" si="135"/>
        <v>666.66666666666663</v>
      </c>
      <c r="E1139">
        <f t="shared" ref="E1139:E1202" si="139">((D1139^2)+(D1139*D1140)+(D1140^2))*B1140/3</f>
        <v>0</v>
      </c>
      <c r="G1139">
        <v>1089</v>
      </c>
      <c r="H1139" s="13">
        <f t="shared" si="136"/>
        <v>-7.7831728503952036E-4</v>
      </c>
      <c r="I1139">
        <f t="shared" si="137"/>
        <v>155.44278776016705</v>
      </c>
      <c r="J1139">
        <f t="shared" ref="J1139:J1202" si="140">IF($G$28&lt;$C$14,0,((($C$11^2)-((I1139-$C$13)^2))^0.5)+$C$16)</f>
        <v>664.93029906935612</v>
      </c>
      <c r="K1139" s="27">
        <f t="shared" ref="K1139:K1202" si="141">((J1139^2)+(J1139*J1140)+(J1140^2))*H1140/3</f>
        <v>-344.11837455314662</v>
      </c>
    </row>
    <row r="1140" spans="1:11">
      <c r="A1140" s="26">
        <v>1090</v>
      </c>
      <c r="B1140" s="82">
        <f t="shared" ref="B1140:B1203" si="142">C1140-C1139</f>
        <v>0</v>
      </c>
      <c r="C1140" s="58">
        <f t="shared" si="138"/>
        <v>156.29037528357509</v>
      </c>
      <c r="D1140" s="83">
        <f t="shared" ref="D1140:D1203" si="143">IF($G$28&lt;$C$14,0,((($C$11^2)-((C1140-$C$13)^2))^0.5)+$C$16)</f>
        <v>666.66666666666663</v>
      </c>
      <c r="E1140">
        <f t="shared" si="139"/>
        <v>0</v>
      </c>
      <c r="G1140">
        <v>1090</v>
      </c>
      <c r="H1140" s="13">
        <f t="shared" ref="H1140:H1203" si="144">I1140-I1139</f>
        <v>-7.7831728503952036E-4</v>
      </c>
      <c r="I1140">
        <f t="shared" ref="I1140:I1203" si="145">($G$27-$C$14)/2000+I1139</f>
        <v>155.44200944288201</v>
      </c>
      <c r="J1140">
        <f t="shared" si="140"/>
        <v>664.92867818430318</v>
      </c>
      <c r="K1140" s="27">
        <f t="shared" si="141"/>
        <v>-344.11669682873486</v>
      </c>
    </row>
    <row r="1141" spans="1:11">
      <c r="A1141" s="26">
        <v>1091</v>
      </c>
      <c r="B1141" s="82">
        <f t="shared" si="142"/>
        <v>0</v>
      </c>
      <c r="C1141" s="58">
        <f t="shared" si="138"/>
        <v>156.29037528357509</v>
      </c>
      <c r="D1141" s="83">
        <f t="shared" si="143"/>
        <v>666.66666666666663</v>
      </c>
      <c r="E1141">
        <f t="shared" si="139"/>
        <v>0</v>
      </c>
      <c r="G1141">
        <v>1091</v>
      </c>
      <c r="H1141" s="13">
        <f t="shared" si="144"/>
        <v>-7.7831728503952036E-4</v>
      </c>
      <c r="I1141">
        <f t="shared" si="145"/>
        <v>155.44123112559697</v>
      </c>
      <c r="J1141">
        <f t="shared" si="140"/>
        <v>664.92705724945517</v>
      </c>
      <c r="K1141" s="27">
        <f t="shared" si="141"/>
        <v>-344.11501905687078</v>
      </c>
    </row>
    <row r="1142" spans="1:11">
      <c r="A1142" s="26">
        <v>1092</v>
      </c>
      <c r="B1142" s="82">
        <f t="shared" si="142"/>
        <v>0</v>
      </c>
      <c r="C1142" s="58">
        <f t="shared" si="138"/>
        <v>156.29037528357509</v>
      </c>
      <c r="D1142" s="83">
        <f t="shared" si="143"/>
        <v>666.66666666666663</v>
      </c>
      <c r="E1142">
        <f t="shared" si="139"/>
        <v>0</v>
      </c>
      <c r="G1142">
        <v>1092</v>
      </c>
      <c r="H1142" s="13">
        <f t="shared" si="144"/>
        <v>-7.7831728503952036E-4</v>
      </c>
      <c r="I1142">
        <f t="shared" si="145"/>
        <v>155.44045280831193</v>
      </c>
      <c r="J1142">
        <f t="shared" si="140"/>
        <v>664.92543626480847</v>
      </c>
      <c r="K1142" s="27">
        <f t="shared" si="141"/>
        <v>-344.11334123755086</v>
      </c>
    </row>
    <row r="1143" spans="1:11">
      <c r="A1143" s="26">
        <v>1093</v>
      </c>
      <c r="B1143" s="82">
        <f t="shared" si="142"/>
        <v>0</v>
      </c>
      <c r="C1143" s="58">
        <f t="shared" si="138"/>
        <v>156.29037528357509</v>
      </c>
      <c r="D1143" s="83">
        <f t="shared" si="143"/>
        <v>666.66666666666663</v>
      </c>
      <c r="E1143">
        <f t="shared" si="139"/>
        <v>0</v>
      </c>
      <c r="G1143">
        <v>1093</v>
      </c>
      <c r="H1143" s="13">
        <f t="shared" si="144"/>
        <v>-7.7831728503952036E-4</v>
      </c>
      <c r="I1143">
        <f t="shared" si="145"/>
        <v>155.43967449102689</v>
      </c>
      <c r="J1143">
        <f t="shared" si="140"/>
        <v>664.9238152303592</v>
      </c>
      <c r="K1143" s="27">
        <f t="shared" si="141"/>
        <v>-344.11166337077174</v>
      </c>
    </row>
    <row r="1144" spans="1:11">
      <c r="A1144" s="26">
        <v>1094</v>
      </c>
      <c r="B1144" s="82">
        <f t="shared" si="142"/>
        <v>0</v>
      </c>
      <c r="C1144" s="58">
        <f t="shared" si="138"/>
        <v>156.29037528357509</v>
      </c>
      <c r="D1144" s="83">
        <f t="shared" si="143"/>
        <v>666.66666666666663</v>
      </c>
      <c r="E1144">
        <f t="shared" si="139"/>
        <v>0</v>
      </c>
      <c r="G1144">
        <v>1094</v>
      </c>
      <c r="H1144" s="13">
        <f t="shared" si="144"/>
        <v>-7.7831728503952036E-4</v>
      </c>
      <c r="I1144">
        <f t="shared" si="145"/>
        <v>155.43889617374185</v>
      </c>
      <c r="J1144">
        <f t="shared" si="140"/>
        <v>664.92219414610372</v>
      </c>
      <c r="K1144" s="27">
        <f t="shared" si="141"/>
        <v>-344.10998545652973</v>
      </c>
    </row>
    <row r="1145" spans="1:11">
      <c r="A1145" s="26">
        <v>1095</v>
      </c>
      <c r="B1145" s="82">
        <f t="shared" si="142"/>
        <v>0</v>
      </c>
      <c r="C1145" s="58">
        <f t="shared" si="138"/>
        <v>156.29037528357509</v>
      </c>
      <c r="D1145" s="83">
        <f t="shared" si="143"/>
        <v>666.66666666666663</v>
      </c>
      <c r="E1145">
        <f t="shared" si="139"/>
        <v>0</v>
      </c>
      <c r="G1145">
        <v>1095</v>
      </c>
      <c r="H1145" s="13">
        <f t="shared" si="144"/>
        <v>-7.7831728503952036E-4</v>
      </c>
      <c r="I1145">
        <f t="shared" si="145"/>
        <v>155.43811785645681</v>
      </c>
      <c r="J1145">
        <f t="shared" si="140"/>
        <v>664.92057301203829</v>
      </c>
      <c r="K1145" s="27">
        <f t="shared" si="141"/>
        <v>-344.10830749482153</v>
      </c>
    </row>
    <row r="1146" spans="1:11">
      <c r="A1146" s="26">
        <v>1096</v>
      </c>
      <c r="B1146" s="82">
        <f t="shared" si="142"/>
        <v>0</v>
      </c>
      <c r="C1146" s="58">
        <f t="shared" si="138"/>
        <v>156.29037528357509</v>
      </c>
      <c r="D1146" s="83">
        <f t="shared" si="143"/>
        <v>666.66666666666663</v>
      </c>
      <c r="E1146">
        <f t="shared" si="139"/>
        <v>0</v>
      </c>
      <c r="G1146">
        <v>1096</v>
      </c>
      <c r="H1146" s="13">
        <f t="shared" si="144"/>
        <v>-7.7831728503952036E-4</v>
      </c>
      <c r="I1146">
        <f t="shared" si="145"/>
        <v>155.43733953917177</v>
      </c>
      <c r="J1146">
        <f t="shared" si="140"/>
        <v>664.91895182815915</v>
      </c>
      <c r="K1146" s="27">
        <f t="shared" si="141"/>
        <v>-344.10662948564345</v>
      </c>
    </row>
    <row r="1147" spans="1:11">
      <c r="A1147" s="26">
        <v>1097</v>
      </c>
      <c r="B1147" s="82">
        <f t="shared" si="142"/>
        <v>0</v>
      </c>
      <c r="C1147" s="58">
        <f t="shared" si="138"/>
        <v>156.29037528357509</v>
      </c>
      <c r="D1147" s="83">
        <f t="shared" si="143"/>
        <v>666.66666666666663</v>
      </c>
      <c r="E1147">
        <f t="shared" si="139"/>
        <v>0</v>
      </c>
      <c r="G1147">
        <v>1097</v>
      </c>
      <c r="H1147" s="13">
        <f t="shared" si="144"/>
        <v>-7.7831728503952036E-4</v>
      </c>
      <c r="I1147">
        <f t="shared" si="145"/>
        <v>155.43656122188673</v>
      </c>
      <c r="J1147">
        <f t="shared" si="140"/>
        <v>664.91733059446244</v>
      </c>
      <c r="K1147" s="27">
        <f t="shared" si="141"/>
        <v>-344.10495142899225</v>
      </c>
    </row>
    <row r="1148" spans="1:11">
      <c r="A1148" s="26">
        <v>1098</v>
      </c>
      <c r="B1148" s="82">
        <f t="shared" si="142"/>
        <v>0</v>
      </c>
      <c r="C1148" s="58">
        <f t="shared" si="138"/>
        <v>156.29037528357509</v>
      </c>
      <c r="D1148" s="83">
        <f t="shared" si="143"/>
        <v>666.66666666666663</v>
      </c>
      <c r="E1148">
        <f t="shared" si="139"/>
        <v>0</v>
      </c>
      <c r="G1148">
        <v>1098</v>
      </c>
      <c r="H1148" s="13">
        <f t="shared" si="144"/>
        <v>-7.7831728503952036E-4</v>
      </c>
      <c r="I1148">
        <f t="shared" si="145"/>
        <v>155.43578290460169</v>
      </c>
      <c r="J1148">
        <f t="shared" si="140"/>
        <v>664.91570931094475</v>
      </c>
      <c r="K1148" s="27">
        <f t="shared" si="141"/>
        <v>-344.10327332486435</v>
      </c>
    </row>
    <row r="1149" spans="1:11">
      <c r="A1149" s="26">
        <v>1099</v>
      </c>
      <c r="B1149" s="82">
        <f t="shared" si="142"/>
        <v>0</v>
      </c>
      <c r="C1149" s="58">
        <f t="shared" si="138"/>
        <v>156.29037528357509</v>
      </c>
      <c r="D1149" s="83">
        <f t="shared" si="143"/>
        <v>666.66666666666663</v>
      </c>
      <c r="E1149">
        <f t="shared" si="139"/>
        <v>0</v>
      </c>
      <c r="G1149">
        <v>1099</v>
      </c>
      <c r="H1149" s="13">
        <f t="shared" si="144"/>
        <v>-7.7831728503952036E-4</v>
      </c>
      <c r="I1149">
        <f t="shared" si="145"/>
        <v>155.43500458731666</v>
      </c>
      <c r="J1149">
        <f t="shared" si="140"/>
        <v>664.91408797760209</v>
      </c>
      <c r="K1149" s="27">
        <f t="shared" si="141"/>
        <v>-344.1015951732561</v>
      </c>
    </row>
    <row r="1150" spans="1:11">
      <c r="A1150" s="26">
        <v>1100</v>
      </c>
      <c r="B1150" s="82">
        <f t="shared" si="142"/>
        <v>0</v>
      </c>
      <c r="C1150" s="58">
        <f t="shared" si="138"/>
        <v>156.29037528357509</v>
      </c>
      <c r="D1150" s="83">
        <f t="shared" si="143"/>
        <v>666.66666666666663</v>
      </c>
      <c r="E1150">
        <f t="shared" si="139"/>
        <v>0</v>
      </c>
      <c r="G1150">
        <v>1100</v>
      </c>
      <c r="H1150" s="13">
        <f t="shared" si="144"/>
        <v>-7.7831728503952036E-4</v>
      </c>
      <c r="I1150">
        <f t="shared" si="145"/>
        <v>155.43422627003162</v>
      </c>
      <c r="J1150">
        <f t="shared" si="140"/>
        <v>664.91246659443073</v>
      </c>
      <c r="K1150" s="27">
        <f t="shared" si="141"/>
        <v>-344.09991697416422</v>
      </c>
    </row>
    <row r="1151" spans="1:11">
      <c r="A1151" s="26">
        <v>1101</v>
      </c>
      <c r="B1151" s="82">
        <f t="shared" si="142"/>
        <v>0</v>
      </c>
      <c r="C1151" s="58">
        <f t="shared" si="138"/>
        <v>156.29037528357509</v>
      </c>
      <c r="D1151" s="83">
        <f t="shared" si="143"/>
        <v>666.66666666666663</v>
      </c>
      <c r="E1151">
        <f t="shared" si="139"/>
        <v>0</v>
      </c>
      <c r="G1151">
        <v>1101</v>
      </c>
      <c r="H1151" s="13">
        <f t="shared" si="144"/>
        <v>-7.7831728503952036E-4</v>
      </c>
      <c r="I1151">
        <f t="shared" si="145"/>
        <v>155.43344795274658</v>
      </c>
      <c r="J1151">
        <f t="shared" si="140"/>
        <v>664.91084516142712</v>
      </c>
      <c r="K1151" s="27">
        <f t="shared" si="141"/>
        <v>-344.09823872758511</v>
      </c>
    </row>
    <row r="1152" spans="1:11">
      <c r="A1152" s="26">
        <v>1102</v>
      </c>
      <c r="B1152" s="82">
        <f t="shared" si="142"/>
        <v>0</v>
      </c>
      <c r="C1152" s="58">
        <f t="shared" si="138"/>
        <v>156.29037528357509</v>
      </c>
      <c r="D1152" s="83">
        <f t="shared" si="143"/>
        <v>666.66666666666663</v>
      </c>
      <c r="E1152">
        <f t="shared" si="139"/>
        <v>0</v>
      </c>
      <c r="G1152">
        <v>1102</v>
      </c>
      <c r="H1152" s="13">
        <f t="shared" si="144"/>
        <v>-7.7831728503952036E-4</v>
      </c>
      <c r="I1152">
        <f t="shared" si="145"/>
        <v>155.43266963546154</v>
      </c>
      <c r="J1152">
        <f t="shared" si="140"/>
        <v>664.9092236785873</v>
      </c>
      <c r="K1152" s="27">
        <f t="shared" si="141"/>
        <v>-344.09656043351532</v>
      </c>
    </row>
    <row r="1153" spans="1:11">
      <c r="A1153" s="26">
        <v>1103</v>
      </c>
      <c r="B1153" s="82">
        <f t="shared" si="142"/>
        <v>0</v>
      </c>
      <c r="C1153" s="58">
        <f t="shared" si="138"/>
        <v>156.29037528357509</v>
      </c>
      <c r="D1153" s="83">
        <f t="shared" si="143"/>
        <v>666.66666666666663</v>
      </c>
      <c r="E1153">
        <f t="shared" si="139"/>
        <v>0</v>
      </c>
      <c r="G1153">
        <v>1103</v>
      </c>
      <c r="H1153" s="13">
        <f t="shared" si="144"/>
        <v>-7.7831728503952036E-4</v>
      </c>
      <c r="I1153">
        <f t="shared" si="145"/>
        <v>155.4318913181765</v>
      </c>
      <c r="J1153">
        <f t="shared" si="140"/>
        <v>664.90760214590762</v>
      </c>
      <c r="K1153" s="27">
        <f t="shared" si="141"/>
        <v>-344.09488209195132</v>
      </c>
    </row>
    <row r="1154" spans="1:11">
      <c r="A1154" s="26">
        <v>1104</v>
      </c>
      <c r="B1154" s="82">
        <f t="shared" si="142"/>
        <v>0</v>
      </c>
      <c r="C1154" s="58">
        <f t="shared" si="138"/>
        <v>156.29037528357509</v>
      </c>
      <c r="D1154" s="83">
        <f t="shared" si="143"/>
        <v>666.66666666666663</v>
      </c>
      <c r="E1154">
        <f t="shared" si="139"/>
        <v>0</v>
      </c>
      <c r="G1154">
        <v>1104</v>
      </c>
      <c r="H1154" s="13">
        <f t="shared" si="144"/>
        <v>-7.7831728503952036E-4</v>
      </c>
      <c r="I1154">
        <f t="shared" si="145"/>
        <v>155.43111300089146</v>
      </c>
      <c r="J1154">
        <f t="shared" si="140"/>
        <v>664.90598056338445</v>
      </c>
      <c r="K1154" s="27">
        <f t="shared" si="141"/>
        <v>-344.0932037028897</v>
      </c>
    </row>
    <row r="1155" spans="1:11">
      <c r="A1155" s="26">
        <v>1105</v>
      </c>
      <c r="B1155" s="82">
        <f t="shared" si="142"/>
        <v>0</v>
      </c>
      <c r="C1155" s="58">
        <f t="shared" si="138"/>
        <v>156.29037528357509</v>
      </c>
      <c r="D1155" s="83">
        <f t="shared" si="143"/>
        <v>666.66666666666663</v>
      </c>
      <c r="E1155">
        <f t="shared" si="139"/>
        <v>0</v>
      </c>
      <c r="G1155">
        <v>1105</v>
      </c>
      <c r="H1155" s="13">
        <f t="shared" si="144"/>
        <v>-7.7831728503952036E-4</v>
      </c>
      <c r="I1155">
        <f t="shared" si="145"/>
        <v>155.43033468360642</v>
      </c>
      <c r="J1155">
        <f t="shared" si="140"/>
        <v>664.90435893101392</v>
      </c>
      <c r="K1155" s="27">
        <f t="shared" si="141"/>
        <v>-344.09152526632693</v>
      </c>
    </row>
    <row r="1156" spans="1:11">
      <c r="A1156" s="26">
        <v>1106</v>
      </c>
      <c r="B1156" s="82">
        <f t="shared" si="142"/>
        <v>0</v>
      </c>
      <c r="C1156" s="58">
        <f t="shared" si="138"/>
        <v>156.29037528357509</v>
      </c>
      <c r="D1156" s="83">
        <f t="shared" si="143"/>
        <v>666.66666666666663</v>
      </c>
      <c r="E1156">
        <f t="shared" si="139"/>
        <v>0</v>
      </c>
      <c r="G1156">
        <v>1106</v>
      </c>
      <c r="H1156" s="13">
        <f t="shared" si="144"/>
        <v>-7.7831728503952036E-4</v>
      </c>
      <c r="I1156">
        <f t="shared" si="145"/>
        <v>155.42955636632138</v>
      </c>
      <c r="J1156">
        <f t="shared" si="140"/>
        <v>664.90273724879239</v>
      </c>
      <c r="K1156" s="27">
        <f t="shared" si="141"/>
        <v>-344.0898467822596</v>
      </c>
    </row>
    <row r="1157" spans="1:11">
      <c r="A1157" s="26">
        <v>1107</v>
      </c>
      <c r="B1157" s="82">
        <f t="shared" si="142"/>
        <v>0</v>
      </c>
      <c r="C1157" s="58">
        <f t="shared" si="138"/>
        <v>156.29037528357509</v>
      </c>
      <c r="D1157" s="83">
        <f t="shared" si="143"/>
        <v>666.66666666666663</v>
      </c>
      <c r="E1157">
        <f t="shared" si="139"/>
        <v>0</v>
      </c>
      <c r="G1157">
        <v>1107</v>
      </c>
      <c r="H1157" s="13">
        <f t="shared" si="144"/>
        <v>-7.7831728503952036E-4</v>
      </c>
      <c r="I1157">
        <f t="shared" si="145"/>
        <v>155.42877804903634</v>
      </c>
      <c r="J1157">
        <f t="shared" si="140"/>
        <v>664.90111551671612</v>
      </c>
      <c r="K1157" s="27">
        <f t="shared" si="141"/>
        <v>-344.08816825068408</v>
      </c>
    </row>
    <row r="1158" spans="1:11">
      <c r="A1158" s="26">
        <v>1108</v>
      </c>
      <c r="B1158" s="82">
        <f t="shared" si="142"/>
        <v>0</v>
      </c>
      <c r="C1158" s="58">
        <f t="shared" si="138"/>
        <v>156.29037528357509</v>
      </c>
      <c r="D1158" s="83">
        <f t="shared" si="143"/>
        <v>666.66666666666663</v>
      </c>
      <c r="E1158">
        <f t="shared" si="139"/>
        <v>0</v>
      </c>
      <c r="G1158">
        <v>1108</v>
      </c>
      <c r="H1158" s="13">
        <f t="shared" si="144"/>
        <v>-7.7831728503952036E-4</v>
      </c>
      <c r="I1158">
        <f t="shared" si="145"/>
        <v>155.4279997317513</v>
      </c>
      <c r="J1158">
        <f t="shared" si="140"/>
        <v>664.89949373478123</v>
      </c>
      <c r="K1158" s="27">
        <f t="shared" si="141"/>
        <v>-344.08648967159701</v>
      </c>
    </row>
    <row r="1159" spans="1:11">
      <c r="A1159" s="26">
        <v>1109</v>
      </c>
      <c r="B1159" s="82">
        <f t="shared" si="142"/>
        <v>0</v>
      </c>
      <c r="C1159" s="58">
        <f t="shared" si="138"/>
        <v>156.29037528357509</v>
      </c>
      <c r="D1159" s="83">
        <f t="shared" si="143"/>
        <v>666.66666666666663</v>
      </c>
      <c r="E1159">
        <f t="shared" si="139"/>
        <v>0</v>
      </c>
      <c r="G1159">
        <v>1109</v>
      </c>
      <c r="H1159" s="13">
        <f t="shared" si="144"/>
        <v>-7.7831728503952036E-4</v>
      </c>
      <c r="I1159">
        <f t="shared" si="145"/>
        <v>155.42722141446626</v>
      </c>
      <c r="J1159">
        <f t="shared" si="140"/>
        <v>664.89787190298409</v>
      </c>
      <c r="K1159" s="27">
        <f t="shared" si="141"/>
        <v>-344.08481104499475</v>
      </c>
    </row>
    <row r="1160" spans="1:11">
      <c r="A1160" s="26">
        <v>1110</v>
      </c>
      <c r="B1160" s="82">
        <f t="shared" si="142"/>
        <v>0</v>
      </c>
      <c r="C1160" s="58">
        <f t="shared" si="138"/>
        <v>156.29037528357509</v>
      </c>
      <c r="D1160" s="83">
        <f t="shared" si="143"/>
        <v>666.66666666666663</v>
      </c>
      <c r="E1160">
        <f t="shared" si="139"/>
        <v>0</v>
      </c>
      <c r="G1160">
        <v>1110</v>
      </c>
      <c r="H1160" s="13">
        <f t="shared" si="144"/>
        <v>-7.7831728503952036E-4</v>
      </c>
      <c r="I1160">
        <f t="shared" si="145"/>
        <v>155.42644309718122</v>
      </c>
      <c r="J1160">
        <f t="shared" si="140"/>
        <v>664.89625002132107</v>
      </c>
      <c r="K1160" s="27">
        <f t="shared" si="141"/>
        <v>-344.0831323708739</v>
      </c>
    </row>
    <row r="1161" spans="1:11">
      <c r="A1161" s="26">
        <v>1111</v>
      </c>
      <c r="B1161" s="82">
        <f t="shared" si="142"/>
        <v>0</v>
      </c>
      <c r="C1161" s="58">
        <f t="shared" si="138"/>
        <v>156.29037528357509</v>
      </c>
      <c r="D1161" s="83">
        <f t="shared" si="143"/>
        <v>666.66666666666663</v>
      </c>
      <c r="E1161">
        <f t="shared" si="139"/>
        <v>0</v>
      </c>
      <c r="G1161">
        <v>1111</v>
      </c>
      <c r="H1161" s="13">
        <f t="shared" si="144"/>
        <v>-7.7831728503952036E-4</v>
      </c>
      <c r="I1161">
        <f t="shared" si="145"/>
        <v>155.42566477989618</v>
      </c>
      <c r="J1161">
        <f t="shared" si="140"/>
        <v>664.89462808978817</v>
      </c>
      <c r="K1161" s="27">
        <f t="shared" si="141"/>
        <v>-344.08145364923098</v>
      </c>
    </row>
    <row r="1162" spans="1:11">
      <c r="A1162" s="26">
        <v>1112</v>
      </c>
      <c r="B1162" s="82">
        <f t="shared" si="142"/>
        <v>0</v>
      </c>
      <c r="C1162" s="58">
        <f t="shared" si="138"/>
        <v>156.29037528357509</v>
      </c>
      <c r="D1162" s="83">
        <f t="shared" si="143"/>
        <v>666.66666666666663</v>
      </c>
      <c r="E1162">
        <f t="shared" si="139"/>
        <v>0</v>
      </c>
      <c r="G1162">
        <v>1112</v>
      </c>
      <c r="H1162" s="13">
        <f t="shared" si="144"/>
        <v>-7.7831728503952036E-4</v>
      </c>
      <c r="I1162">
        <f t="shared" si="145"/>
        <v>155.42488646261114</v>
      </c>
      <c r="J1162">
        <f t="shared" si="140"/>
        <v>664.89300610838188</v>
      </c>
      <c r="K1162" s="27">
        <f t="shared" si="141"/>
        <v>-344.07977488006253</v>
      </c>
    </row>
    <row r="1163" spans="1:11">
      <c r="A1163" s="26">
        <v>1113</v>
      </c>
      <c r="B1163" s="82">
        <f t="shared" si="142"/>
        <v>0</v>
      </c>
      <c r="C1163" s="58">
        <f t="shared" si="138"/>
        <v>156.29037528357509</v>
      </c>
      <c r="D1163" s="83">
        <f t="shared" si="143"/>
        <v>666.66666666666663</v>
      </c>
      <c r="E1163">
        <f t="shared" si="139"/>
        <v>0</v>
      </c>
      <c r="G1163">
        <v>1113</v>
      </c>
      <c r="H1163" s="13">
        <f t="shared" si="144"/>
        <v>-7.7831728503952036E-4</v>
      </c>
      <c r="I1163">
        <f t="shared" si="145"/>
        <v>155.4241081453261</v>
      </c>
      <c r="J1163">
        <f t="shared" si="140"/>
        <v>664.89138407709834</v>
      </c>
      <c r="K1163" s="27">
        <f t="shared" si="141"/>
        <v>-344.07809606336491</v>
      </c>
    </row>
    <row r="1164" spans="1:11">
      <c r="A1164" s="26">
        <v>1114</v>
      </c>
      <c r="B1164" s="82">
        <f t="shared" si="142"/>
        <v>0</v>
      </c>
      <c r="C1164" s="58">
        <f t="shared" si="138"/>
        <v>156.29037528357509</v>
      </c>
      <c r="D1164" s="83">
        <f t="shared" si="143"/>
        <v>666.66666666666663</v>
      </c>
      <c r="E1164">
        <f t="shared" si="139"/>
        <v>0</v>
      </c>
      <c r="G1164">
        <v>1114</v>
      </c>
      <c r="H1164" s="13">
        <f t="shared" si="144"/>
        <v>-7.7831728503952036E-4</v>
      </c>
      <c r="I1164">
        <f t="shared" si="145"/>
        <v>155.42332982804106</v>
      </c>
      <c r="J1164">
        <f t="shared" si="140"/>
        <v>664.8897619959339</v>
      </c>
      <c r="K1164" s="27">
        <f t="shared" si="141"/>
        <v>-344.07641719913477</v>
      </c>
    </row>
    <row r="1165" spans="1:11">
      <c r="A1165" s="26">
        <v>1115</v>
      </c>
      <c r="B1165" s="82">
        <f t="shared" si="142"/>
        <v>0</v>
      </c>
      <c r="C1165" s="58">
        <f t="shared" si="138"/>
        <v>156.29037528357509</v>
      </c>
      <c r="D1165" s="83">
        <f t="shared" si="143"/>
        <v>666.66666666666663</v>
      </c>
      <c r="E1165">
        <f t="shared" si="139"/>
        <v>0</v>
      </c>
      <c r="G1165">
        <v>1115</v>
      </c>
      <c r="H1165" s="13">
        <f t="shared" si="144"/>
        <v>-7.7831728503952036E-4</v>
      </c>
      <c r="I1165">
        <f t="shared" si="145"/>
        <v>155.42255151075602</v>
      </c>
      <c r="J1165">
        <f t="shared" si="140"/>
        <v>664.88813986488469</v>
      </c>
      <c r="K1165" s="27">
        <f t="shared" si="141"/>
        <v>-344.07473828736852</v>
      </c>
    </row>
    <row r="1166" spans="1:11">
      <c r="A1166" s="26">
        <v>1116</v>
      </c>
      <c r="B1166" s="82">
        <f t="shared" si="142"/>
        <v>0</v>
      </c>
      <c r="C1166" s="58">
        <f t="shared" si="138"/>
        <v>156.29037528357509</v>
      </c>
      <c r="D1166" s="83">
        <f t="shared" si="143"/>
        <v>666.66666666666663</v>
      </c>
      <c r="E1166">
        <f t="shared" si="139"/>
        <v>0</v>
      </c>
      <c r="G1166">
        <v>1116</v>
      </c>
      <c r="H1166" s="13">
        <f t="shared" si="144"/>
        <v>-7.7831728503952036E-4</v>
      </c>
      <c r="I1166">
        <f t="shared" si="145"/>
        <v>155.42177319347098</v>
      </c>
      <c r="J1166">
        <f t="shared" si="140"/>
        <v>664.88651768394709</v>
      </c>
      <c r="K1166" s="27">
        <f t="shared" si="141"/>
        <v>-344.07305932806275</v>
      </c>
    </row>
    <row r="1167" spans="1:11">
      <c r="A1167" s="26">
        <v>1117</v>
      </c>
      <c r="B1167" s="82">
        <f t="shared" si="142"/>
        <v>0</v>
      </c>
      <c r="C1167" s="58">
        <f t="shared" si="138"/>
        <v>156.29037528357509</v>
      </c>
      <c r="D1167" s="83">
        <f t="shared" si="143"/>
        <v>666.66666666666663</v>
      </c>
      <c r="E1167">
        <f t="shared" si="139"/>
        <v>0</v>
      </c>
      <c r="G1167">
        <v>1117</v>
      </c>
      <c r="H1167" s="13">
        <f t="shared" si="144"/>
        <v>-7.7831728503952036E-4</v>
      </c>
      <c r="I1167">
        <f t="shared" si="145"/>
        <v>155.42099487618594</v>
      </c>
      <c r="J1167">
        <f t="shared" si="140"/>
        <v>664.88489545311722</v>
      </c>
      <c r="K1167" s="27">
        <f t="shared" si="141"/>
        <v>-344.07138032121384</v>
      </c>
    </row>
    <row r="1168" spans="1:11">
      <c r="A1168" s="26">
        <v>1118</v>
      </c>
      <c r="B1168" s="82">
        <f t="shared" si="142"/>
        <v>0</v>
      </c>
      <c r="C1168" s="58">
        <f t="shared" ref="C1168:C1231" si="146">($C$37-$C$36)/2000+C1167</f>
        <v>156.29037528357509</v>
      </c>
      <c r="D1168" s="83">
        <f t="shared" si="143"/>
        <v>666.66666666666663</v>
      </c>
      <c r="E1168">
        <f t="shared" si="139"/>
        <v>0</v>
      </c>
      <c r="G1168">
        <v>1118</v>
      </c>
      <c r="H1168" s="13">
        <f t="shared" si="144"/>
        <v>-7.7831728503952036E-4</v>
      </c>
      <c r="I1168">
        <f t="shared" si="145"/>
        <v>155.4202165589009</v>
      </c>
      <c r="J1168">
        <f t="shared" si="140"/>
        <v>664.88327317239157</v>
      </c>
      <c r="K1168" s="27">
        <f t="shared" si="141"/>
        <v>-344.06970126681841</v>
      </c>
    </row>
    <row r="1169" spans="1:11">
      <c r="A1169" s="26">
        <v>1119</v>
      </c>
      <c r="B1169" s="82">
        <f t="shared" si="142"/>
        <v>0</v>
      </c>
      <c r="C1169" s="58">
        <f t="shared" si="146"/>
        <v>156.29037528357509</v>
      </c>
      <c r="D1169" s="83">
        <f t="shared" si="143"/>
        <v>666.66666666666663</v>
      </c>
      <c r="E1169">
        <f t="shared" si="139"/>
        <v>0</v>
      </c>
      <c r="G1169">
        <v>1119</v>
      </c>
      <c r="H1169" s="13">
        <f t="shared" si="144"/>
        <v>-7.7831728503952036E-4</v>
      </c>
      <c r="I1169">
        <f t="shared" si="145"/>
        <v>155.41943824161586</v>
      </c>
      <c r="J1169">
        <f t="shared" si="140"/>
        <v>664.88165084176615</v>
      </c>
      <c r="K1169" s="27">
        <f t="shared" si="141"/>
        <v>-344.06802216487307</v>
      </c>
    </row>
    <row r="1170" spans="1:11">
      <c r="A1170" s="26">
        <v>1120</v>
      </c>
      <c r="B1170" s="82">
        <f t="shared" si="142"/>
        <v>0</v>
      </c>
      <c r="C1170" s="58">
        <f t="shared" si="146"/>
        <v>156.29037528357509</v>
      </c>
      <c r="D1170" s="83">
        <f t="shared" si="143"/>
        <v>666.66666666666663</v>
      </c>
      <c r="E1170">
        <f t="shared" si="139"/>
        <v>0</v>
      </c>
      <c r="G1170">
        <v>1120</v>
      </c>
      <c r="H1170" s="13">
        <f t="shared" si="144"/>
        <v>-7.7831728503952036E-4</v>
      </c>
      <c r="I1170">
        <f t="shared" si="145"/>
        <v>155.41865992433083</v>
      </c>
      <c r="J1170">
        <f t="shared" si="140"/>
        <v>664.88002846123743</v>
      </c>
      <c r="K1170" s="27">
        <f t="shared" si="141"/>
        <v>-344.066343015374</v>
      </c>
    </row>
    <row r="1171" spans="1:11">
      <c r="A1171" s="26">
        <v>1121</v>
      </c>
      <c r="B1171" s="82">
        <f t="shared" si="142"/>
        <v>0</v>
      </c>
      <c r="C1171" s="58">
        <f t="shared" si="146"/>
        <v>156.29037528357509</v>
      </c>
      <c r="D1171" s="83">
        <f t="shared" si="143"/>
        <v>666.66666666666663</v>
      </c>
      <c r="E1171">
        <f t="shared" si="139"/>
        <v>0</v>
      </c>
      <c r="G1171">
        <v>1121</v>
      </c>
      <c r="H1171" s="13">
        <f t="shared" si="144"/>
        <v>-7.7831728503952036E-4</v>
      </c>
      <c r="I1171">
        <f t="shared" si="145"/>
        <v>155.41788160704579</v>
      </c>
      <c r="J1171">
        <f t="shared" si="140"/>
        <v>664.87840603080144</v>
      </c>
      <c r="K1171" s="27">
        <f t="shared" si="141"/>
        <v>-344.06466381831791</v>
      </c>
    </row>
    <row r="1172" spans="1:11">
      <c r="A1172" s="26">
        <v>1122</v>
      </c>
      <c r="B1172" s="82">
        <f t="shared" si="142"/>
        <v>0</v>
      </c>
      <c r="C1172" s="58">
        <f t="shared" si="146"/>
        <v>156.29037528357509</v>
      </c>
      <c r="D1172" s="83">
        <f t="shared" si="143"/>
        <v>666.66666666666663</v>
      </c>
      <c r="E1172">
        <f t="shared" si="139"/>
        <v>0</v>
      </c>
      <c r="G1172">
        <v>1122</v>
      </c>
      <c r="H1172" s="13">
        <f t="shared" si="144"/>
        <v>-7.7831728503952036E-4</v>
      </c>
      <c r="I1172">
        <f t="shared" si="145"/>
        <v>155.41710328976075</v>
      </c>
      <c r="J1172">
        <f t="shared" si="140"/>
        <v>664.87678355045455</v>
      </c>
      <c r="K1172" s="27">
        <f t="shared" si="141"/>
        <v>-344.06298457370139</v>
      </c>
    </row>
    <row r="1173" spans="1:11">
      <c r="A1173" s="26">
        <v>1123</v>
      </c>
      <c r="B1173" s="82">
        <f t="shared" si="142"/>
        <v>0</v>
      </c>
      <c r="C1173" s="58">
        <f t="shared" si="146"/>
        <v>156.29037528357509</v>
      </c>
      <c r="D1173" s="83">
        <f t="shared" si="143"/>
        <v>666.66666666666663</v>
      </c>
      <c r="E1173">
        <f t="shared" si="139"/>
        <v>0</v>
      </c>
      <c r="G1173">
        <v>1123</v>
      </c>
      <c r="H1173" s="13">
        <f t="shared" si="144"/>
        <v>-7.7831728503952036E-4</v>
      </c>
      <c r="I1173">
        <f t="shared" si="145"/>
        <v>155.41632497247571</v>
      </c>
      <c r="J1173">
        <f t="shared" si="140"/>
        <v>664.87516102019322</v>
      </c>
      <c r="K1173" s="27">
        <f t="shared" si="141"/>
        <v>-344.06130528152084</v>
      </c>
    </row>
    <row r="1174" spans="1:11">
      <c r="A1174" s="26">
        <v>1124</v>
      </c>
      <c r="B1174" s="82">
        <f t="shared" si="142"/>
        <v>0</v>
      </c>
      <c r="C1174" s="58">
        <f t="shared" si="146"/>
        <v>156.29037528357509</v>
      </c>
      <c r="D1174" s="83">
        <f t="shared" si="143"/>
        <v>666.66666666666663</v>
      </c>
      <c r="E1174">
        <f t="shared" si="139"/>
        <v>0</v>
      </c>
      <c r="G1174">
        <v>1124</v>
      </c>
      <c r="H1174" s="13">
        <f t="shared" si="144"/>
        <v>-7.7831728503952036E-4</v>
      </c>
      <c r="I1174">
        <f t="shared" si="145"/>
        <v>155.41554665519067</v>
      </c>
      <c r="J1174">
        <f t="shared" si="140"/>
        <v>664.87353844001336</v>
      </c>
      <c r="K1174" s="27">
        <f t="shared" si="141"/>
        <v>-344.05962594177271</v>
      </c>
    </row>
    <row r="1175" spans="1:11">
      <c r="A1175" s="26">
        <v>1125</v>
      </c>
      <c r="B1175" s="82">
        <f t="shared" si="142"/>
        <v>0</v>
      </c>
      <c r="C1175" s="58">
        <f t="shared" si="146"/>
        <v>156.29037528357509</v>
      </c>
      <c r="D1175" s="83">
        <f t="shared" si="143"/>
        <v>666.66666666666663</v>
      </c>
      <c r="E1175">
        <f t="shared" si="139"/>
        <v>0</v>
      </c>
      <c r="G1175">
        <v>1125</v>
      </c>
      <c r="H1175" s="13">
        <f t="shared" si="144"/>
        <v>-7.7831728503952036E-4</v>
      </c>
      <c r="I1175">
        <f t="shared" si="145"/>
        <v>155.41476833790563</v>
      </c>
      <c r="J1175">
        <f t="shared" si="140"/>
        <v>664.87191580991134</v>
      </c>
      <c r="K1175" s="27">
        <f t="shared" si="141"/>
        <v>-344.05794655445351</v>
      </c>
    </row>
    <row r="1176" spans="1:11">
      <c r="A1176" s="26">
        <v>1126</v>
      </c>
      <c r="B1176" s="82">
        <f t="shared" si="142"/>
        <v>0</v>
      </c>
      <c r="C1176" s="58">
        <f t="shared" si="146"/>
        <v>156.29037528357509</v>
      </c>
      <c r="D1176" s="83">
        <f t="shared" si="143"/>
        <v>666.66666666666663</v>
      </c>
      <c r="E1176">
        <f t="shared" si="139"/>
        <v>0</v>
      </c>
      <c r="G1176">
        <v>1126</v>
      </c>
      <c r="H1176" s="13">
        <f t="shared" si="144"/>
        <v>-7.7831728503952036E-4</v>
      </c>
      <c r="I1176">
        <f t="shared" si="145"/>
        <v>155.41399002062059</v>
      </c>
      <c r="J1176">
        <f t="shared" si="140"/>
        <v>664.87029312988341</v>
      </c>
      <c r="K1176" s="27">
        <f t="shared" si="141"/>
        <v>-344.05626711955966</v>
      </c>
    </row>
    <row r="1177" spans="1:11">
      <c r="A1177" s="26">
        <v>1127</v>
      </c>
      <c r="B1177" s="82">
        <f t="shared" si="142"/>
        <v>0</v>
      </c>
      <c r="C1177" s="58">
        <f t="shared" si="146"/>
        <v>156.29037528357509</v>
      </c>
      <c r="D1177" s="83">
        <f t="shared" si="143"/>
        <v>666.66666666666663</v>
      </c>
      <c r="E1177">
        <f t="shared" si="139"/>
        <v>0</v>
      </c>
      <c r="G1177">
        <v>1127</v>
      </c>
      <c r="H1177" s="13">
        <f t="shared" si="144"/>
        <v>-7.7831728503952036E-4</v>
      </c>
      <c r="I1177">
        <f t="shared" si="145"/>
        <v>155.41321170333555</v>
      </c>
      <c r="J1177">
        <f t="shared" si="140"/>
        <v>664.86867039992592</v>
      </c>
      <c r="K1177" s="27">
        <f t="shared" si="141"/>
        <v>-344.05458763708799</v>
      </c>
    </row>
    <row r="1178" spans="1:11">
      <c r="A1178" s="26">
        <v>1128</v>
      </c>
      <c r="B1178" s="82">
        <f t="shared" si="142"/>
        <v>0</v>
      </c>
      <c r="C1178" s="58">
        <f t="shared" si="146"/>
        <v>156.29037528357509</v>
      </c>
      <c r="D1178" s="83">
        <f t="shared" si="143"/>
        <v>666.66666666666663</v>
      </c>
      <c r="E1178">
        <f t="shared" si="139"/>
        <v>0</v>
      </c>
      <c r="G1178">
        <v>1128</v>
      </c>
      <c r="H1178" s="13">
        <f t="shared" si="144"/>
        <v>-7.7831728503952036E-4</v>
      </c>
      <c r="I1178">
        <f t="shared" si="145"/>
        <v>155.41243338605051</v>
      </c>
      <c r="J1178">
        <f t="shared" si="140"/>
        <v>664.86704762003512</v>
      </c>
      <c r="K1178" s="27">
        <f t="shared" si="141"/>
        <v>-344.05290810703474</v>
      </c>
    </row>
    <row r="1179" spans="1:11">
      <c r="A1179" s="26">
        <v>1129</v>
      </c>
      <c r="B1179" s="82">
        <f t="shared" si="142"/>
        <v>0</v>
      </c>
      <c r="C1179" s="58">
        <f t="shared" si="146"/>
        <v>156.29037528357509</v>
      </c>
      <c r="D1179" s="83">
        <f t="shared" si="143"/>
        <v>666.66666666666663</v>
      </c>
      <c r="E1179">
        <f t="shared" si="139"/>
        <v>0</v>
      </c>
      <c r="G1179">
        <v>1129</v>
      </c>
      <c r="H1179" s="13">
        <f t="shared" si="144"/>
        <v>-7.7831728503952036E-4</v>
      </c>
      <c r="I1179">
        <f t="shared" si="145"/>
        <v>155.41165506876547</v>
      </c>
      <c r="J1179">
        <f t="shared" si="140"/>
        <v>664.86542479020716</v>
      </c>
      <c r="K1179" s="27">
        <f t="shared" si="141"/>
        <v>-344.0512285293965</v>
      </c>
    </row>
    <row r="1180" spans="1:11">
      <c r="A1180" s="26">
        <v>1130</v>
      </c>
      <c r="B1180" s="82">
        <f t="shared" si="142"/>
        <v>0</v>
      </c>
      <c r="C1180" s="58">
        <f t="shared" si="146"/>
        <v>156.29037528357509</v>
      </c>
      <c r="D1180" s="83">
        <f t="shared" si="143"/>
        <v>666.66666666666663</v>
      </c>
      <c r="E1180">
        <f t="shared" si="139"/>
        <v>0</v>
      </c>
      <c r="G1180">
        <v>1130</v>
      </c>
      <c r="H1180" s="13">
        <f t="shared" si="144"/>
        <v>-7.7831728503952036E-4</v>
      </c>
      <c r="I1180">
        <f t="shared" si="145"/>
        <v>155.41087675148043</v>
      </c>
      <c r="J1180">
        <f t="shared" si="140"/>
        <v>664.86380191043827</v>
      </c>
      <c r="K1180" s="27">
        <f t="shared" si="141"/>
        <v>-344.04954890416963</v>
      </c>
    </row>
    <row r="1181" spans="1:11">
      <c r="A1181" s="26">
        <v>1131</v>
      </c>
      <c r="B1181" s="82">
        <f t="shared" si="142"/>
        <v>0</v>
      </c>
      <c r="C1181" s="58">
        <f t="shared" si="146"/>
        <v>156.29037528357509</v>
      </c>
      <c r="D1181" s="83">
        <f t="shared" si="143"/>
        <v>666.66666666666663</v>
      </c>
      <c r="E1181">
        <f t="shared" si="139"/>
        <v>0</v>
      </c>
      <c r="G1181">
        <v>1131</v>
      </c>
      <c r="H1181" s="13">
        <f t="shared" si="144"/>
        <v>-7.7831728503952036E-4</v>
      </c>
      <c r="I1181">
        <f t="shared" si="145"/>
        <v>155.41009843419539</v>
      </c>
      <c r="J1181">
        <f t="shared" si="140"/>
        <v>664.86217898072482</v>
      </c>
      <c r="K1181" s="27">
        <f t="shared" si="141"/>
        <v>-344.04786923135072</v>
      </c>
    </row>
    <row r="1182" spans="1:11">
      <c r="A1182" s="26">
        <v>1132</v>
      </c>
      <c r="B1182" s="82">
        <f t="shared" si="142"/>
        <v>0</v>
      </c>
      <c r="C1182" s="58">
        <f t="shared" si="146"/>
        <v>156.29037528357509</v>
      </c>
      <c r="D1182" s="83">
        <f t="shared" si="143"/>
        <v>666.66666666666663</v>
      </c>
      <c r="E1182">
        <f t="shared" si="139"/>
        <v>0</v>
      </c>
      <c r="G1182">
        <v>1132</v>
      </c>
      <c r="H1182" s="13">
        <f t="shared" si="144"/>
        <v>-7.7831728503952036E-4</v>
      </c>
      <c r="I1182">
        <f t="shared" si="145"/>
        <v>155.40932011691035</v>
      </c>
      <c r="J1182">
        <f t="shared" si="140"/>
        <v>664.86055600106306</v>
      </c>
      <c r="K1182" s="27">
        <f t="shared" si="141"/>
        <v>-344.04618951093636</v>
      </c>
    </row>
    <row r="1183" spans="1:11">
      <c r="A1183" s="26">
        <v>1133</v>
      </c>
      <c r="B1183" s="82">
        <f t="shared" si="142"/>
        <v>0</v>
      </c>
      <c r="C1183" s="58">
        <f t="shared" si="146"/>
        <v>156.29037528357509</v>
      </c>
      <c r="D1183" s="83">
        <f t="shared" si="143"/>
        <v>666.66666666666663</v>
      </c>
      <c r="E1183">
        <f t="shared" si="139"/>
        <v>0</v>
      </c>
      <c r="G1183">
        <v>1133</v>
      </c>
      <c r="H1183" s="13">
        <f t="shared" si="144"/>
        <v>-7.7831728503952036E-4</v>
      </c>
      <c r="I1183">
        <f t="shared" si="145"/>
        <v>155.40854179962531</v>
      </c>
      <c r="J1183">
        <f t="shared" si="140"/>
        <v>664.85893297144912</v>
      </c>
      <c r="K1183" s="27">
        <f t="shared" si="141"/>
        <v>-344.04450974292291</v>
      </c>
    </row>
    <row r="1184" spans="1:11">
      <c r="A1184" s="26">
        <v>1134</v>
      </c>
      <c r="B1184" s="82">
        <f t="shared" si="142"/>
        <v>0</v>
      </c>
      <c r="C1184" s="58">
        <f t="shared" si="146"/>
        <v>156.29037528357509</v>
      </c>
      <c r="D1184" s="83">
        <f t="shared" si="143"/>
        <v>666.66666666666663</v>
      </c>
      <c r="E1184">
        <f t="shared" si="139"/>
        <v>0</v>
      </c>
      <c r="G1184">
        <v>1134</v>
      </c>
      <c r="H1184" s="13">
        <f t="shared" si="144"/>
        <v>-7.7831728503952036E-4</v>
      </c>
      <c r="I1184">
        <f t="shared" si="145"/>
        <v>155.40776348234027</v>
      </c>
      <c r="J1184">
        <f t="shared" si="140"/>
        <v>664.85730989187925</v>
      </c>
      <c r="K1184" s="27">
        <f t="shared" si="141"/>
        <v>-344.04282992730691</v>
      </c>
    </row>
    <row r="1185" spans="1:11">
      <c r="A1185" s="26">
        <v>1135</v>
      </c>
      <c r="B1185" s="82">
        <f t="shared" si="142"/>
        <v>0</v>
      </c>
      <c r="C1185" s="58">
        <f t="shared" si="146"/>
        <v>156.29037528357509</v>
      </c>
      <c r="D1185" s="83">
        <f t="shared" si="143"/>
        <v>666.66666666666663</v>
      </c>
      <c r="E1185">
        <f t="shared" si="139"/>
        <v>0</v>
      </c>
      <c r="G1185">
        <v>1135</v>
      </c>
      <c r="H1185" s="13">
        <f t="shared" si="144"/>
        <v>-7.7831728503952036E-4</v>
      </c>
      <c r="I1185">
        <f t="shared" si="145"/>
        <v>155.40698516505523</v>
      </c>
      <c r="J1185">
        <f t="shared" si="140"/>
        <v>664.85568676234993</v>
      </c>
      <c r="K1185" s="27">
        <f t="shared" si="141"/>
        <v>-344.041150064085</v>
      </c>
    </row>
    <row r="1186" spans="1:11">
      <c r="A1186" s="26">
        <v>1136</v>
      </c>
      <c r="B1186" s="82">
        <f t="shared" si="142"/>
        <v>0</v>
      </c>
      <c r="C1186" s="58">
        <f t="shared" si="146"/>
        <v>156.29037528357509</v>
      </c>
      <c r="D1186" s="83">
        <f t="shared" si="143"/>
        <v>666.66666666666663</v>
      </c>
      <c r="E1186">
        <f t="shared" si="139"/>
        <v>0</v>
      </c>
      <c r="G1186">
        <v>1136</v>
      </c>
      <c r="H1186" s="13">
        <f t="shared" si="144"/>
        <v>-7.7831728503952036E-4</v>
      </c>
      <c r="I1186">
        <f t="shared" si="145"/>
        <v>155.40620684777019</v>
      </c>
      <c r="J1186">
        <f t="shared" si="140"/>
        <v>664.85406358285707</v>
      </c>
      <c r="K1186" s="27">
        <f t="shared" si="141"/>
        <v>-344.03947015325338</v>
      </c>
    </row>
    <row r="1187" spans="1:11">
      <c r="A1187" s="26">
        <v>1137</v>
      </c>
      <c r="B1187" s="82">
        <f t="shared" si="142"/>
        <v>0</v>
      </c>
      <c r="C1187" s="58">
        <f t="shared" si="146"/>
        <v>156.29037528357509</v>
      </c>
      <c r="D1187" s="83">
        <f t="shared" si="143"/>
        <v>666.66666666666663</v>
      </c>
      <c r="E1187">
        <f t="shared" si="139"/>
        <v>0</v>
      </c>
      <c r="G1187">
        <v>1137</v>
      </c>
      <c r="H1187" s="13">
        <f t="shared" si="144"/>
        <v>-7.7831728503952036E-4</v>
      </c>
      <c r="I1187">
        <f t="shared" si="145"/>
        <v>155.40542853048515</v>
      </c>
      <c r="J1187">
        <f t="shared" si="140"/>
        <v>664.85244035339724</v>
      </c>
      <c r="K1187" s="27">
        <f t="shared" si="141"/>
        <v>-344.03779019480879</v>
      </c>
    </row>
    <row r="1188" spans="1:11">
      <c r="A1188" s="26">
        <v>1138</v>
      </c>
      <c r="B1188" s="82">
        <f t="shared" si="142"/>
        <v>0</v>
      </c>
      <c r="C1188" s="58">
        <f t="shared" si="146"/>
        <v>156.29037528357509</v>
      </c>
      <c r="D1188" s="83">
        <f t="shared" si="143"/>
        <v>666.66666666666663</v>
      </c>
      <c r="E1188">
        <f t="shared" si="139"/>
        <v>0</v>
      </c>
      <c r="G1188">
        <v>1138</v>
      </c>
      <c r="H1188" s="13">
        <f t="shared" si="144"/>
        <v>-7.7831728503952036E-4</v>
      </c>
      <c r="I1188">
        <f t="shared" si="145"/>
        <v>155.40465021320011</v>
      </c>
      <c r="J1188">
        <f t="shared" si="140"/>
        <v>664.85081707396648</v>
      </c>
      <c r="K1188" s="27">
        <f t="shared" si="141"/>
        <v>-344.03611018874761</v>
      </c>
    </row>
    <row r="1189" spans="1:11">
      <c r="A1189" s="26">
        <v>1139</v>
      </c>
      <c r="B1189" s="82">
        <f t="shared" si="142"/>
        <v>0</v>
      </c>
      <c r="C1189" s="58">
        <f t="shared" si="146"/>
        <v>156.29037528357509</v>
      </c>
      <c r="D1189" s="83">
        <f t="shared" si="143"/>
        <v>666.66666666666663</v>
      </c>
      <c r="E1189">
        <f t="shared" si="139"/>
        <v>0</v>
      </c>
      <c r="G1189">
        <v>1139</v>
      </c>
      <c r="H1189" s="13">
        <f t="shared" si="144"/>
        <v>-7.7831728503952036E-4</v>
      </c>
      <c r="I1189">
        <f t="shared" si="145"/>
        <v>155.40387189591507</v>
      </c>
      <c r="J1189">
        <f t="shared" si="140"/>
        <v>664.84919374456103</v>
      </c>
      <c r="K1189" s="27">
        <f t="shared" si="141"/>
        <v>-344.03443013506626</v>
      </c>
    </row>
    <row r="1190" spans="1:11">
      <c r="A1190" s="26">
        <v>1140</v>
      </c>
      <c r="B1190" s="82">
        <f t="shared" si="142"/>
        <v>0</v>
      </c>
      <c r="C1190" s="58">
        <f t="shared" si="146"/>
        <v>156.29037528357509</v>
      </c>
      <c r="D1190" s="83">
        <f t="shared" si="143"/>
        <v>666.66666666666663</v>
      </c>
      <c r="E1190">
        <f t="shared" si="139"/>
        <v>0</v>
      </c>
      <c r="G1190">
        <v>1140</v>
      </c>
      <c r="H1190" s="13">
        <f t="shared" si="144"/>
        <v>-7.7831728503952036E-4</v>
      </c>
      <c r="I1190">
        <f t="shared" si="145"/>
        <v>155.40309357863003</v>
      </c>
      <c r="J1190">
        <f t="shared" si="140"/>
        <v>664.84757036517726</v>
      </c>
      <c r="K1190" s="27">
        <f t="shared" si="141"/>
        <v>-344.03275003376149</v>
      </c>
    </row>
    <row r="1191" spans="1:11">
      <c r="A1191" s="26">
        <v>1141</v>
      </c>
      <c r="B1191" s="82">
        <f t="shared" si="142"/>
        <v>0</v>
      </c>
      <c r="C1191" s="58">
        <f t="shared" si="146"/>
        <v>156.29037528357509</v>
      </c>
      <c r="D1191" s="83">
        <f t="shared" si="143"/>
        <v>666.66666666666663</v>
      </c>
      <c r="E1191">
        <f t="shared" si="139"/>
        <v>0</v>
      </c>
      <c r="G1191">
        <v>1141</v>
      </c>
      <c r="H1191" s="13">
        <f t="shared" si="144"/>
        <v>-7.7831728503952036E-4</v>
      </c>
      <c r="I1191">
        <f t="shared" si="145"/>
        <v>155.402315261345</v>
      </c>
      <c r="J1191">
        <f t="shared" si="140"/>
        <v>664.84594693581141</v>
      </c>
      <c r="K1191" s="27">
        <f t="shared" si="141"/>
        <v>-344.03106988482961</v>
      </c>
    </row>
    <row r="1192" spans="1:11">
      <c r="A1192" s="26">
        <v>1142</v>
      </c>
      <c r="B1192" s="82">
        <f t="shared" si="142"/>
        <v>0</v>
      </c>
      <c r="C1192" s="58">
        <f t="shared" si="146"/>
        <v>156.29037528357509</v>
      </c>
      <c r="D1192" s="83">
        <f t="shared" si="143"/>
        <v>666.66666666666663</v>
      </c>
      <c r="E1192">
        <f t="shared" si="139"/>
        <v>0</v>
      </c>
      <c r="G1192">
        <v>1142</v>
      </c>
      <c r="H1192" s="13">
        <f t="shared" si="144"/>
        <v>-7.7831728503952036E-4</v>
      </c>
      <c r="I1192">
        <f t="shared" si="145"/>
        <v>155.40153694405996</v>
      </c>
      <c r="J1192">
        <f t="shared" si="140"/>
        <v>664.84432345645973</v>
      </c>
      <c r="K1192" s="27">
        <f t="shared" si="141"/>
        <v>-344.0293896882672</v>
      </c>
    </row>
    <row r="1193" spans="1:11">
      <c r="A1193" s="26">
        <v>1143</v>
      </c>
      <c r="B1193" s="82">
        <f t="shared" si="142"/>
        <v>0</v>
      </c>
      <c r="C1193" s="58">
        <f t="shared" si="146"/>
        <v>156.29037528357509</v>
      </c>
      <c r="D1193" s="83">
        <f t="shared" si="143"/>
        <v>666.66666666666663</v>
      </c>
      <c r="E1193">
        <f t="shared" si="139"/>
        <v>0</v>
      </c>
      <c r="G1193">
        <v>1143</v>
      </c>
      <c r="H1193" s="13">
        <f t="shared" si="144"/>
        <v>-7.7831728503952036E-4</v>
      </c>
      <c r="I1193">
        <f t="shared" si="145"/>
        <v>155.40075862677492</v>
      </c>
      <c r="J1193">
        <f t="shared" si="140"/>
        <v>664.84269992711825</v>
      </c>
      <c r="K1193" s="27">
        <f t="shared" si="141"/>
        <v>-344.02770944407058</v>
      </c>
    </row>
    <row r="1194" spans="1:11">
      <c r="A1194" s="26">
        <v>1144</v>
      </c>
      <c r="B1194" s="82">
        <f t="shared" si="142"/>
        <v>0</v>
      </c>
      <c r="C1194" s="58">
        <f t="shared" si="146"/>
        <v>156.29037528357509</v>
      </c>
      <c r="D1194" s="83">
        <f t="shared" si="143"/>
        <v>666.66666666666663</v>
      </c>
      <c r="E1194">
        <f t="shared" si="139"/>
        <v>0</v>
      </c>
      <c r="G1194">
        <v>1144</v>
      </c>
      <c r="H1194" s="13">
        <f t="shared" si="144"/>
        <v>-7.7831728503952036E-4</v>
      </c>
      <c r="I1194">
        <f t="shared" si="145"/>
        <v>155.39998030948988</v>
      </c>
      <c r="J1194">
        <f t="shared" si="140"/>
        <v>664.84107634778343</v>
      </c>
      <c r="K1194" s="27">
        <f t="shared" si="141"/>
        <v>-344.0260291522365</v>
      </c>
    </row>
    <row r="1195" spans="1:11">
      <c r="A1195" s="26">
        <v>1145</v>
      </c>
      <c r="B1195" s="82">
        <f t="shared" si="142"/>
        <v>0</v>
      </c>
      <c r="C1195" s="58">
        <f t="shared" si="146"/>
        <v>156.29037528357509</v>
      </c>
      <c r="D1195" s="83">
        <f t="shared" si="143"/>
        <v>666.66666666666663</v>
      </c>
      <c r="E1195">
        <f t="shared" si="139"/>
        <v>0</v>
      </c>
      <c r="G1195">
        <v>1145</v>
      </c>
      <c r="H1195" s="13">
        <f t="shared" si="144"/>
        <v>-7.7831728503952036E-4</v>
      </c>
      <c r="I1195">
        <f t="shared" si="145"/>
        <v>155.39920199220484</v>
      </c>
      <c r="J1195">
        <f t="shared" si="140"/>
        <v>664.83945271845153</v>
      </c>
      <c r="K1195" s="27">
        <f t="shared" si="141"/>
        <v>-344.02434881276122</v>
      </c>
    </row>
    <row r="1196" spans="1:11">
      <c r="A1196" s="26">
        <v>1146</v>
      </c>
      <c r="B1196" s="82">
        <f t="shared" si="142"/>
        <v>0</v>
      </c>
      <c r="C1196" s="58">
        <f t="shared" si="146"/>
        <v>156.29037528357509</v>
      </c>
      <c r="D1196" s="83">
        <f t="shared" si="143"/>
        <v>666.66666666666663</v>
      </c>
      <c r="E1196">
        <f t="shared" si="139"/>
        <v>0</v>
      </c>
      <c r="G1196">
        <v>1146</v>
      </c>
      <c r="H1196" s="13">
        <f t="shared" si="144"/>
        <v>-7.7831728503952036E-4</v>
      </c>
      <c r="I1196">
        <f t="shared" si="145"/>
        <v>155.3984236749198</v>
      </c>
      <c r="J1196">
        <f t="shared" si="140"/>
        <v>664.83782903911867</v>
      </c>
      <c r="K1196" s="27">
        <f t="shared" si="141"/>
        <v>-344.02266842564137</v>
      </c>
    </row>
    <row r="1197" spans="1:11">
      <c r="A1197" s="26">
        <v>1147</v>
      </c>
      <c r="B1197" s="82">
        <f t="shared" si="142"/>
        <v>0</v>
      </c>
      <c r="C1197" s="58">
        <f t="shared" si="146"/>
        <v>156.29037528357509</v>
      </c>
      <c r="D1197" s="83">
        <f t="shared" si="143"/>
        <v>666.66666666666663</v>
      </c>
      <c r="E1197">
        <f t="shared" si="139"/>
        <v>0</v>
      </c>
      <c r="G1197">
        <v>1147</v>
      </c>
      <c r="H1197" s="13">
        <f t="shared" si="144"/>
        <v>-7.7831728503952036E-4</v>
      </c>
      <c r="I1197">
        <f t="shared" si="145"/>
        <v>155.39764535763476</v>
      </c>
      <c r="J1197">
        <f t="shared" si="140"/>
        <v>664.83620530978123</v>
      </c>
      <c r="K1197" s="27">
        <f t="shared" si="141"/>
        <v>-344.02098799087349</v>
      </c>
    </row>
    <row r="1198" spans="1:11">
      <c r="A1198" s="26">
        <v>1148</v>
      </c>
      <c r="B1198" s="82">
        <f t="shared" si="142"/>
        <v>0</v>
      </c>
      <c r="C1198" s="58">
        <f t="shared" si="146"/>
        <v>156.29037528357509</v>
      </c>
      <c r="D1198" s="83">
        <f t="shared" si="143"/>
        <v>666.66666666666663</v>
      </c>
      <c r="E1198">
        <f t="shared" si="139"/>
        <v>0</v>
      </c>
      <c r="G1198">
        <v>1148</v>
      </c>
      <c r="H1198" s="13">
        <f t="shared" si="144"/>
        <v>-7.7831728503952036E-4</v>
      </c>
      <c r="I1198">
        <f t="shared" si="145"/>
        <v>155.39686704034972</v>
      </c>
      <c r="J1198">
        <f t="shared" si="140"/>
        <v>664.83458153043523</v>
      </c>
      <c r="K1198" s="27">
        <f t="shared" si="141"/>
        <v>-344.01930750845378</v>
      </c>
    </row>
    <row r="1199" spans="1:11">
      <c r="A1199" s="26">
        <v>1149</v>
      </c>
      <c r="B1199" s="82">
        <f t="shared" si="142"/>
        <v>0</v>
      </c>
      <c r="C1199" s="58">
        <f t="shared" si="146"/>
        <v>156.29037528357509</v>
      </c>
      <c r="D1199" s="83">
        <f t="shared" si="143"/>
        <v>666.66666666666663</v>
      </c>
      <c r="E1199">
        <f t="shared" si="139"/>
        <v>0</v>
      </c>
      <c r="G1199">
        <v>1149</v>
      </c>
      <c r="H1199" s="13">
        <f t="shared" si="144"/>
        <v>-7.7831728503952036E-4</v>
      </c>
      <c r="I1199">
        <f t="shared" si="145"/>
        <v>155.39608872306468</v>
      </c>
      <c r="J1199">
        <f t="shared" si="140"/>
        <v>664.83295770107713</v>
      </c>
      <c r="K1199" s="27">
        <f t="shared" si="141"/>
        <v>-344.01762697837904</v>
      </c>
    </row>
    <row r="1200" spans="1:11">
      <c r="A1200" s="26">
        <v>1150</v>
      </c>
      <c r="B1200" s="82">
        <f t="shared" si="142"/>
        <v>0</v>
      </c>
      <c r="C1200" s="58">
        <f t="shared" si="146"/>
        <v>156.29037528357509</v>
      </c>
      <c r="D1200" s="83">
        <f t="shared" si="143"/>
        <v>666.66666666666663</v>
      </c>
      <c r="E1200">
        <f t="shared" si="139"/>
        <v>0</v>
      </c>
      <c r="G1200">
        <v>1150</v>
      </c>
      <c r="H1200" s="13">
        <f t="shared" si="144"/>
        <v>-7.7831728503952036E-4</v>
      </c>
      <c r="I1200">
        <f t="shared" si="145"/>
        <v>155.39531040577964</v>
      </c>
      <c r="J1200">
        <f t="shared" si="140"/>
        <v>664.83133382170308</v>
      </c>
      <c r="K1200" s="27">
        <f t="shared" si="141"/>
        <v>-344.01594640064576</v>
      </c>
    </row>
    <row r="1201" spans="1:11">
      <c r="A1201" s="26">
        <v>1151</v>
      </c>
      <c r="B1201" s="82">
        <f t="shared" si="142"/>
        <v>0</v>
      </c>
      <c r="C1201" s="58">
        <f t="shared" si="146"/>
        <v>156.29037528357509</v>
      </c>
      <c r="D1201" s="83">
        <f t="shared" si="143"/>
        <v>666.66666666666663</v>
      </c>
      <c r="E1201">
        <f t="shared" si="139"/>
        <v>0</v>
      </c>
      <c r="G1201">
        <v>1151</v>
      </c>
      <c r="H1201" s="13">
        <f t="shared" si="144"/>
        <v>-7.7831728503952036E-4</v>
      </c>
      <c r="I1201">
        <f t="shared" si="145"/>
        <v>155.3945320884946</v>
      </c>
      <c r="J1201">
        <f t="shared" si="140"/>
        <v>664.82970989230944</v>
      </c>
      <c r="K1201" s="27">
        <f t="shared" si="141"/>
        <v>-344.01426577525012</v>
      </c>
    </row>
    <row r="1202" spans="1:11">
      <c r="A1202" s="26">
        <v>1152</v>
      </c>
      <c r="B1202" s="82">
        <f t="shared" si="142"/>
        <v>0</v>
      </c>
      <c r="C1202" s="58">
        <f t="shared" si="146"/>
        <v>156.29037528357509</v>
      </c>
      <c r="D1202" s="83">
        <f t="shared" si="143"/>
        <v>666.66666666666663</v>
      </c>
      <c r="E1202">
        <f t="shared" si="139"/>
        <v>0</v>
      </c>
      <c r="G1202">
        <v>1152</v>
      </c>
      <c r="H1202" s="13">
        <f t="shared" si="144"/>
        <v>-7.7831728503952036E-4</v>
      </c>
      <c r="I1202">
        <f t="shared" si="145"/>
        <v>155.39375377120956</v>
      </c>
      <c r="J1202">
        <f t="shared" si="140"/>
        <v>664.82808591289222</v>
      </c>
      <c r="K1202" s="27">
        <f t="shared" si="141"/>
        <v>-344.01258510218901</v>
      </c>
    </row>
    <row r="1203" spans="1:11">
      <c r="A1203" s="26">
        <v>1153</v>
      </c>
      <c r="B1203" s="82">
        <f t="shared" si="142"/>
        <v>0</v>
      </c>
      <c r="C1203" s="58">
        <f t="shared" si="146"/>
        <v>156.29037528357509</v>
      </c>
      <c r="D1203" s="83">
        <f t="shared" si="143"/>
        <v>666.66666666666663</v>
      </c>
      <c r="E1203">
        <f t="shared" ref="E1203:E1266" si="147">((D1203^2)+(D1203*D1204)+(D1204^2))*B1204/3</f>
        <v>0</v>
      </c>
      <c r="G1203">
        <v>1153</v>
      </c>
      <c r="H1203" s="13">
        <f t="shared" si="144"/>
        <v>-7.7831728503952036E-4</v>
      </c>
      <c r="I1203">
        <f t="shared" si="145"/>
        <v>155.39297545392452</v>
      </c>
      <c r="J1203">
        <f t="shared" ref="J1203:J1266" si="148">IF($G$28&lt;$C$14,0,((($C$11^2)-((I1203-$C$13)^2))^0.5)+$C$16)</f>
        <v>664.82646188344791</v>
      </c>
      <c r="K1203" s="27">
        <f t="shared" ref="K1203:K1266" si="149">((J1203^2)+(J1203*J1204)+(J1204^2))*H1204/3</f>
        <v>-344.0109043814586</v>
      </c>
    </row>
    <row r="1204" spans="1:11">
      <c r="A1204" s="26">
        <v>1154</v>
      </c>
      <c r="B1204" s="82">
        <f t="shared" ref="B1204:B1267" si="150">C1204-C1203</f>
        <v>0</v>
      </c>
      <c r="C1204" s="58">
        <f t="shared" si="146"/>
        <v>156.29037528357509</v>
      </c>
      <c r="D1204" s="83">
        <f t="shared" ref="D1204:D1267" si="151">IF($G$28&lt;$C$14,0,((($C$11^2)-((C1204-$C$13)^2))^0.5)+$C$16)</f>
        <v>666.66666666666663</v>
      </c>
      <c r="E1204">
        <f t="shared" si="147"/>
        <v>0</v>
      </c>
      <c r="G1204">
        <v>1154</v>
      </c>
      <c r="H1204" s="13">
        <f t="shared" ref="H1204:H1267" si="152">I1204-I1203</f>
        <v>-7.7831728503952036E-4</v>
      </c>
      <c r="I1204">
        <f t="shared" ref="I1204:I1267" si="153">($G$27-$C$14)/2000+I1203</f>
        <v>155.39219713663948</v>
      </c>
      <c r="J1204">
        <f t="shared" si="148"/>
        <v>664.82483780397251</v>
      </c>
      <c r="K1204" s="27">
        <f t="shared" si="149"/>
        <v>-344.00922361305555</v>
      </c>
    </row>
    <row r="1205" spans="1:11">
      <c r="A1205" s="26">
        <v>1155</v>
      </c>
      <c r="B1205" s="82">
        <f t="shared" si="150"/>
        <v>0</v>
      </c>
      <c r="C1205" s="58">
        <f t="shared" si="146"/>
        <v>156.29037528357509</v>
      </c>
      <c r="D1205" s="83">
        <f t="shared" si="151"/>
        <v>666.66666666666663</v>
      </c>
      <c r="E1205">
        <f t="shared" si="147"/>
        <v>0</v>
      </c>
      <c r="G1205">
        <v>1155</v>
      </c>
      <c r="H1205" s="13">
        <f t="shared" si="152"/>
        <v>-7.7831728503952036E-4</v>
      </c>
      <c r="I1205">
        <f t="shared" si="153"/>
        <v>155.39141881935444</v>
      </c>
      <c r="J1205">
        <f t="shared" si="148"/>
        <v>664.82321367446252</v>
      </c>
      <c r="K1205" s="27">
        <f t="shared" si="149"/>
        <v>-344.00754279697634</v>
      </c>
    </row>
    <row r="1206" spans="1:11">
      <c r="A1206" s="26">
        <v>1156</v>
      </c>
      <c r="B1206" s="82">
        <f t="shared" si="150"/>
        <v>0</v>
      </c>
      <c r="C1206" s="58">
        <f t="shared" si="146"/>
        <v>156.29037528357509</v>
      </c>
      <c r="D1206" s="83">
        <f t="shared" si="151"/>
        <v>666.66666666666663</v>
      </c>
      <c r="E1206">
        <f t="shared" si="147"/>
        <v>0</v>
      </c>
      <c r="G1206">
        <v>1156</v>
      </c>
      <c r="H1206" s="13">
        <f t="shared" si="152"/>
        <v>-7.7831728503952036E-4</v>
      </c>
      <c r="I1206">
        <f t="shared" si="153"/>
        <v>155.3906405020694</v>
      </c>
      <c r="J1206">
        <f t="shared" si="148"/>
        <v>664.82158949491395</v>
      </c>
      <c r="K1206" s="27">
        <f t="shared" si="149"/>
        <v>-344.00586193321732</v>
      </c>
    </row>
    <row r="1207" spans="1:11">
      <c r="A1207" s="26">
        <v>1157</v>
      </c>
      <c r="B1207" s="82">
        <f t="shared" si="150"/>
        <v>0</v>
      </c>
      <c r="C1207" s="58">
        <f t="shared" si="146"/>
        <v>156.29037528357509</v>
      </c>
      <c r="D1207" s="83">
        <f t="shared" si="151"/>
        <v>666.66666666666663</v>
      </c>
      <c r="E1207">
        <f t="shared" si="147"/>
        <v>0</v>
      </c>
      <c r="G1207">
        <v>1157</v>
      </c>
      <c r="H1207" s="13">
        <f t="shared" si="152"/>
        <v>-7.7831728503952036E-4</v>
      </c>
      <c r="I1207">
        <f t="shared" si="153"/>
        <v>155.38986218478436</v>
      </c>
      <c r="J1207">
        <f t="shared" si="148"/>
        <v>664.81996526532305</v>
      </c>
      <c r="K1207" s="27">
        <f t="shared" si="149"/>
        <v>-344.00418102177508</v>
      </c>
    </row>
    <row r="1208" spans="1:11">
      <c r="A1208" s="26">
        <v>1158</v>
      </c>
      <c r="B1208" s="82">
        <f t="shared" si="150"/>
        <v>0</v>
      </c>
      <c r="C1208" s="58">
        <f t="shared" si="146"/>
        <v>156.29037528357509</v>
      </c>
      <c r="D1208" s="83">
        <f t="shared" si="151"/>
        <v>666.66666666666663</v>
      </c>
      <c r="E1208">
        <f t="shared" si="147"/>
        <v>0</v>
      </c>
      <c r="G1208">
        <v>1158</v>
      </c>
      <c r="H1208" s="13">
        <f t="shared" si="152"/>
        <v>-7.7831728503952036E-4</v>
      </c>
      <c r="I1208">
        <f t="shared" si="153"/>
        <v>155.38908386749932</v>
      </c>
      <c r="J1208">
        <f t="shared" si="148"/>
        <v>664.81834098568629</v>
      </c>
      <c r="K1208" s="27">
        <f t="shared" si="149"/>
        <v>-344.00250006264611</v>
      </c>
    </row>
    <row r="1209" spans="1:11">
      <c r="A1209" s="26">
        <v>1159</v>
      </c>
      <c r="B1209" s="82">
        <f t="shared" si="150"/>
        <v>0</v>
      </c>
      <c r="C1209" s="58">
        <f t="shared" si="146"/>
        <v>156.29037528357509</v>
      </c>
      <c r="D1209" s="83">
        <f t="shared" si="151"/>
        <v>666.66666666666663</v>
      </c>
      <c r="E1209">
        <f t="shared" si="147"/>
        <v>0</v>
      </c>
      <c r="G1209">
        <v>1159</v>
      </c>
      <c r="H1209" s="13">
        <f t="shared" si="152"/>
        <v>-7.7831728503952036E-4</v>
      </c>
      <c r="I1209">
        <f t="shared" si="153"/>
        <v>155.38830555021428</v>
      </c>
      <c r="J1209">
        <f t="shared" si="148"/>
        <v>664.8167166559997</v>
      </c>
      <c r="K1209" s="27">
        <f t="shared" si="149"/>
        <v>-344.00081905582687</v>
      </c>
    </row>
    <row r="1210" spans="1:11">
      <c r="A1210" s="26">
        <v>1160</v>
      </c>
      <c r="B1210" s="82">
        <f t="shared" si="150"/>
        <v>0</v>
      </c>
      <c r="C1210" s="58">
        <f t="shared" si="146"/>
        <v>156.29037528357509</v>
      </c>
      <c r="D1210" s="83">
        <f t="shared" si="151"/>
        <v>666.66666666666663</v>
      </c>
      <c r="E1210">
        <f t="shared" si="147"/>
        <v>0</v>
      </c>
      <c r="G1210">
        <v>1160</v>
      </c>
      <c r="H1210" s="13">
        <f t="shared" si="152"/>
        <v>-7.7831728503952036E-4</v>
      </c>
      <c r="I1210">
        <f t="shared" si="153"/>
        <v>155.38752723292924</v>
      </c>
      <c r="J1210">
        <f t="shared" si="148"/>
        <v>664.81509227625952</v>
      </c>
      <c r="K1210" s="27">
        <f t="shared" si="149"/>
        <v>-343.9991380013139</v>
      </c>
    </row>
    <row r="1211" spans="1:11">
      <c r="A1211" s="26">
        <v>1161</v>
      </c>
      <c r="B1211" s="82">
        <f t="shared" si="150"/>
        <v>0</v>
      </c>
      <c r="C1211" s="58">
        <f t="shared" si="146"/>
        <v>156.29037528357509</v>
      </c>
      <c r="D1211" s="83">
        <f t="shared" si="151"/>
        <v>666.66666666666663</v>
      </c>
      <c r="E1211">
        <f t="shared" si="147"/>
        <v>0</v>
      </c>
      <c r="G1211">
        <v>1161</v>
      </c>
      <c r="H1211" s="13">
        <f t="shared" si="152"/>
        <v>-7.7831728503952036E-4</v>
      </c>
      <c r="I1211">
        <f t="shared" si="153"/>
        <v>155.3867489156442</v>
      </c>
      <c r="J1211">
        <f t="shared" si="148"/>
        <v>664.81346784646212</v>
      </c>
      <c r="K1211" s="27">
        <f t="shared" si="149"/>
        <v>-343.99745689910355</v>
      </c>
    </row>
    <row r="1212" spans="1:11">
      <c r="A1212" s="26">
        <v>1162</v>
      </c>
      <c r="B1212" s="82">
        <f t="shared" si="150"/>
        <v>0</v>
      </c>
      <c r="C1212" s="58">
        <f t="shared" si="146"/>
        <v>156.29037528357509</v>
      </c>
      <c r="D1212" s="83">
        <f t="shared" si="151"/>
        <v>666.66666666666663</v>
      </c>
      <c r="E1212">
        <f t="shared" si="147"/>
        <v>0</v>
      </c>
      <c r="G1212">
        <v>1162</v>
      </c>
      <c r="H1212" s="13">
        <f t="shared" si="152"/>
        <v>-7.7831728503952036E-4</v>
      </c>
      <c r="I1212">
        <f t="shared" si="153"/>
        <v>155.38597059835917</v>
      </c>
      <c r="J1212">
        <f t="shared" si="148"/>
        <v>664.81184336660363</v>
      </c>
      <c r="K1212" s="27">
        <f t="shared" si="149"/>
        <v>-343.99577574919249</v>
      </c>
    </row>
    <row r="1213" spans="1:11">
      <c r="A1213" s="26">
        <v>1163</v>
      </c>
      <c r="B1213" s="82">
        <f t="shared" si="150"/>
        <v>0</v>
      </c>
      <c r="C1213" s="58">
        <f t="shared" si="146"/>
        <v>156.29037528357509</v>
      </c>
      <c r="D1213" s="83">
        <f t="shared" si="151"/>
        <v>666.66666666666663</v>
      </c>
      <c r="E1213">
        <f t="shared" si="147"/>
        <v>0</v>
      </c>
      <c r="G1213">
        <v>1163</v>
      </c>
      <c r="H1213" s="13">
        <f t="shared" si="152"/>
        <v>-7.7831728503952036E-4</v>
      </c>
      <c r="I1213">
        <f t="shared" si="153"/>
        <v>155.38519228107413</v>
      </c>
      <c r="J1213">
        <f t="shared" si="148"/>
        <v>664.81021883668018</v>
      </c>
      <c r="K1213" s="27">
        <f t="shared" si="149"/>
        <v>-343.99409455157701</v>
      </c>
    </row>
    <row r="1214" spans="1:11">
      <c r="A1214" s="26">
        <v>1164</v>
      </c>
      <c r="B1214" s="82">
        <f t="shared" si="150"/>
        <v>0</v>
      </c>
      <c r="C1214" s="58">
        <f t="shared" si="146"/>
        <v>156.29037528357509</v>
      </c>
      <c r="D1214" s="83">
        <f t="shared" si="151"/>
        <v>666.66666666666663</v>
      </c>
      <c r="E1214">
        <f t="shared" si="147"/>
        <v>0</v>
      </c>
      <c r="G1214">
        <v>1164</v>
      </c>
      <c r="H1214" s="13">
        <f t="shared" si="152"/>
        <v>-7.7831728503952036E-4</v>
      </c>
      <c r="I1214">
        <f t="shared" si="153"/>
        <v>155.38441396378909</v>
      </c>
      <c r="J1214">
        <f t="shared" si="148"/>
        <v>664.80859425668825</v>
      </c>
      <c r="K1214" s="27">
        <f t="shared" si="149"/>
        <v>-343.9924133062537</v>
      </c>
    </row>
    <row r="1215" spans="1:11">
      <c r="A1215" s="26">
        <v>1165</v>
      </c>
      <c r="B1215" s="82">
        <f t="shared" si="150"/>
        <v>0</v>
      </c>
      <c r="C1215" s="58">
        <f t="shared" si="146"/>
        <v>156.29037528357509</v>
      </c>
      <c r="D1215" s="83">
        <f t="shared" si="151"/>
        <v>666.66666666666663</v>
      </c>
      <c r="E1215">
        <f t="shared" si="147"/>
        <v>0</v>
      </c>
      <c r="G1215">
        <v>1165</v>
      </c>
      <c r="H1215" s="13">
        <f t="shared" si="152"/>
        <v>-7.7831728503952036E-4</v>
      </c>
      <c r="I1215">
        <f t="shared" si="153"/>
        <v>155.38363564650405</v>
      </c>
      <c r="J1215">
        <f t="shared" si="148"/>
        <v>664.80696962662398</v>
      </c>
      <c r="K1215" s="27">
        <f t="shared" si="149"/>
        <v>-343.99073201321909</v>
      </c>
    </row>
    <row r="1216" spans="1:11">
      <c r="A1216" s="26">
        <v>1166</v>
      </c>
      <c r="B1216" s="82">
        <f t="shared" si="150"/>
        <v>0</v>
      </c>
      <c r="C1216" s="58">
        <f t="shared" si="146"/>
        <v>156.29037528357509</v>
      </c>
      <c r="D1216" s="83">
        <f t="shared" si="151"/>
        <v>666.66666666666663</v>
      </c>
      <c r="E1216">
        <f t="shared" si="147"/>
        <v>0</v>
      </c>
      <c r="G1216">
        <v>1166</v>
      </c>
      <c r="H1216" s="13">
        <f t="shared" si="152"/>
        <v>-7.7831728503952036E-4</v>
      </c>
      <c r="I1216">
        <f t="shared" si="153"/>
        <v>155.38285732921901</v>
      </c>
      <c r="J1216">
        <f t="shared" si="148"/>
        <v>664.8053449464835</v>
      </c>
      <c r="K1216" s="27">
        <f t="shared" si="149"/>
        <v>-343.98905067246966</v>
      </c>
    </row>
    <row r="1217" spans="1:11">
      <c r="A1217" s="26">
        <v>1167</v>
      </c>
      <c r="B1217" s="82">
        <f t="shared" si="150"/>
        <v>0</v>
      </c>
      <c r="C1217" s="58">
        <f t="shared" si="146"/>
        <v>156.29037528357509</v>
      </c>
      <c r="D1217" s="83">
        <f t="shared" si="151"/>
        <v>666.66666666666663</v>
      </c>
      <c r="E1217">
        <f t="shared" si="147"/>
        <v>0</v>
      </c>
      <c r="G1217">
        <v>1167</v>
      </c>
      <c r="H1217" s="13">
        <f t="shared" si="152"/>
        <v>-7.7831728503952036E-4</v>
      </c>
      <c r="I1217">
        <f t="shared" si="153"/>
        <v>155.38207901193397</v>
      </c>
      <c r="J1217">
        <f t="shared" si="148"/>
        <v>664.80372021626329</v>
      </c>
      <c r="K1217" s="27">
        <f t="shared" si="149"/>
        <v>-343.98736928400177</v>
      </c>
    </row>
    <row r="1218" spans="1:11">
      <c r="A1218" s="26">
        <v>1168</v>
      </c>
      <c r="B1218" s="82">
        <f t="shared" si="150"/>
        <v>0</v>
      </c>
      <c r="C1218" s="58">
        <f t="shared" si="146"/>
        <v>156.29037528357509</v>
      </c>
      <c r="D1218" s="83">
        <f t="shared" si="151"/>
        <v>666.66666666666663</v>
      </c>
      <c r="E1218">
        <f t="shared" si="147"/>
        <v>0</v>
      </c>
      <c r="G1218">
        <v>1168</v>
      </c>
      <c r="H1218" s="13">
        <f t="shared" si="152"/>
        <v>-7.7831728503952036E-4</v>
      </c>
      <c r="I1218">
        <f t="shared" si="153"/>
        <v>155.38130069464893</v>
      </c>
      <c r="J1218">
        <f t="shared" si="148"/>
        <v>664.80209543595925</v>
      </c>
      <c r="K1218" s="27">
        <f t="shared" si="149"/>
        <v>-343.98568784781202</v>
      </c>
    </row>
    <row r="1219" spans="1:11">
      <c r="A1219" s="26">
        <v>1169</v>
      </c>
      <c r="B1219" s="82">
        <f t="shared" si="150"/>
        <v>0</v>
      </c>
      <c r="C1219" s="58">
        <f t="shared" si="146"/>
        <v>156.29037528357509</v>
      </c>
      <c r="D1219" s="83">
        <f t="shared" si="151"/>
        <v>666.66666666666663</v>
      </c>
      <c r="E1219">
        <f t="shared" si="147"/>
        <v>0</v>
      </c>
      <c r="G1219">
        <v>1169</v>
      </c>
      <c r="H1219" s="13">
        <f t="shared" si="152"/>
        <v>-7.7831728503952036E-4</v>
      </c>
      <c r="I1219">
        <f t="shared" si="153"/>
        <v>155.38052237736389</v>
      </c>
      <c r="J1219">
        <f t="shared" si="148"/>
        <v>664.80047060556785</v>
      </c>
      <c r="K1219" s="27">
        <f t="shared" si="149"/>
        <v>-343.98400636389687</v>
      </c>
    </row>
    <row r="1220" spans="1:11">
      <c r="A1220" s="26">
        <v>1170</v>
      </c>
      <c r="B1220" s="82">
        <f t="shared" si="150"/>
        <v>0</v>
      </c>
      <c r="C1220" s="58">
        <f t="shared" si="146"/>
        <v>156.29037528357509</v>
      </c>
      <c r="D1220" s="83">
        <f t="shared" si="151"/>
        <v>666.66666666666663</v>
      </c>
      <c r="E1220">
        <f t="shared" si="147"/>
        <v>0</v>
      </c>
      <c r="G1220">
        <v>1170</v>
      </c>
      <c r="H1220" s="13">
        <f t="shared" si="152"/>
        <v>-7.7831728503952036E-4</v>
      </c>
      <c r="I1220">
        <f t="shared" si="153"/>
        <v>155.37974406007885</v>
      </c>
      <c r="J1220">
        <f t="shared" si="148"/>
        <v>664.79884572508524</v>
      </c>
      <c r="K1220" s="27">
        <f t="shared" si="149"/>
        <v>-343.98232483225269</v>
      </c>
    </row>
    <row r="1221" spans="1:11">
      <c r="A1221" s="26">
        <v>1171</v>
      </c>
      <c r="B1221" s="82">
        <f t="shared" si="150"/>
        <v>0</v>
      </c>
      <c r="C1221" s="58">
        <f t="shared" si="146"/>
        <v>156.29037528357509</v>
      </c>
      <c r="D1221" s="83">
        <f t="shared" si="151"/>
        <v>666.66666666666663</v>
      </c>
      <c r="E1221">
        <f t="shared" si="147"/>
        <v>0</v>
      </c>
      <c r="G1221">
        <v>1171</v>
      </c>
      <c r="H1221" s="13">
        <f t="shared" si="152"/>
        <v>-7.7831728503952036E-4</v>
      </c>
      <c r="I1221">
        <f t="shared" si="153"/>
        <v>155.37896574279381</v>
      </c>
      <c r="J1221">
        <f t="shared" si="148"/>
        <v>664.79722079450767</v>
      </c>
      <c r="K1221" s="27">
        <f t="shared" si="149"/>
        <v>-343.98064325287601</v>
      </c>
    </row>
    <row r="1222" spans="1:11">
      <c r="A1222" s="26">
        <v>1172</v>
      </c>
      <c r="B1222" s="82">
        <f t="shared" si="150"/>
        <v>0</v>
      </c>
      <c r="C1222" s="58">
        <f t="shared" si="146"/>
        <v>156.29037528357509</v>
      </c>
      <c r="D1222" s="83">
        <f t="shared" si="151"/>
        <v>666.66666666666663</v>
      </c>
      <c r="E1222">
        <f t="shared" si="147"/>
        <v>0</v>
      </c>
      <c r="G1222">
        <v>1172</v>
      </c>
      <c r="H1222" s="13">
        <f t="shared" si="152"/>
        <v>-7.7831728503952036E-4</v>
      </c>
      <c r="I1222">
        <f t="shared" si="153"/>
        <v>155.37818742550877</v>
      </c>
      <c r="J1222">
        <f t="shared" si="148"/>
        <v>664.79559581383137</v>
      </c>
      <c r="K1222" s="27">
        <f t="shared" si="149"/>
        <v>-343.97896162576347</v>
      </c>
    </row>
    <row r="1223" spans="1:11">
      <c r="A1223" s="26">
        <v>1173</v>
      </c>
      <c r="B1223" s="82">
        <f t="shared" si="150"/>
        <v>0</v>
      </c>
      <c r="C1223" s="58">
        <f t="shared" si="146"/>
        <v>156.29037528357509</v>
      </c>
      <c r="D1223" s="83">
        <f t="shared" si="151"/>
        <v>666.66666666666663</v>
      </c>
      <c r="E1223">
        <f t="shared" si="147"/>
        <v>0</v>
      </c>
      <c r="G1223">
        <v>1173</v>
      </c>
      <c r="H1223" s="13">
        <f t="shared" si="152"/>
        <v>-7.7831728503952036E-4</v>
      </c>
      <c r="I1223">
        <f t="shared" si="153"/>
        <v>155.37740910822373</v>
      </c>
      <c r="J1223">
        <f t="shared" si="148"/>
        <v>664.7939707830526</v>
      </c>
      <c r="K1223" s="27">
        <f t="shared" si="149"/>
        <v>-343.9772799509114</v>
      </c>
    </row>
    <row r="1224" spans="1:11">
      <c r="A1224" s="26">
        <v>1174</v>
      </c>
      <c r="B1224" s="82">
        <f t="shared" si="150"/>
        <v>0</v>
      </c>
      <c r="C1224" s="58">
        <f t="shared" si="146"/>
        <v>156.29037528357509</v>
      </c>
      <c r="D1224" s="83">
        <f t="shared" si="151"/>
        <v>666.66666666666663</v>
      </c>
      <c r="E1224">
        <f t="shared" si="147"/>
        <v>0</v>
      </c>
      <c r="G1224">
        <v>1174</v>
      </c>
      <c r="H1224" s="13">
        <f t="shared" si="152"/>
        <v>-7.7831728503952036E-4</v>
      </c>
      <c r="I1224">
        <f t="shared" si="153"/>
        <v>155.37663079093869</v>
      </c>
      <c r="J1224">
        <f t="shared" si="148"/>
        <v>664.79234570216761</v>
      </c>
      <c r="K1224" s="27">
        <f t="shared" si="149"/>
        <v>-343.97559822831619</v>
      </c>
    </row>
    <row r="1225" spans="1:11">
      <c r="A1225" s="26">
        <v>1175</v>
      </c>
      <c r="B1225" s="82">
        <f t="shared" si="150"/>
        <v>0</v>
      </c>
      <c r="C1225" s="58">
        <f t="shared" si="146"/>
        <v>156.29037528357509</v>
      </c>
      <c r="D1225" s="83">
        <f t="shared" si="151"/>
        <v>666.66666666666663</v>
      </c>
      <c r="E1225">
        <f t="shared" si="147"/>
        <v>0</v>
      </c>
      <c r="G1225">
        <v>1175</v>
      </c>
      <c r="H1225" s="13">
        <f t="shared" si="152"/>
        <v>-7.7831728503952036E-4</v>
      </c>
      <c r="I1225">
        <f t="shared" si="153"/>
        <v>155.37585247365365</v>
      </c>
      <c r="J1225">
        <f t="shared" si="148"/>
        <v>664.79072057117241</v>
      </c>
      <c r="K1225" s="27">
        <f t="shared" si="149"/>
        <v>-343.97391645797444</v>
      </c>
    </row>
    <row r="1226" spans="1:11">
      <c r="A1226" s="26">
        <v>1176</v>
      </c>
      <c r="B1226" s="82">
        <f t="shared" si="150"/>
        <v>0</v>
      </c>
      <c r="C1226" s="58">
        <f t="shared" si="146"/>
        <v>156.29037528357509</v>
      </c>
      <c r="D1226" s="83">
        <f t="shared" si="151"/>
        <v>666.66666666666663</v>
      </c>
      <c r="E1226">
        <f t="shared" si="147"/>
        <v>0</v>
      </c>
      <c r="G1226">
        <v>1176</v>
      </c>
      <c r="H1226" s="13">
        <f t="shared" si="152"/>
        <v>-7.7831728503952036E-4</v>
      </c>
      <c r="I1226">
        <f t="shared" si="153"/>
        <v>155.37507415636861</v>
      </c>
      <c r="J1226">
        <f t="shared" si="148"/>
        <v>664.78909539006349</v>
      </c>
      <c r="K1226" s="27">
        <f t="shared" si="149"/>
        <v>-343.9722346398828</v>
      </c>
    </row>
    <row r="1227" spans="1:11">
      <c r="A1227" s="26">
        <v>1177</v>
      </c>
      <c r="B1227" s="82">
        <f t="shared" si="150"/>
        <v>0</v>
      </c>
      <c r="C1227" s="58">
        <f t="shared" si="146"/>
        <v>156.29037528357509</v>
      </c>
      <c r="D1227" s="83">
        <f t="shared" si="151"/>
        <v>666.66666666666663</v>
      </c>
      <c r="E1227">
        <f t="shared" si="147"/>
        <v>0</v>
      </c>
      <c r="G1227">
        <v>1177</v>
      </c>
      <c r="H1227" s="13">
        <f t="shared" si="152"/>
        <v>-7.7831728503952036E-4</v>
      </c>
      <c r="I1227">
        <f t="shared" si="153"/>
        <v>155.37429583908357</v>
      </c>
      <c r="J1227">
        <f t="shared" si="148"/>
        <v>664.7874701588371</v>
      </c>
      <c r="K1227" s="27">
        <f t="shared" si="149"/>
        <v>-343.97055277403751</v>
      </c>
    </row>
    <row r="1228" spans="1:11">
      <c r="A1228" s="26">
        <v>1178</v>
      </c>
      <c r="B1228" s="82">
        <f t="shared" si="150"/>
        <v>0</v>
      </c>
      <c r="C1228" s="58">
        <f t="shared" si="146"/>
        <v>156.29037528357509</v>
      </c>
      <c r="D1228" s="83">
        <f t="shared" si="151"/>
        <v>666.66666666666663</v>
      </c>
      <c r="E1228">
        <f t="shared" si="147"/>
        <v>0</v>
      </c>
      <c r="G1228">
        <v>1178</v>
      </c>
      <c r="H1228" s="13">
        <f t="shared" si="152"/>
        <v>-7.7831728503952036E-4</v>
      </c>
      <c r="I1228">
        <f t="shared" si="153"/>
        <v>155.37351752179853</v>
      </c>
      <c r="J1228">
        <f t="shared" si="148"/>
        <v>664.78584487748924</v>
      </c>
      <c r="K1228" s="27">
        <f t="shared" si="149"/>
        <v>-343.96887086043495</v>
      </c>
    </row>
    <row r="1229" spans="1:11">
      <c r="A1229" s="26">
        <v>1179</v>
      </c>
      <c r="B1229" s="82">
        <f t="shared" si="150"/>
        <v>0</v>
      </c>
      <c r="C1229" s="58">
        <f t="shared" si="146"/>
        <v>156.29037528357509</v>
      </c>
      <c r="D1229" s="83">
        <f t="shared" si="151"/>
        <v>666.66666666666663</v>
      </c>
      <c r="E1229">
        <f t="shared" si="147"/>
        <v>0</v>
      </c>
      <c r="G1229">
        <v>1179</v>
      </c>
      <c r="H1229" s="13">
        <f t="shared" si="152"/>
        <v>-7.7831728503952036E-4</v>
      </c>
      <c r="I1229">
        <f t="shared" si="153"/>
        <v>155.37273920451349</v>
      </c>
      <c r="J1229">
        <f t="shared" si="148"/>
        <v>664.78421954601617</v>
      </c>
      <c r="K1229" s="27">
        <f t="shared" si="149"/>
        <v>-343.96718889907191</v>
      </c>
    </row>
    <row r="1230" spans="1:11">
      <c r="A1230" s="26">
        <v>1180</v>
      </c>
      <c r="B1230" s="82">
        <f t="shared" si="150"/>
        <v>0</v>
      </c>
      <c r="C1230" s="58">
        <f t="shared" si="146"/>
        <v>156.29037528357509</v>
      </c>
      <c r="D1230" s="83">
        <f t="shared" si="151"/>
        <v>666.66666666666663</v>
      </c>
      <c r="E1230">
        <f t="shared" si="147"/>
        <v>0</v>
      </c>
      <c r="G1230">
        <v>1180</v>
      </c>
      <c r="H1230" s="13">
        <f t="shared" si="152"/>
        <v>-7.7831728503952036E-4</v>
      </c>
      <c r="I1230">
        <f t="shared" si="153"/>
        <v>155.37196088722845</v>
      </c>
      <c r="J1230">
        <f t="shared" si="148"/>
        <v>664.78259416441438</v>
      </c>
      <c r="K1230" s="27">
        <f t="shared" si="149"/>
        <v>-343.96550688994461</v>
      </c>
    </row>
    <row r="1231" spans="1:11">
      <c r="A1231" s="26">
        <v>1181</v>
      </c>
      <c r="B1231" s="82">
        <f t="shared" si="150"/>
        <v>0</v>
      </c>
      <c r="C1231" s="58">
        <f t="shared" si="146"/>
        <v>156.29037528357509</v>
      </c>
      <c r="D1231" s="83">
        <f t="shared" si="151"/>
        <v>666.66666666666663</v>
      </c>
      <c r="E1231">
        <f t="shared" si="147"/>
        <v>0</v>
      </c>
      <c r="G1231">
        <v>1181</v>
      </c>
      <c r="H1231" s="13">
        <f t="shared" si="152"/>
        <v>-7.7831728503952036E-4</v>
      </c>
      <c r="I1231">
        <f t="shared" si="153"/>
        <v>155.37118256994341</v>
      </c>
      <c r="J1231">
        <f t="shared" si="148"/>
        <v>664.78096873267975</v>
      </c>
      <c r="K1231" s="27">
        <f t="shared" si="149"/>
        <v>-343.96382483304961</v>
      </c>
    </row>
    <row r="1232" spans="1:11">
      <c r="A1232" s="26">
        <v>1182</v>
      </c>
      <c r="B1232" s="82">
        <f t="shared" si="150"/>
        <v>0</v>
      </c>
      <c r="C1232" s="58">
        <f t="shared" ref="C1232:C1295" si="154">($C$37-$C$36)/2000+C1231</f>
        <v>156.29037528357509</v>
      </c>
      <c r="D1232" s="83">
        <f t="shared" si="151"/>
        <v>666.66666666666663</v>
      </c>
      <c r="E1232">
        <f t="shared" si="147"/>
        <v>0</v>
      </c>
      <c r="G1232">
        <v>1182</v>
      </c>
      <c r="H1232" s="13">
        <f t="shared" si="152"/>
        <v>-7.7831728503952036E-4</v>
      </c>
      <c r="I1232">
        <f t="shared" si="153"/>
        <v>155.37040425265837</v>
      </c>
      <c r="J1232">
        <f t="shared" si="148"/>
        <v>664.77934325080878</v>
      </c>
      <c r="K1232" s="27">
        <f t="shared" si="149"/>
        <v>-343.96214272838347</v>
      </c>
    </row>
    <row r="1233" spans="1:11">
      <c r="A1233" s="26">
        <v>1183</v>
      </c>
      <c r="B1233" s="82">
        <f t="shared" si="150"/>
        <v>0</v>
      </c>
      <c r="C1233" s="58">
        <f t="shared" si="154"/>
        <v>156.29037528357509</v>
      </c>
      <c r="D1233" s="83">
        <f t="shared" si="151"/>
        <v>666.66666666666663</v>
      </c>
      <c r="E1233">
        <f t="shared" si="147"/>
        <v>0</v>
      </c>
      <c r="G1233">
        <v>1183</v>
      </c>
      <c r="H1233" s="13">
        <f t="shared" si="152"/>
        <v>-7.7831728503952036E-4</v>
      </c>
      <c r="I1233">
        <f t="shared" si="153"/>
        <v>155.36962593537334</v>
      </c>
      <c r="J1233">
        <f t="shared" si="148"/>
        <v>664.77771771879759</v>
      </c>
      <c r="K1233" s="27">
        <f t="shared" si="149"/>
        <v>-343.96046057594259</v>
      </c>
    </row>
    <row r="1234" spans="1:11">
      <c r="A1234" s="26">
        <v>1184</v>
      </c>
      <c r="B1234" s="82">
        <f t="shared" si="150"/>
        <v>0</v>
      </c>
      <c r="C1234" s="58">
        <f t="shared" si="154"/>
        <v>156.29037528357509</v>
      </c>
      <c r="D1234" s="83">
        <f t="shared" si="151"/>
        <v>666.66666666666663</v>
      </c>
      <c r="E1234">
        <f t="shared" si="147"/>
        <v>0</v>
      </c>
      <c r="G1234">
        <v>1184</v>
      </c>
      <c r="H1234" s="13">
        <f t="shared" si="152"/>
        <v>-7.7831728503952036E-4</v>
      </c>
      <c r="I1234">
        <f t="shared" si="153"/>
        <v>155.3688476180883</v>
      </c>
      <c r="J1234">
        <f t="shared" si="148"/>
        <v>664.77609213664232</v>
      </c>
      <c r="K1234" s="27">
        <f t="shared" si="149"/>
        <v>-343.95877837572334</v>
      </c>
    </row>
    <row r="1235" spans="1:11">
      <c r="A1235" s="26">
        <v>1185</v>
      </c>
      <c r="B1235" s="82">
        <f t="shared" si="150"/>
        <v>0</v>
      </c>
      <c r="C1235" s="58">
        <f t="shared" si="154"/>
        <v>156.29037528357509</v>
      </c>
      <c r="D1235" s="83">
        <f t="shared" si="151"/>
        <v>666.66666666666663</v>
      </c>
      <c r="E1235">
        <f t="shared" si="147"/>
        <v>0</v>
      </c>
      <c r="G1235">
        <v>1185</v>
      </c>
      <c r="H1235" s="13">
        <f t="shared" si="152"/>
        <v>-7.7831728503952036E-4</v>
      </c>
      <c r="I1235">
        <f t="shared" si="153"/>
        <v>155.36806930080326</v>
      </c>
      <c r="J1235">
        <f t="shared" si="148"/>
        <v>664.77446650433933</v>
      </c>
      <c r="K1235" s="27">
        <f t="shared" si="149"/>
        <v>-343.95709612772242</v>
      </c>
    </row>
    <row r="1236" spans="1:11">
      <c r="A1236" s="26">
        <v>1186</v>
      </c>
      <c r="B1236" s="82">
        <f t="shared" si="150"/>
        <v>0</v>
      </c>
      <c r="C1236" s="58">
        <f t="shared" si="154"/>
        <v>156.29037528357509</v>
      </c>
      <c r="D1236" s="83">
        <f t="shared" si="151"/>
        <v>666.66666666666663</v>
      </c>
      <c r="E1236">
        <f t="shared" si="147"/>
        <v>0</v>
      </c>
      <c r="G1236">
        <v>1186</v>
      </c>
      <c r="H1236" s="13">
        <f t="shared" si="152"/>
        <v>-7.7831728503952036E-4</v>
      </c>
      <c r="I1236">
        <f t="shared" si="153"/>
        <v>155.36729098351822</v>
      </c>
      <c r="J1236">
        <f t="shared" si="148"/>
        <v>664.77284082188476</v>
      </c>
      <c r="K1236" s="27">
        <f t="shared" si="149"/>
        <v>-343.95541383193614</v>
      </c>
    </row>
    <row r="1237" spans="1:11">
      <c r="A1237" s="26">
        <v>1187</v>
      </c>
      <c r="B1237" s="82">
        <f t="shared" si="150"/>
        <v>0</v>
      </c>
      <c r="C1237" s="58">
        <f t="shared" si="154"/>
        <v>156.29037528357509</v>
      </c>
      <c r="D1237" s="83">
        <f t="shared" si="151"/>
        <v>666.66666666666663</v>
      </c>
      <c r="E1237">
        <f t="shared" si="147"/>
        <v>0</v>
      </c>
      <c r="G1237">
        <v>1187</v>
      </c>
      <c r="H1237" s="13">
        <f t="shared" si="152"/>
        <v>-7.7831728503952036E-4</v>
      </c>
      <c r="I1237">
        <f t="shared" si="153"/>
        <v>155.36651266623318</v>
      </c>
      <c r="J1237">
        <f t="shared" si="148"/>
        <v>664.77121508927496</v>
      </c>
      <c r="K1237" s="27">
        <f t="shared" si="149"/>
        <v>-343.95373148836103</v>
      </c>
    </row>
    <row r="1238" spans="1:11">
      <c r="A1238" s="26">
        <v>1188</v>
      </c>
      <c r="B1238" s="82">
        <f t="shared" si="150"/>
        <v>0</v>
      </c>
      <c r="C1238" s="58">
        <f t="shared" si="154"/>
        <v>156.29037528357509</v>
      </c>
      <c r="D1238" s="83">
        <f t="shared" si="151"/>
        <v>666.66666666666663</v>
      </c>
      <c r="E1238">
        <f t="shared" si="147"/>
        <v>0</v>
      </c>
      <c r="G1238">
        <v>1188</v>
      </c>
      <c r="H1238" s="13">
        <f t="shared" si="152"/>
        <v>-7.7831728503952036E-4</v>
      </c>
      <c r="I1238">
        <f t="shared" si="153"/>
        <v>155.36573434894814</v>
      </c>
      <c r="J1238">
        <f t="shared" si="148"/>
        <v>664.76958930650596</v>
      </c>
      <c r="K1238" s="27">
        <f t="shared" si="149"/>
        <v>-343.95204909699351</v>
      </c>
    </row>
    <row r="1239" spans="1:11">
      <c r="A1239" s="26">
        <v>1189</v>
      </c>
      <c r="B1239" s="82">
        <f t="shared" si="150"/>
        <v>0</v>
      </c>
      <c r="C1239" s="58">
        <f t="shared" si="154"/>
        <v>156.29037528357509</v>
      </c>
      <c r="D1239" s="83">
        <f t="shared" si="151"/>
        <v>666.66666666666663</v>
      </c>
      <c r="E1239">
        <f t="shared" si="147"/>
        <v>0</v>
      </c>
      <c r="G1239">
        <v>1189</v>
      </c>
      <c r="H1239" s="13">
        <f t="shared" si="152"/>
        <v>-7.7831728503952036E-4</v>
      </c>
      <c r="I1239">
        <f t="shared" si="153"/>
        <v>155.3649560316631</v>
      </c>
      <c r="J1239">
        <f t="shared" si="148"/>
        <v>664.76796347357413</v>
      </c>
      <c r="K1239" s="27">
        <f t="shared" si="149"/>
        <v>-343.9503666578301</v>
      </c>
    </row>
    <row r="1240" spans="1:11">
      <c r="A1240" s="26">
        <v>1190</v>
      </c>
      <c r="B1240" s="82">
        <f t="shared" si="150"/>
        <v>0</v>
      </c>
      <c r="C1240" s="58">
        <f t="shared" si="154"/>
        <v>156.29037528357509</v>
      </c>
      <c r="D1240" s="83">
        <f t="shared" si="151"/>
        <v>666.66666666666663</v>
      </c>
      <c r="E1240">
        <f t="shared" si="147"/>
        <v>0</v>
      </c>
      <c r="G1240">
        <v>1190</v>
      </c>
      <c r="H1240" s="13">
        <f t="shared" si="152"/>
        <v>-7.7831728503952036E-4</v>
      </c>
      <c r="I1240">
        <f t="shared" si="153"/>
        <v>155.36417771437806</v>
      </c>
      <c r="J1240">
        <f t="shared" si="148"/>
        <v>664.76633759047559</v>
      </c>
      <c r="K1240" s="27">
        <f t="shared" si="149"/>
        <v>-343.94868417086724</v>
      </c>
    </row>
    <row r="1241" spans="1:11">
      <c r="A1241" s="26">
        <v>1191</v>
      </c>
      <c r="B1241" s="82">
        <f t="shared" si="150"/>
        <v>0</v>
      </c>
      <c r="C1241" s="58">
        <f t="shared" si="154"/>
        <v>156.29037528357509</v>
      </c>
      <c r="D1241" s="83">
        <f t="shared" si="151"/>
        <v>666.66666666666663</v>
      </c>
      <c r="E1241">
        <f t="shared" si="147"/>
        <v>0</v>
      </c>
      <c r="G1241">
        <v>1191</v>
      </c>
      <c r="H1241" s="13">
        <f t="shared" si="152"/>
        <v>-7.7831728503952036E-4</v>
      </c>
      <c r="I1241">
        <f t="shared" si="153"/>
        <v>155.36339939709302</v>
      </c>
      <c r="J1241">
        <f t="shared" si="148"/>
        <v>664.7647116572067</v>
      </c>
      <c r="K1241" s="27">
        <f t="shared" si="149"/>
        <v>-343.9470016361015</v>
      </c>
    </row>
    <row r="1242" spans="1:11">
      <c r="A1242" s="26">
        <v>1192</v>
      </c>
      <c r="B1242" s="82">
        <f t="shared" si="150"/>
        <v>0</v>
      </c>
      <c r="C1242" s="58">
        <f t="shared" si="154"/>
        <v>156.29037528357509</v>
      </c>
      <c r="D1242" s="83">
        <f t="shared" si="151"/>
        <v>666.66666666666663</v>
      </c>
      <c r="E1242">
        <f t="shared" si="147"/>
        <v>0</v>
      </c>
      <c r="G1242">
        <v>1192</v>
      </c>
      <c r="H1242" s="13">
        <f t="shared" si="152"/>
        <v>-7.7831728503952036E-4</v>
      </c>
      <c r="I1242">
        <f t="shared" si="153"/>
        <v>155.36262107980798</v>
      </c>
      <c r="J1242">
        <f t="shared" si="148"/>
        <v>664.76308567376361</v>
      </c>
      <c r="K1242" s="27">
        <f t="shared" si="149"/>
        <v>-343.94531905352932</v>
      </c>
    </row>
    <row r="1243" spans="1:11">
      <c r="A1243" s="26">
        <v>1193</v>
      </c>
      <c r="B1243" s="82">
        <f t="shared" si="150"/>
        <v>0</v>
      </c>
      <c r="C1243" s="58">
        <f t="shared" si="154"/>
        <v>156.29037528357509</v>
      </c>
      <c r="D1243" s="83">
        <f t="shared" si="151"/>
        <v>666.66666666666663</v>
      </c>
      <c r="E1243">
        <f t="shared" si="147"/>
        <v>0</v>
      </c>
      <c r="G1243">
        <v>1193</v>
      </c>
      <c r="H1243" s="13">
        <f t="shared" si="152"/>
        <v>-7.7831728503952036E-4</v>
      </c>
      <c r="I1243">
        <f t="shared" si="153"/>
        <v>155.36184276252294</v>
      </c>
      <c r="J1243">
        <f t="shared" si="148"/>
        <v>664.76145964014245</v>
      </c>
      <c r="K1243" s="27">
        <f t="shared" si="149"/>
        <v>-343.94363642314698</v>
      </c>
    </row>
    <row r="1244" spans="1:11">
      <c r="A1244" s="26">
        <v>1194</v>
      </c>
      <c r="B1244" s="82">
        <f t="shared" si="150"/>
        <v>0</v>
      </c>
      <c r="C1244" s="58">
        <f t="shared" si="154"/>
        <v>156.29037528357509</v>
      </c>
      <c r="D1244" s="83">
        <f t="shared" si="151"/>
        <v>666.66666666666663</v>
      </c>
      <c r="E1244">
        <f t="shared" si="147"/>
        <v>0</v>
      </c>
      <c r="G1244">
        <v>1194</v>
      </c>
      <c r="H1244" s="13">
        <f t="shared" si="152"/>
        <v>-7.7831728503952036E-4</v>
      </c>
      <c r="I1244">
        <f t="shared" si="153"/>
        <v>155.3610644452379</v>
      </c>
      <c r="J1244">
        <f t="shared" si="148"/>
        <v>664.75983355633957</v>
      </c>
      <c r="K1244" s="27">
        <f t="shared" si="149"/>
        <v>-343.94195374495115</v>
      </c>
    </row>
    <row r="1245" spans="1:11">
      <c r="A1245" s="26">
        <v>1195</v>
      </c>
      <c r="B1245" s="82">
        <f t="shared" si="150"/>
        <v>0</v>
      </c>
      <c r="C1245" s="58">
        <f t="shared" si="154"/>
        <v>156.29037528357509</v>
      </c>
      <c r="D1245" s="83">
        <f t="shared" si="151"/>
        <v>666.66666666666663</v>
      </c>
      <c r="E1245">
        <f t="shared" si="147"/>
        <v>0</v>
      </c>
      <c r="G1245">
        <v>1195</v>
      </c>
      <c r="H1245" s="13">
        <f t="shared" si="152"/>
        <v>-7.7831728503952036E-4</v>
      </c>
      <c r="I1245">
        <f t="shared" si="153"/>
        <v>155.36028612795286</v>
      </c>
      <c r="J1245">
        <f t="shared" si="148"/>
        <v>664.75820742235112</v>
      </c>
      <c r="K1245" s="27">
        <f t="shared" si="149"/>
        <v>-343.94027101893829</v>
      </c>
    </row>
    <row r="1246" spans="1:11">
      <c r="A1246" s="26">
        <v>1196</v>
      </c>
      <c r="B1246" s="82">
        <f t="shared" si="150"/>
        <v>0</v>
      </c>
      <c r="C1246" s="58">
        <f t="shared" si="154"/>
        <v>156.29037528357509</v>
      </c>
      <c r="D1246" s="83">
        <f t="shared" si="151"/>
        <v>666.66666666666663</v>
      </c>
      <c r="E1246">
        <f t="shared" si="147"/>
        <v>0</v>
      </c>
      <c r="G1246">
        <v>1196</v>
      </c>
      <c r="H1246" s="13">
        <f t="shared" si="152"/>
        <v>-7.7831728503952036E-4</v>
      </c>
      <c r="I1246">
        <f t="shared" si="153"/>
        <v>155.35950781066782</v>
      </c>
      <c r="J1246">
        <f t="shared" si="148"/>
        <v>664.75658123817334</v>
      </c>
      <c r="K1246" s="27">
        <f t="shared" si="149"/>
        <v>-343.93858824510471</v>
      </c>
    </row>
    <row r="1247" spans="1:11">
      <c r="A1247" s="26">
        <v>1197</v>
      </c>
      <c r="B1247" s="82">
        <f t="shared" si="150"/>
        <v>0</v>
      </c>
      <c r="C1247" s="58">
        <f t="shared" si="154"/>
        <v>156.29037528357509</v>
      </c>
      <c r="D1247" s="83">
        <f t="shared" si="151"/>
        <v>666.66666666666663</v>
      </c>
      <c r="E1247">
        <f t="shared" si="147"/>
        <v>0</v>
      </c>
      <c r="G1247">
        <v>1197</v>
      </c>
      <c r="H1247" s="13">
        <f t="shared" si="152"/>
        <v>-7.7831728503952036E-4</v>
      </c>
      <c r="I1247">
        <f t="shared" si="153"/>
        <v>155.35872949338278</v>
      </c>
      <c r="J1247">
        <f t="shared" si="148"/>
        <v>664.75495500380248</v>
      </c>
      <c r="K1247" s="27">
        <f t="shared" si="149"/>
        <v>-343.93690542344712</v>
      </c>
    </row>
    <row r="1248" spans="1:11">
      <c r="A1248" s="26">
        <v>1198</v>
      </c>
      <c r="B1248" s="82">
        <f t="shared" si="150"/>
        <v>0</v>
      </c>
      <c r="C1248" s="58">
        <f t="shared" si="154"/>
        <v>156.29037528357509</v>
      </c>
      <c r="D1248" s="83">
        <f t="shared" si="151"/>
        <v>666.66666666666663</v>
      </c>
      <c r="E1248">
        <f t="shared" si="147"/>
        <v>0</v>
      </c>
      <c r="G1248">
        <v>1198</v>
      </c>
      <c r="H1248" s="13">
        <f t="shared" si="152"/>
        <v>-7.7831728503952036E-4</v>
      </c>
      <c r="I1248">
        <f t="shared" si="153"/>
        <v>155.35795117609774</v>
      </c>
      <c r="J1248">
        <f t="shared" si="148"/>
        <v>664.75332871923467</v>
      </c>
      <c r="K1248" s="27">
        <f t="shared" si="149"/>
        <v>-343.93522255396169</v>
      </c>
    </row>
    <row r="1249" spans="1:11">
      <c r="A1249" s="26">
        <v>1199</v>
      </c>
      <c r="B1249" s="82">
        <f t="shared" si="150"/>
        <v>0</v>
      </c>
      <c r="C1249" s="58">
        <f t="shared" si="154"/>
        <v>156.29037528357509</v>
      </c>
      <c r="D1249" s="83">
        <f t="shared" si="151"/>
        <v>666.66666666666663</v>
      </c>
      <c r="E1249">
        <f t="shared" si="147"/>
        <v>0</v>
      </c>
      <c r="G1249">
        <v>1199</v>
      </c>
      <c r="H1249" s="13">
        <f t="shared" si="152"/>
        <v>-7.7831728503952036E-4</v>
      </c>
      <c r="I1249">
        <f t="shared" si="153"/>
        <v>155.3571728588127</v>
      </c>
      <c r="J1249">
        <f t="shared" si="148"/>
        <v>664.75170238446617</v>
      </c>
      <c r="K1249" s="27">
        <f t="shared" si="149"/>
        <v>-343.93353963664521</v>
      </c>
    </row>
    <row r="1250" spans="1:11">
      <c r="A1250" s="26">
        <v>1200</v>
      </c>
      <c r="B1250" s="82">
        <f t="shared" si="150"/>
        <v>0</v>
      </c>
      <c r="C1250" s="58">
        <f t="shared" si="154"/>
        <v>156.29037528357509</v>
      </c>
      <c r="D1250" s="83">
        <f t="shared" si="151"/>
        <v>666.66666666666663</v>
      </c>
      <c r="E1250">
        <f t="shared" si="147"/>
        <v>0</v>
      </c>
      <c r="G1250">
        <v>1200</v>
      </c>
      <c r="H1250" s="13">
        <f t="shared" si="152"/>
        <v>-7.7831728503952036E-4</v>
      </c>
      <c r="I1250">
        <f t="shared" si="153"/>
        <v>155.35639454152766</v>
      </c>
      <c r="J1250">
        <f t="shared" si="148"/>
        <v>664.75007599949322</v>
      </c>
      <c r="K1250" s="27">
        <f t="shared" si="149"/>
        <v>-343.9318566714939</v>
      </c>
    </row>
    <row r="1251" spans="1:11">
      <c r="A1251" s="26">
        <v>1201</v>
      </c>
      <c r="B1251" s="82">
        <f t="shared" si="150"/>
        <v>0</v>
      </c>
      <c r="C1251" s="58">
        <f t="shared" si="154"/>
        <v>156.29037528357509</v>
      </c>
      <c r="D1251" s="83">
        <f t="shared" si="151"/>
        <v>666.66666666666663</v>
      </c>
      <c r="E1251">
        <f t="shared" si="147"/>
        <v>0</v>
      </c>
      <c r="G1251">
        <v>1201</v>
      </c>
      <c r="H1251" s="13">
        <f t="shared" si="152"/>
        <v>-7.7831728503952036E-4</v>
      </c>
      <c r="I1251">
        <f t="shared" si="153"/>
        <v>155.35561622424262</v>
      </c>
      <c r="J1251">
        <f t="shared" si="148"/>
        <v>664.74844956431207</v>
      </c>
      <c r="K1251" s="27">
        <f t="shared" si="149"/>
        <v>-343.93017365850432</v>
      </c>
    </row>
    <row r="1252" spans="1:11">
      <c r="A1252" s="26">
        <v>1202</v>
      </c>
      <c r="B1252" s="82">
        <f t="shared" si="150"/>
        <v>0</v>
      </c>
      <c r="C1252" s="58">
        <f t="shared" si="154"/>
        <v>156.29037528357509</v>
      </c>
      <c r="D1252" s="83">
        <f t="shared" si="151"/>
        <v>666.66666666666663</v>
      </c>
      <c r="E1252">
        <f t="shared" si="147"/>
        <v>0</v>
      </c>
      <c r="G1252">
        <v>1202</v>
      </c>
      <c r="H1252" s="13">
        <f t="shared" si="152"/>
        <v>-7.7831728503952036E-4</v>
      </c>
      <c r="I1252">
        <f t="shared" si="153"/>
        <v>155.35483790695758</v>
      </c>
      <c r="J1252">
        <f t="shared" si="148"/>
        <v>664.74682307891885</v>
      </c>
      <c r="K1252" s="27">
        <f t="shared" si="149"/>
        <v>-343.92849059767292</v>
      </c>
    </row>
    <row r="1253" spans="1:11">
      <c r="A1253" s="26">
        <v>1203</v>
      </c>
      <c r="B1253" s="82">
        <f t="shared" si="150"/>
        <v>0</v>
      </c>
      <c r="C1253" s="58">
        <f t="shared" si="154"/>
        <v>156.29037528357509</v>
      </c>
      <c r="D1253" s="83">
        <f t="shared" si="151"/>
        <v>666.66666666666663</v>
      </c>
      <c r="E1253">
        <f t="shared" si="147"/>
        <v>0</v>
      </c>
      <c r="G1253">
        <v>1203</v>
      </c>
      <c r="H1253" s="13">
        <f t="shared" si="152"/>
        <v>-7.7831728503952036E-4</v>
      </c>
      <c r="I1253">
        <f t="shared" si="153"/>
        <v>155.35405958967254</v>
      </c>
      <c r="J1253">
        <f t="shared" si="148"/>
        <v>664.74519654330982</v>
      </c>
      <c r="K1253" s="27">
        <f t="shared" si="149"/>
        <v>-343.92680748899619</v>
      </c>
    </row>
    <row r="1254" spans="1:11">
      <c r="A1254" s="26">
        <v>1204</v>
      </c>
      <c r="B1254" s="82">
        <f t="shared" si="150"/>
        <v>0</v>
      </c>
      <c r="C1254" s="58">
        <f t="shared" si="154"/>
        <v>156.29037528357509</v>
      </c>
      <c r="D1254" s="83">
        <f t="shared" si="151"/>
        <v>666.66666666666663</v>
      </c>
      <c r="E1254">
        <f t="shared" si="147"/>
        <v>0</v>
      </c>
      <c r="G1254">
        <v>1204</v>
      </c>
      <c r="H1254" s="13">
        <f t="shared" si="152"/>
        <v>-7.7831728503952036E-4</v>
      </c>
      <c r="I1254">
        <f t="shared" si="153"/>
        <v>155.35328127238751</v>
      </c>
      <c r="J1254">
        <f t="shared" si="148"/>
        <v>664.74356995748121</v>
      </c>
      <c r="K1254" s="27">
        <f t="shared" si="149"/>
        <v>-343.92512433247066</v>
      </c>
    </row>
    <row r="1255" spans="1:11">
      <c r="A1255" s="26">
        <v>1205</v>
      </c>
      <c r="B1255" s="82">
        <f t="shared" si="150"/>
        <v>0</v>
      </c>
      <c r="C1255" s="58">
        <f t="shared" si="154"/>
        <v>156.29037528357509</v>
      </c>
      <c r="D1255" s="83">
        <f t="shared" si="151"/>
        <v>666.66666666666663</v>
      </c>
      <c r="E1255">
        <f t="shared" si="147"/>
        <v>0</v>
      </c>
      <c r="G1255">
        <v>1205</v>
      </c>
      <c r="H1255" s="13">
        <f t="shared" si="152"/>
        <v>-7.7831728503952036E-4</v>
      </c>
      <c r="I1255">
        <f t="shared" si="153"/>
        <v>155.35250295510247</v>
      </c>
      <c r="J1255">
        <f t="shared" si="148"/>
        <v>664.74194332142929</v>
      </c>
      <c r="K1255" s="27">
        <f t="shared" si="149"/>
        <v>-343.92344112809263</v>
      </c>
    </row>
    <row r="1256" spans="1:11">
      <c r="A1256" s="26">
        <v>1206</v>
      </c>
      <c r="B1256" s="82">
        <f t="shared" si="150"/>
        <v>0</v>
      </c>
      <c r="C1256" s="58">
        <f t="shared" si="154"/>
        <v>156.29037528357509</v>
      </c>
      <c r="D1256" s="83">
        <f t="shared" si="151"/>
        <v>666.66666666666663</v>
      </c>
      <c r="E1256">
        <f t="shared" si="147"/>
        <v>0</v>
      </c>
      <c r="G1256">
        <v>1206</v>
      </c>
      <c r="H1256" s="13">
        <f t="shared" si="152"/>
        <v>-7.7831728503952036E-4</v>
      </c>
      <c r="I1256">
        <f t="shared" si="153"/>
        <v>155.35172463781743</v>
      </c>
      <c r="J1256">
        <f t="shared" si="148"/>
        <v>664.74031663515007</v>
      </c>
      <c r="K1256" s="27">
        <f t="shared" si="149"/>
        <v>-343.9217578758587</v>
      </c>
    </row>
    <row r="1257" spans="1:11">
      <c r="A1257" s="26">
        <v>1207</v>
      </c>
      <c r="B1257" s="82">
        <f t="shared" si="150"/>
        <v>0</v>
      </c>
      <c r="C1257" s="58">
        <f t="shared" si="154"/>
        <v>156.29037528357509</v>
      </c>
      <c r="D1257" s="83">
        <f t="shared" si="151"/>
        <v>666.66666666666663</v>
      </c>
      <c r="E1257">
        <f t="shared" si="147"/>
        <v>0</v>
      </c>
      <c r="G1257">
        <v>1207</v>
      </c>
      <c r="H1257" s="13">
        <f t="shared" si="152"/>
        <v>-7.7831728503952036E-4</v>
      </c>
      <c r="I1257">
        <f t="shared" si="153"/>
        <v>155.35094632053239</v>
      </c>
      <c r="J1257">
        <f t="shared" si="148"/>
        <v>664.73868989864002</v>
      </c>
      <c r="K1257" s="27">
        <f t="shared" si="149"/>
        <v>-343.92007457576528</v>
      </c>
    </row>
    <row r="1258" spans="1:11">
      <c r="A1258" s="26">
        <v>1208</v>
      </c>
      <c r="B1258" s="82">
        <f t="shared" si="150"/>
        <v>0</v>
      </c>
      <c r="C1258" s="58">
        <f t="shared" si="154"/>
        <v>156.29037528357509</v>
      </c>
      <c r="D1258" s="83">
        <f t="shared" si="151"/>
        <v>666.66666666666663</v>
      </c>
      <c r="E1258">
        <f t="shared" si="147"/>
        <v>0</v>
      </c>
      <c r="G1258">
        <v>1208</v>
      </c>
      <c r="H1258" s="13">
        <f t="shared" si="152"/>
        <v>-7.7831728503952036E-4</v>
      </c>
      <c r="I1258">
        <f t="shared" si="153"/>
        <v>155.35016800324735</v>
      </c>
      <c r="J1258">
        <f t="shared" si="148"/>
        <v>664.73706311189517</v>
      </c>
      <c r="K1258" s="27">
        <f t="shared" si="149"/>
        <v>-343.9183912278088</v>
      </c>
    </row>
    <row r="1259" spans="1:11">
      <c r="A1259" s="26">
        <v>1209</v>
      </c>
      <c r="B1259" s="82">
        <f t="shared" si="150"/>
        <v>0</v>
      </c>
      <c r="C1259" s="58">
        <f t="shared" si="154"/>
        <v>156.29037528357509</v>
      </c>
      <c r="D1259" s="83">
        <f t="shared" si="151"/>
        <v>666.66666666666663</v>
      </c>
      <c r="E1259">
        <f t="shared" si="147"/>
        <v>0</v>
      </c>
      <c r="G1259">
        <v>1209</v>
      </c>
      <c r="H1259" s="13">
        <f t="shared" si="152"/>
        <v>-7.7831728503952036E-4</v>
      </c>
      <c r="I1259">
        <f t="shared" si="153"/>
        <v>155.34938968596231</v>
      </c>
      <c r="J1259">
        <f t="shared" si="148"/>
        <v>664.73543627491176</v>
      </c>
      <c r="K1259" s="27">
        <f t="shared" si="149"/>
        <v>-343.91670783198583</v>
      </c>
    </row>
    <row r="1260" spans="1:11">
      <c r="A1260" s="26">
        <v>1210</v>
      </c>
      <c r="B1260" s="82">
        <f t="shared" si="150"/>
        <v>0</v>
      </c>
      <c r="C1260" s="58">
        <f t="shared" si="154"/>
        <v>156.29037528357509</v>
      </c>
      <c r="D1260" s="83">
        <f t="shared" si="151"/>
        <v>666.66666666666663</v>
      </c>
      <c r="E1260">
        <f t="shared" si="147"/>
        <v>0</v>
      </c>
      <c r="G1260">
        <v>1210</v>
      </c>
      <c r="H1260" s="13">
        <f t="shared" si="152"/>
        <v>-7.7831728503952036E-4</v>
      </c>
      <c r="I1260">
        <f t="shared" si="153"/>
        <v>155.34861136867727</v>
      </c>
      <c r="J1260">
        <f t="shared" si="148"/>
        <v>664.73380938768616</v>
      </c>
      <c r="K1260" s="27">
        <f t="shared" si="149"/>
        <v>-343.91502438829275</v>
      </c>
    </row>
    <row r="1261" spans="1:11">
      <c r="A1261" s="26">
        <v>1211</v>
      </c>
      <c r="B1261" s="82">
        <f t="shared" si="150"/>
        <v>0</v>
      </c>
      <c r="C1261" s="58">
        <f t="shared" si="154"/>
        <v>156.29037528357509</v>
      </c>
      <c r="D1261" s="83">
        <f t="shared" si="151"/>
        <v>666.66666666666663</v>
      </c>
      <c r="E1261">
        <f t="shared" si="147"/>
        <v>0</v>
      </c>
      <c r="G1261">
        <v>1211</v>
      </c>
      <c r="H1261" s="13">
        <f t="shared" si="152"/>
        <v>-7.7831728503952036E-4</v>
      </c>
      <c r="I1261">
        <f t="shared" si="153"/>
        <v>155.34783305139223</v>
      </c>
      <c r="J1261">
        <f t="shared" si="148"/>
        <v>664.7321824502144</v>
      </c>
      <c r="K1261" s="27">
        <f t="shared" si="149"/>
        <v>-343.91334089672597</v>
      </c>
    </row>
    <row r="1262" spans="1:11">
      <c r="A1262" s="26">
        <v>1212</v>
      </c>
      <c r="B1262" s="82">
        <f t="shared" si="150"/>
        <v>0</v>
      </c>
      <c r="C1262" s="58">
        <f t="shared" si="154"/>
        <v>156.29037528357509</v>
      </c>
      <c r="D1262" s="83">
        <f t="shared" si="151"/>
        <v>666.66666666666663</v>
      </c>
      <c r="E1262">
        <f t="shared" si="147"/>
        <v>0</v>
      </c>
      <c r="G1262">
        <v>1212</v>
      </c>
      <c r="H1262" s="13">
        <f t="shared" si="152"/>
        <v>-7.7831728503952036E-4</v>
      </c>
      <c r="I1262">
        <f t="shared" si="153"/>
        <v>155.34705473410719</v>
      </c>
      <c r="J1262">
        <f t="shared" si="148"/>
        <v>664.7305554624927</v>
      </c>
      <c r="K1262" s="27">
        <f t="shared" si="149"/>
        <v>-343.91165735728208</v>
      </c>
    </row>
    <row r="1263" spans="1:11">
      <c r="A1263" s="26">
        <v>1213</v>
      </c>
      <c r="B1263" s="82">
        <f t="shared" si="150"/>
        <v>0</v>
      </c>
      <c r="C1263" s="58">
        <f t="shared" si="154"/>
        <v>156.29037528357509</v>
      </c>
      <c r="D1263" s="83">
        <f t="shared" si="151"/>
        <v>666.66666666666663</v>
      </c>
      <c r="E1263">
        <f t="shared" si="147"/>
        <v>0</v>
      </c>
      <c r="G1263">
        <v>1213</v>
      </c>
      <c r="H1263" s="13">
        <f t="shared" si="152"/>
        <v>-7.7831728503952036E-4</v>
      </c>
      <c r="I1263">
        <f t="shared" si="153"/>
        <v>155.34627641682215</v>
      </c>
      <c r="J1263">
        <f t="shared" si="148"/>
        <v>664.72892842451733</v>
      </c>
      <c r="K1263" s="27">
        <f t="shared" si="149"/>
        <v>-343.90997376995739</v>
      </c>
    </row>
    <row r="1264" spans="1:11">
      <c r="A1264" s="26">
        <v>1214</v>
      </c>
      <c r="B1264" s="82">
        <f t="shared" si="150"/>
        <v>0</v>
      </c>
      <c r="C1264" s="58">
        <f t="shared" si="154"/>
        <v>156.29037528357509</v>
      </c>
      <c r="D1264" s="83">
        <f t="shared" si="151"/>
        <v>666.66666666666663</v>
      </c>
      <c r="E1264">
        <f t="shared" si="147"/>
        <v>0</v>
      </c>
      <c r="G1264">
        <v>1214</v>
      </c>
      <c r="H1264" s="13">
        <f t="shared" si="152"/>
        <v>-7.7831728503952036E-4</v>
      </c>
      <c r="I1264">
        <f t="shared" si="153"/>
        <v>155.34549809953711</v>
      </c>
      <c r="J1264">
        <f t="shared" si="148"/>
        <v>664.72730133628443</v>
      </c>
      <c r="K1264" s="27">
        <f t="shared" si="149"/>
        <v>-343.90829013474854</v>
      </c>
    </row>
    <row r="1265" spans="1:11">
      <c r="A1265" s="26">
        <v>1215</v>
      </c>
      <c r="B1265" s="82">
        <f t="shared" si="150"/>
        <v>0</v>
      </c>
      <c r="C1265" s="58">
        <f t="shared" si="154"/>
        <v>156.29037528357509</v>
      </c>
      <c r="D1265" s="83">
        <f t="shared" si="151"/>
        <v>666.66666666666663</v>
      </c>
      <c r="E1265">
        <f t="shared" si="147"/>
        <v>0</v>
      </c>
      <c r="G1265">
        <v>1215</v>
      </c>
      <c r="H1265" s="13">
        <f t="shared" si="152"/>
        <v>-7.7831728503952036E-4</v>
      </c>
      <c r="I1265">
        <f t="shared" si="153"/>
        <v>155.34471978225207</v>
      </c>
      <c r="J1265">
        <f t="shared" si="148"/>
        <v>664.72567419779045</v>
      </c>
      <c r="K1265" s="27">
        <f t="shared" si="149"/>
        <v>-343.90660645165184</v>
      </c>
    </row>
    <row r="1266" spans="1:11">
      <c r="A1266" s="26">
        <v>1216</v>
      </c>
      <c r="B1266" s="82">
        <f t="shared" si="150"/>
        <v>0</v>
      </c>
      <c r="C1266" s="58">
        <f t="shared" si="154"/>
        <v>156.29037528357509</v>
      </c>
      <c r="D1266" s="83">
        <f t="shared" si="151"/>
        <v>666.66666666666663</v>
      </c>
      <c r="E1266">
        <f t="shared" si="147"/>
        <v>0</v>
      </c>
      <c r="G1266">
        <v>1216</v>
      </c>
      <c r="H1266" s="13">
        <f t="shared" si="152"/>
        <v>-7.7831728503952036E-4</v>
      </c>
      <c r="I1266">
        <f t="shared" si="153"/>
        <v>155.34394146496703</v>
      </c>
      <c r="J1266">
        <f t="shared" si="148"/>
        <v>664.72404700903121</v>
      </c>
      <c r="K1266" s="27">
        <f t="shared" si="149"/>
        <v>-343.90492272066376</v>
      </c>
    </row>
    <row r="1267" spans="1:11">
      <c r="A1267" s="26">
        <v>1217</v>
      </c>
      <c r="B1267" s="82">
        <f t="shared" si="150"/>
        <v>0</v>
      </c>
      <c r="C1267" s="58">
        <f t="shared" si="154"/>
        <v>156.29037528357509</v>
      </c>
      <c r="D1267" s="83">
        <f t="shared" si="151"/>
        <v>666.66666666666663</v>
      </c>
      <c r="E1267">
        <f t="shared" ref="E1267:E1330" si="155">((D1267^2)+(D1267*D1268)+(D1268^2))*B1268/3</f>
        <v>0</v>
      </c>
      <c r="G1267">
        <v>1217</v>
      </c>
      <c r="H1267" s="13">
        <f t="shared" si="152"/>
        <v>-7.7831728503952036E-4</v>
      </c>
      <c r="I1267">
        <f t="shared" si="153"/>
        <v>155.34316314768199</v>
      </c>
      <c r="J1267">
        <f t="shared" ref="J1267:J1330" si="156">IF($G$28&lt;$C$14,0,((($C$11^2)-((I1267-$C$13)^2))^0.5)+$C$16)</f>
        <v>664.72241977000328</v>
      </c>
      <c r="K1267" s="27">
        <f t="shared" ref="K1267:K1330" si="157">((J1267^2)+(J1267*J1268)+(J1268^2))*H1268/3</f>
        <v>-343.90323894178096</v>
      </c>
    </row>
    <row r="1268" spans="1:11">
      <c r="A1268" s="26">
        <v>1218</v>
      </c>
      <c r="B1268" s="82">
        <f t="shared" ref="B1268:B1331" si="158">C1268-C1267</f>
        <v>0</v>
      </c>
      <c r="C1268" s="58">
        <f t="shared" si="154"/>
        <v>156.29037528357509</v>
      </c>
      <c r="D1268" s="83">
        <f t="shared" ref="D1268:D1331" si="159">IF($G$28&lt;$C$14,0,((($C$11^2)-((C1268-$C$13)^2))^0.5)+$C$16)</f>
        <v>666.66666666666663</v>
      </c>
      <c r="E1268">
        <f t="shared" si="155"/>
        <v>0</v>
      </c>
      <c r="G1268">
        <v>1218</v>
      </c>
      <c r="H1268" s="13">
        <f t="shared" ref="H1268:H1331" si="160">I1268-I1267</f>
        <v>-7.7831728503952036E-4</v>
      </c>
      <c r="I1268">
        <f t="shared" ref="I1268:I1331" si="161">($G$27-$C$14)/2000+I1267</f>
        <v>155.34238483039695</v>
      </c>
      <c r="J1268">
        <f t="shared" si="156"/>
        <v>664.7207924807027</v>
      </c>
      <c r="K1268" s="27">
        <f t="shared" si="157"/>
        <v>-343.90155511499967</v>
      </c>
    </row>
    <row r="1269" spans="1:11">
      <c r="A1269" s="26">
        <v>1219</v>
      </c>
      <c r="B1269" s="82">
        <f t="shared" si="158"/>
        <v>0</v>
      </c>
      <c r="C1269" s="58">
        <f t="shared" si="154"/>
        <v>156.29037528357509</v>
      </c>
      <c r="D1269" s="83">
        <f t="shared" si="159"/>
        <v>666.66666666666663</v>
      </c>
      <c r="E1269">
        <f t="shared" si="155"/>
        <v>0</v>
      </c>
      <c r="G1269">
        <v>1219</v>
      </c>
      <c r="H1269" s="13">
        <f t="shared" si="160"/>
        <v>-7.7831728503952036E-4</v>
      </c>
      <c r="I1269">
        <f t="shared" si="161"/>
        <v>155.34160651311191</v>
      </c>
      <c r="J1269">
        <f t="shared" si="156"/>
        <v>664.7191651411257</v>
      </c>
      <c r="K1269" s="27">
        <f t="shared" si="157"/>
        <v>-343.89987124031637</v>
      </c>
    </row>
    <row r="1270" spans="1:11">
      <c r="A1270" s="26">
        <v>1220</v>
      </c>
      <c r="B1270" s="82">
        <f t="shared" si="158"/>
        <v>0</v>
      </c>
      <c r="C1270" s="58">
        <f t="shared" si="154"/>
        <v>156.29037528357509</v>
      </c>
      <c r="D1270" s="83">
        <f t="shared" si="159"/>
        <v>666.66666666666663</v>
      </c>
      <c r="E1270">
        <f t="shared" si="155"/>
        <v>0</v>
      </c>
      <c r="G1270">
        <v>1220</v>
      </c>
      <c r="H1270" s="13">
        <f t="shared" si="160"/>
        <v>-7.7831728503952036E-4</v>
      </c>
      <c r="I1270">
        <f t="shared" si="161"/>
        <v>155.34082819582687</v>
      </c>
      <c r="J1270">
        <f t="shared" si="156"/>
        <v>664.71753775126842</v>
      </c>
      <c r="K1270" s="27">
        <f t="shared" si="157"/>
        <v>-343.8981873177276</v>
      </c>
    </row>
    <row r="1271" spans="1:11">
      <c r="A1271" s="26">
        <v>1221</v>
      </c>
      <c r="B1271" s="82">
        <f t="shared" si="158"/>
        <v>0</v>
      </c>
      <c r="C1271" s="58">
        <f t="shared" si="154"/>
        <v>156.29037528357509</v>
      </c>
      <c r="D1271" s="83">
        <f t="shared" si="159"/>
        <v>666.66666666666663</v>
      </c>
      <c r="E1271">
        <f t="shared" si="155"/>
        <v>0</v>
      </c>
      <c r="G1271">
        <v>1221</v>
      </c>
      <c r="H1271" s="13">
        <f t="shared" si="160"/>
        <v>-7.7831728503952036E-4</v>
      </c>
      <c r="I1271">
        <f t="shared" si="161"/>
        <v>155.34004987854183</v>
      </c>
      <c r="J1271">
        <f t="shared" si="156"/>
        <v>664.71591031112712</v>
      </c>
      <c r="K1271" s="27">
        <f t="shared" si="157"/>
        <v>-343.89650334722978</v>
      </c>
    </row>
    <row r="1272" spans="1:11">
      <c r="A1272" s="26">
        <v>1222</v>
      </c>
      <c r="B1272" s="82">
        <f t="shared" si="158"/>
        <v>0</v>
      </c>
      <c r="C1272" s="58">
        <f t="shared" si="154"/>
        <v>156.29037528357509</v>
      </c>
      <c r="D1272" s="83">
        <f t="shared" si="159"/>
        <v>666.66666666666663</v>
      </c>
      <c r="E1272">
        <f t="shared" si="155"/>
        <v>0</v>
      </c>
      <c r="G1272">
        <v>1222</v>
      </c>
      <c r="H1272" s="13">
        <f t="shared" si="160"/>
        <v>-7.7831728503952036E-4</v>
      </c>
      <c r="I1272">
        <f t="shared" si="161"/>
        <v>155.33927156125679</v>
      </c>
      <c r="J1272">
        <f t="shared" si="156"/>
        <v>664.71428282069803</v>
      </c>
      <c r="K1272" s="27">
        <f t="shared" si="157"/>
        <v>-343.89481932881932</v>
      </c>
    </row>
    <row r="1273" spans="1:11">
      <c r="A1273" s="26">
        <v>1223</v>
      </c>
      <c r="B1273" s="82">
        <f t="shared" si="158"/>
        <v>0</v>
      </c>
      <c r="C1273" s="58">
        <f t="shared" si="154"/>
        <v>156.29037528357509</v>
      </c>
      <c r="D1273" s="83">
        <f t="shared" si="159"/>
        <v>666.66666666666663</v>
      </c>
      <c r="E1273">
        <f t="shared" si="155"/>
        <v>0</v>
      </c>
      <c r="G1273">
        <v>1223</v>
      </c>
      <c r="H1273" s="13">
        <f t="shared" si="160"/>
        <v>-7.7831728503952036E-4</v>
      </c>
      <c r="I1273">
        <f t="shared" si="161"/>
        <v>155.33849324397175</v>
      </c>
      <c r="J1273">
        <f t="shared" si="156"/>
        <v>664.71265527997741</v>
      </c>
      <c r="K1273" s="27">
        <f t="shared" si="157"/>
        <v>-343.89313526249288</v>
      </c>
    </row>
    <row r="1274" spans="1:11">
      <c r="A1274" s="26">
        <v>1224</v>
      </c>
      <c r="B1274" s="82">
        <f t="shared" si="158"/>
        <v>0</v>
      </c>
      <c r="C1274" s="58">
        <f t="shared" si="154"/>
        <v>156.29037528357509</v>
      </c>
      <c r="D1274" s="83">
        <f t="shared" si="159"/>
        <v>666.66666666666663</v>
      </c>
      <c r="E1274">
        <f t="shared" si="155"/>
        <v>0</v>
      </c>
      <c r="G1274">
        <v>1224</v>
      </c>
      <c r="H1274" s="13">
        <f t="shared" si="160"/>
        <v>-7.7831728503952036E-4</v>
      </c>
      <c r="I1274">
        <f t="shared" si="161"/>
        <v>155.33771492668671</v>
      </c>
      <c r="J1274">
        <f t="shared" si="156"/>
        <v>664.71102768896139</v>
      </c>
      <c r="K1274" s="27">
        <f t="shared" si="157"/>
        <v>-343.89145114824669</v>
      </c>
    </row>
    <row r="1275" spans="1:11">
      <c r="A1275" s="26">
        <v>1225</v>
      </c>
      <c r="B1275" s="82">
        <f t="shared" si="158"/>
        <v>0</v>
      </c>
      <c r="C1275" s="58">
        <f t="shared" si="154"/>
        <v>156.29037528357509</v>
      </c>
      <c r="D1275" s="83">
        <f t="shared" si="159"/>
        <v>666.66666666666663</v>
      </c>
      <c r="E1275">
        <f t="shared" si="155"/>
        <v>0</v>
      </c>
      <c r="G1275">
        <v>1225</v>
      </c>
      <c r="H1275" s="13">
        <f t="shared" si="160"/>
        <v>-7.7831728503952036E-4</v>
      </c>
      <c r="I1275">
        <f t="shared" si="161"/>
        <v>155.33693660940168</v>
      </c>
      <c r="J1275">
        <f t="shared" si="156"/>
        <v>664.70940004764611</v>
      </c>
      <c r="K1275" s="27">
        <f t="shared" si="157"/>
        <v>-343.88976698607718</v>
      </c>
    </row>
    <row r="1276" spans="1:11">
      <c r="A1276" s="26">
        <v>1226</v>
      </c>
      <c r="B1276" s="82">
        <f t="shared" si="158"/>
        <v>0</v>
      </c>
      <c r="C1276" s="58">
        <f t="shared" si="154"/>
        <v>156.29037528357509</v>
      </c>
      <c r="D1276" s="83">
        <f t="shared" si="159"/>
        <v>666.66666666666663</v>
      </c>
      <c r="E1276">
        <f t="shared" si="155"/>
        <v>0</v>
      </c>
      <c r="G1276">
        <v>1226</v>
      </c>
      <c r="H1276" s="13">
        <f t="shared" si="160"/>
        <v>-7.7831728503952036E-4</v>
      </c>
      <c r="I1276">
        <f t="shared" si="161"/>
        <v>155.33615829211664</v>
      </c>
      <c r="J1276">
        <f t="shared" si="156"/>
        <v>664.70777235602782</v>
      </c>
      <c r="K1276" s="27">
        <f t="shared" si="157"/>
        <v>-343.88808277598105</v>
      </c>
    </row>
    <row r="1277" spans="1:11">
      <c r="A1277" s="26">
        <v>1227</v>
      </c>
      <c r="B1277" s="82">
        <f t="shared" si="158"/>
        <v>0</v>
      </c>
      <c r="C1277" s="58">
        <f t="shared" si="154"/>
        <v>156.29037528357509</v>
      </c>
      <c r="D1277" s="83">
        <f t="shared" si="159"/>
        <v>666.66666666666663</v>
      </c>
      <c r="E1277">
        <f t="shared" si="155"/>
        <v>0</v>
      </c>
      <c r="G1277">
        <v>1227</v>
      </c>
      <c r="H1277" s="13">
        <f t="shared" si="160"/>
        <v>-7.7831728503952036E-4</v>
      </c>
      <c r="I1277">
        <f t="shared" si="161"/>
        <v>155.3353799748316</v>
      </c>
      <c r="J1277">
        <f t="shared" si="156"/>
        <v>664.70614461410287</v>
      </c>
      <c r="K1277" s="27">
        <f t="shared" si="157"/>
        <v>-343.88639851795455</v>
      </c>
    </row>
    <row r="1278" spans="1:11">
      <c r="A1278" s="26">
        <v>1228</v>
      </c>
      <c r="B1278" s="82">
        <f t="shared" si="158"/>
        <v>0</v>
      </c>
      <c r="C1278" s="58">
        <f t="shared" si="154"/>
        <v>156.29037528357509</v>
      </c>
      <c r="D1278" s="83">
        <f t="shared" si="159"/>
        <v>666.66666666666663</v>
      </c>
      <c r="E1278">
        <f t="shared" si="155"/>
        <v>0</v>
      </c>
      <c r="G1278">
        <v>1228</v>
      </c>
      <c r="H1278" s="13">
        <f t="shared" si="160"/>
        <v>-7.7831728503952036E-4</v>
      </c>
      <c r="I1278">
        <f t="shared" si="161"/>
        <v>155.33460165754656</v>
      </c>
      <c r="J1278">
        <f t="shared" si="156"/>
        <v>664.70451682186729</v>
      </c>
      <c r="K1278" s="27">
        <f t="shared" si="157"/>
        <v>-343.88471421199421</v>
      </c>
    </row>
    <row r="1279" spans="1:11">
      <c r="A1279" s="26">
        <v>1229</v>
      </c>
      <c r="B1279" s="82">
        <f t="shared" si="158"/>
        <v>0</v>
      </c>
      <c r="C1279" s="58">
        <f t="shared" si="154"/>
        <v>156.29037528357509</v>
      </c>
      <c r="D1279" s="83">
        <f t="shared" si="159"/>
        <v>666.66666666666663</v>
      </c>
      <c r="E1279">
        <f t="shared" si="155"/>
        <v>0</v>
      </c>
      <c r="G1279">
        <v>1229</v>
      </c>
      <c r="H1279" s="13">
        <f t="shared" si="160"/>
        <v>-7.7831728503952036E-4</v>
      </c>
      <c r="I1279">
        <f t="shared" si="161"/>
        <v>155.33382334026152</v>
      </c>
      <c r="J1279">
        <f t="shared" si="156"/>
        <v>664.70288897931732</v>
      </c>
      <c r="K1279" s="27">
        <f t="shared" si="157"/>
        <v>-343.88302985809645</v>
      </c>
    </row>
    <row r="1280" spans="1:11">
      <c r="A1280" s="26">
        <v>1230</v>
      </c>
      <c r="B1280" s="82">
        <f t="shared" si="158"/>
        <v>0</v>
      </c>
      <c r="C1280" s="58">
        <f t="shared" si="154"/>
        <v>156.29037528357509</v>
      </c>
      <c r="D1280" s="83">
        <f t="shared" si="159"/>
        <v>666.66666666666663</v>
      </c>
      <c r="E1280">
        <f t="shared" si="155"/>
        <v>0</v>
      </c>
      <c r="G1280">
        <v>1230</v>
      </c>
      <c r="H1280" s="13">
        <f t="shared" si="160"/>
        <v>-7.7831728503952036E-4</v>
      </c>
      <c r="I1280">
        <f t="shared" si="161"/>
        <v>155.33304502297648</v>
      </c>
      <c r="J1280">
        <f t="shared" si="156"/>
        <v>664.70126108644922</v>
      </c>
      <c r="K1280" s="27">
        <f t="shared" si="157"/>
        <v>-343.88134545625775</v>
      </c>
    </row>
    <row r="1281" spans="1:11">
      <c r="A1281" s="26">
        <v>1231</v>
      </c>
      <c r="B1281" s="82">
        <f t="shared" si="158"/>
        <v>0</v>
      </c>
      <c r="C1281" s="58">
        <f t="shared" si="154"/>
        <v>156.29037528357509</v>
      </c>
      <c r="D1281" s="83">
        <f t="shared" si="159"/>
        <v>666.66666666666663</v>
      </c>
      <c r="E1281">
        <f t="shared" si="155"/>
        <v>0</v>
      </c>
      <c r="G1281">
        <v>1231</v>
      </c>
      <c r="H1281" s="13">
        <f t="shared" si="160"/>
        <v>-7.7831728503952036E-4</v>
      </c>
      <c r="I1281">
        <f t="shared" si="161"/>
        <v>155.33226670569144</v>
      </c>
      <c r="J1281">
        <f t="shared" si="156"/>
        <v>664.69963314325912</v>
      </c>
      <c r="K1281" s="27">
        <f t="shared" si="157"/>
        <v>-343.87966100647446</v>
      </c>
    </row>
    <row r="1282" spans="1:11">
      <c r="A1282" s="26">
        <v>1232</v>
      </c>
      <c r="B1282" s="82">
        <f t="shared" si="158"/>
        <v>0</v>
      </c>
      <c r="C1282" s="58">
        <f t="shared" si="154"/>
        <v>156.29037528357509</v>
      </c>
      <c r="D1282" s="83">
        <f t="shared" si="159"/>
        <v>666.66666666666663</v>
      </c>
      <c r="E1282">
        <f t="shared" si="155"/>
        <v>0</v>
      </c>
      <c r="G1282">
        <v>1232</v>
      </c>
      <c r="H1282" s="13">
        <f t="shared" si="160"/>
        <v>-7.7831728503952036E-4</v>
      </c>
      <c r="I1282">
        <f t="shared" si="161"/>
        <v>155.3314883884064</v>
      </c>
      <c r="J1282">
        <f t="shared" si="156"/>
        <v>664.69800514974315</v>
      </c>
      <c r="K1282" s="27">
        <f t="shared" si="157"/>
        <v>-343.87797650874313</v>
      </c>
    </row>
    <row r="1283" spans="1:11">
      <c r="A1283" s="26">
        <v>1233</v>
      </c>
      <c r="B1283" s="82">
        <f t="shared" si="158"/>
        <v>0</v>
      </c>
      <c r="C1283" s="58">
        <f t="shared" si="154"/>
        <v>156.29037528357509</v>
      </c>
      <c r="D1283" s="83">
        <f t="shared" si="159"/>
        <v>666.66666666666663</v>
      </c>
      <c r="E1283">
        <f t="shared" si="155"/>
        <v>0</v>
      </c>
      <c r="G1283">
        <v>1233</v>
      </c>
      <c r="H1283" s="13">
        <f t="shared" si="160"/>
        <v>-7.7831728503952036E-4</v>
      </c>
      <c r="I1283">
        <f t="shared" si="161"/>
        <v>155.33071007112136</v>
      </c>
      <c r="J1283">
        <f t="shared" si="156"/>
        <v>664.6963771058978</v>
      </c>
      <c r="K1283" s="27">
        <f t="shared" si="157"/>
        <v>-343.8762919630604</v>
      </c>
    </row>
    <row r="1284" spans="1:11">
      <c r="A1284" s="26">
        <v>1234</v>
      </c>
      <c r="B1284" s="82">
        <f t="shared" si="158"/>
        <v>0</v>
      </c>
      <c r="C1284" s="58">
        <f t="shared" si="154"/>
        <v>156.29037528357509</v>
      </c>
      <c r="D1284" s="83">
        <f t="shared" si="159"/>
        <v>666.66666666666663</v>
      </c>
      <c r="E1284">
        <f t="shared" si="155"/>
        <v>0</v>
      </c>
      <c r="G1284">
        <v>1234</v>
      </c>
      <c r="H1284" s="13">
        <f t="shared" si="160"/>
        <v>-7.7831728503952036E-4</v>
      </c>
      <c r="I1284">
        <f t="shared" si="161"/>
        <v>155.32993175383632</v>
      </c>
      <c r="J1284">
        <f t="shared" si="156"/>
        <v>664.69474901171895</v>
      </c>
      <c r="K1284" s="27">
        <f t="shared" si="157"/>
        <v>-343.87460736942234</v>
      </c>
    </row>
    <row r="1285" spans="1:11">
      <c r="A1285" s="26">
        <v>1235</v>
      </c>
      <c r="B1285" s="82">
        <f t="shared" si="158"/>
        <v>0</v>
      </c>
      <c r="C1285" s="58">
        <f t="shared" si="154"/>
        <v>156.29037528357509</v>
      </c>
      <c r="D1285" s="83">
        <f t="shared" si="159"/>
        <v>666.66666666666663</v>
      </c>
      <c r="E1285">
        <f t="shared" si="155"/>
        <v>0</v>
      </c>
      <c r="G1285">
        <v>1235</v>
      </c>
      <c r="H1285" s="13">
        <f t="shared" si="160"/>
        <v>-7.7831728503952036E-4</v>
      </c>
      <c r="I1285">
        <f t="shared" si="161"/>
        <v>155.32915343655128</v>
      </c>
      <c r="J1285">
        <f t="shared" si="156"/>
        <v>664.69312086720299</v>
      </c>
      <c r="K1285" s="27">
        <f t="shared" si="157"/>
        <v>-343.87292272782565</v>
      </c>
    </row>
    <row r="1286" spans="1:11">
      <c r="A1286" s="26">
        <v>1236</v>
      </c>
      <c r="B1286" s="82">
        <f t="shared" si="158"/>
        <v>0</v>
      </c>
      <c r="C1286" s="58">
        <f t="shared" si="154"/>
        <v>156.29037528357509</v>
      </c>
      <c r="D1286" s="83">
        <f t="shared" si="159"/>
        <v>666.66666666666663</v>
      </c>
      <c r="E1286">
        <f t="shared" si="155"/>
        <v>0</v>
      </c>
      <c r="G1286">
        <v>1236</v>
      </c>
      <c r="H1286" s="13">
        <f t="shared" si="160"/>
        <v>-7.7831728503952036E-4</v>
      </c>
      <c r="I1286">
        <f t="shared" si="161"/>
        <v>155.32837511926624</v>
      </c>
      <c r="J1286">
        <f t="shared" si="156"/>
        <v>664.69149267234604</v>
      </c>
      <c r="K1286" s="27">
        <f t="shared" si="157"/>
        <v>-343.87123803826671</v>
      </c>
    </row>
    <row r="1287" spans="1:11">
      <c r="A1287" s="26">
        <v>1237</v>
      </c>
      <c r="B1287" s="82">
        <f t="shared" si="158"/>
        <v>0</v>
      </c>
      <c r="C1287" s="58">
        <f t="shared" si="154"/>
        <v>156.29037528357509</v>
      </c>
      <c r="D1287" s="83">
        <f t="shared" si="159"/>
        <v>666.66666666666663</v>
      </c>
      <c r="E1287">
        <f t="shared" si="155"/>
        <v>0</v>
      </c>
      <c r="G1287">
        <v>1237</v>
      </c>
      <c r="H1287" s="13">
        <f t="shared" si="160"/>
        <v>-7.7831728503952036E-4</v>
      </c>
      <c r="I1287">
        <f t="shared" si="161"/>
        <v>155.3275968019812</v>
      </c>
      <c r="J1287">
        <f t="shared" si="156"/>
        <v>664.68986442714436</v>
      </c>
      <c r="K1287" s="27">
        <f t="shared" si="157"/>
        <v>-343.86955330074198</v>
      </c>
    </row>
    <row r="1288" spans="1:11">
      <c r="A1288" s="26">
        <v>1238</v>
      </c>
      <c r="B1288" s="82">
        <f t="shared" si="158"/>
        <v>0</v>
      </c>
      <c r="C1288" s="58">
        <f t="shared" si="154"/>
        <v>156.29037528357509</v>
      </c>
      <c r="D1288" s="83">
        <f t="shared" si="159"/>
        <v>666.66666666666663</v>
      </c>
      <c r="E1288">
        <f t="shared" si="155"/>
        <v>0</v>
      </c>
      <c r="G1288">
        <v>1238</v>
      </c>
      <c r="H1288" s="13">
        <f t="shared" si="160"/>
        <v>-7.7831728503952036E-4</v>
      </c>
      <c r="I1288">
        <f t="shared" si="161"/>
        <v>155.32681848469616</v>
      </c>
      <c r="J1288">
        <f t="shared" si="156"/>
        <v>664.68823613159407</v>
      </c>
      <c r="K1288" s="27">
        <f t="shared" si="157"/>
        <v>-343.86786851524789</v>
      </c>
    </row>
    <row r="1289" spans="1:11">
      <c r="A1289" s="26">
        <v>1239</v>
      </c>
      <c r="B1289" s="82">
        <f t="shared" si="158"/>
        <v>0</v>
      </c>
      <c r="C1289" s="58">
        <f t="shared" si="154"/>
        <v>156.29037528357509</v>
      </c>
      <c r="D1289" s="83">
        <f t="shared" si="159"/>
        <v>666.66666666666663</v>
      </c>
      <c r="E1289">
        <f t="shared" si="155"/>
        <v>0</v>
      </c>
      <c r="G1289">
        <v>1239</v>
      </c>
      <c r="H1289" s="13">
        <f t="shared" si="160"/>
        <v>-7.7831728503952036E-4</v>
      </c>
      <c r="I1289">
        <f t="shared" si="161"/>
        <v>155.32604016741112</v>
      </c>
      <c r="J1289">
        <f t="shared" si="156"/>
        <v>664.68660778569142</v>
      </c>
      <c r="K1289" s="27">
        <f t="shared" si="157"/>
        <v>-343.86618368178091</v>
      </c>
    </row>
    <row r="1290" spans="1:11">
      <c r="A1290" s="26">
        <v>1240</v>
      </c>
      <c r="B1290" s="82">
        <f t="shared" si="158"/>
        <v>0</v>
      </c>
      <c r="C1290" s="58">
        <f t="shared" si="154"/>
        <v>156.29037528357509</v>
      </c>
      <c r="D1290" s="83">
        <f t="shared" si="159"/>
        <v>666.66666666666663</v>
      </c>
      <c r="E1290">
        <f t="shared" si="155"/>
        <v>0</v>
      </c>
      <c r="G1290">
        <v>1240</v>
      </c>
      <c r="H1290" s="13">
        <f t="shared" si="160"/>
        <v>-7.7831728503952036E-4</v>
      </c>
      <c r="I1290">
        <f t="shared" si="161"/>
        <v>155.32526185012608</v>
      </c>
      <c r="J1290">
        <f t="shared" si="156"/>
        <v>664.68497938943256</v>
      </c>
      <c r="K1290" s="27">
        <f t="shared" si="157"/>
        <v>-343.86449880033746</v>
      </c>
    </row>
    <row r="1291" spans="1:11">
      <c r="A1291" s="26">
        <v>1241</v>
      </c>
      <c r="B1291" s="82">
        <f t="shared" si="158"/>
        <v>0</v>
      </c>
      <c r="C1291" s="58">
        <f t="shared" si="154"/>
        <v>156.29037528357509</v>
      </c>
      <c r="D1291" s="83">
        <f t="shared" si="159"/>
        <v>666.66666666666663</v>
      </c>
      <c r="E1291">
        <f t="shared" si="155"/>
        <v>0</v>
      </c>
      <c r="G1291">
        <v>1241</v>
      </c>
      <c r="H1291" s="13">
        <f t="shared" si="160"/>
        <v>-7.7831728503952036E-4</v>
      </c>
      <c r="I1291">
        <f t="shared" si="161"/>
        <v>155.32448353284104</v>
      </c>
      <c r="J1291">
        <f t="shared" si="156"/>
        <v>664.68335094281372</v>
      </c>
      <c r="K1291" s="27">
        <f t="shared" si="157"/>
        <v>-343.86281387091407</v>
      </c>
    </row>
    <row r="1292" spans="1:11">
      <c r="A1292" s="26">
        <v>1242</v>
      </c>
      <c r="B1292" s="82">
        <f t="shared" si="158"/>
        <v>0</v>
      </c>
      <c r="C1292" s="58">
        <f t="shared" si="154"/>
        <v>156.29037528357509</v>
      </c>
      <c r="D1292" s="83">
        <f t="shared" si="159"/>
        <v>666.66666666666663</v>
      </c>
      <c r="E1292">
        <f t="shared" si="155"/>
        <v>0</v>
      </c>
      <c r="G1292">
        <v>1242</v>
      </c>
      <c r="H1292" s="13">
        <f t="shared" si="160"/>
        <v>-7.7831728503952036E-4</v>
      </c>
      <c r="I1292">
        <f t="shared" si="161"/>
        <v>155.323705215556</v>
      </c>
      <c r="J1292">
        <f t="shared" si="156"/>
        <v>664.68172244583116</v>
      </c>
      <c r="K1292" s="27">
        <f t="shared" si="157"/>
        <v>-343.8611288935071</v>
      </c>
    </row>
    <row r="1293" spans="1:11">
      <c r="A1293" s="26">
        <v>1243</v>
      </c>
      <c r="B1293" s="82">
        <f t="shared" si="158"/>
        <v>0</v>
      </c>
      <c r="C1293" s="58">
        <f t="shared" si="154"/>
        <v>156.29037528357509</v>
      </c>
      <c r="D1293" s="83">
        <f t="shared" si="159"/>
        <v>666.66666666666663</v>
      </c>
      <c r="E1293">
        <f t="shared" si="155"/>
        <v>0</v>
      </c>
      <c r="G1293">
        <v>1243</v>
      </c>
      <c r="H1293" s="13">
        <f t="shared" si="160"/>
        <v>-7.7831728503952036E-4</v>
      </c>
      <c r="I1293">
        <f t="shared" si="161"/>
        <v>155.32292689827096</v>
      </c>
      <c r="J1293">
        <f t="shared" si="156"/>
        <v>664.680093898481</v>
      </c>
      <c r="K1293" s="27">
        <f t="shared" si="157"/>
        <v>-343.85944386811292</v>
      </c>
    </row>
    <row r="1294" spans="1:11">
      <c r="A1294" s="26">
        <v>1244</v>
      </c>
      <c r="B1294" s="82">
        <f t="shared" si="158"/>
        <v>0</v>
      </c>
      <c r="C1294" s="58">
        <f t="shared" si="154"/>
        <v>156.29037528357509</v>
      </c>
      <c r="D1294" s="83">
        <f t="shared" si="159"/>
        <v>666.66666666666663</v>
      </c>
      <c r="E1294">
        <f t="shared" si="155"/>
        <v>0</v>
      </c>
      <c r="G1294">
        <v>1244</v>
      </c>
      <c r="H1294" s="13">
        <f t="shared" si="160"/>
        <v>-7.7831728503952036E-4</v>
      </c>
      <c r="I1294">
        <f t="shared" si="161"/>
        <v>155.32214858098592</v>
      </c>
      <c r="J1294">
        <f t="shared" si="156"/>
        <v>664.6784653007594</v>
      </c>
      <c r="K1294" s="27">
        <f t="shared" si="157"/>
        <v>-343.85775879472817</v>
      </c>
    </row>
    <row r="1295" spans="1:11">
      <c r="A1295" s="26">
        <v>1245</v>
      </c>
      <c r="B1295" s="82">
        <f t="shared" si="158"/>
        <v>0</v>
      </c>
      <c r="C1295" s="58">
        <f t="shared" si="154"/>
        <v>156.29037528357509</v>
      </c>
      <c r="D1295" s="83">
        <f t="shared" si="159"/>
        <v>666.66666666666663</v>
      </c>
      <c r="E1295">
        <f t="shared" si="155"/>
        <v>0</v>
      </c>
      <c r="G1295">
        <v>1245</v>
      </c>
      <c r="H1295" s="13">
        <f t="shared" si="160"/>
        <v>-7.7831728503952036E-4</v>
      </c>
      <c r="I1295">
        <f t="shared" si="161"/>
        <v>155.32137026370089</v>
      </c>
      <c r="J1295">
        <f t="shared" si="156"/>
        <v>664.6768366526627</v>
      </c>
      <c r="K1295" s="27">
        <f t="shared" si="157"/>
        <v>-343.85607367334916</v>
      </c>
    </row>
    <row r="1296" spans="1:11">
      <c r="A1296" s="26">
        <v>1246</v>
      </c>
      <c r="B1296" s="82">
        <f t="shared" si="158"/>
        <v>0</v>
      </c>
      <c r="C1296" s="58">
        <f t="shared" ref="C1296:C1359" si="162">($C$37-$C$36)/2000+C1295</f>
        <v>156.29037528357509</v>
      </c>
      <c r="D1296" s="83">
        <f t="shared" si="159"/>
        <v>666.66666666666663</v>
      </c>
      <c r="E1296">
        <f t="shared" si="155"/>
        <v>0</v>
      </c>
      <c r="G1296">
        <v>1246</v>
      </c>
      <c r="H1296" s="13">
        <f t="shared" si="160"/>
        <v>-7.7831728503952036E-4</v>
      </c>
      <c r="I1296">
        <f t="shared" si="161"/>
        <v>155.32059194641585</v>
      </c>
      <c r="J1296">
        <f t="shared" si="156"/>
        <v>664.67520795418682</v>
      </c>
      <c r="K1296" s="27">
        <f t="shared" si="157"/>
        <v>-343.85438850397253</v>
      </c>
    </row>
    <row r="1297" spans="1:11">
      <c r="A1297" s="26">
        <v>1247</v>
      </c>
      <c r="B1297" s="82">
        <f t="shared" si="158"/>
        <v>0</v>
      </c>
      <c r="C1297" s="58">
        <f t="shared" si="162"/>
        <v>156.29037528357509</v>
      </c>
      <c r="D1297" s="83">
        <f t="shared" si="159"/>
        <v>666.66666666666663</v>
      </c>
      <c r="E1297">
        <f t="shared" si="155"/>
        <v>0</v>
      </c>
      <c r="G1297">
        <v>1247</v>
      </c>
      <c r="H1297" s="13">
        <f t="shared" si="160"/>
        <v>-7.7831728503952036E-4</v>
      </c>
      <c r="I1297">
        <f t="shared" si="161"/>
        <v>155.31981362913081</v>
      </c>
      <c r="J1297">
        <f t="shared" si="156"/>
        <v>664.67357920532834</v>
      </c>
      <c r="K1297" s="27">
        <f t="shared" si="157"/>
        <v>-343.85270328659448</v>
      </c>
    </row>
    <row r="1298" spans="1:11">
      <c r="A1298" s="26">
        <v>1248</v>
      </c>
      <c r="B1298" s="82">
        <f t="shared" si="158"/>
        <v>0</v>
      </c>
      <c r="C1298" s="58">
        <f t="shared" si="162"/>
        <v>156.29037528357509</v>
      </c>
      <c r="D1298" s="83">
        <f t="shared" si="159"/>
        <v>666.66666666666663</v>
      </c>
      <c r="E1298">
        <f t="shared" si="155"/>
        <v>0</v>
      </c>
      <c r="G1298">
        <v>1248</v>
      </c>
      <c r="H1298" s="13">
        <f t="shared" si="160"/>
        <v>-7.7831728503952036E-4</v>
      </c>
      <c r="I1298">
        <f t="shared" si="161"/>
        <v>155.31903531184577</v>
      </c>
      <c r="J1298">
        <f t="shared" si="156"/>
        <v>664.67195040608317</v>
      </c>
      <c r="K1298" s="27">
        <f t="shared" si="157"/>
        <v>-343.85101802121159</v>
      </c>
    </row>
    <row r="1299" spans="1:11">
      <c r="A1299" s="26">
        <v>1249</v>
      </c>
      <c r="B1299" s="82">
        <f t="shared" si="158"/>
        <v>0</v>
      </c>
      <c r="C1299" s="58">
        <f t="shared" si="162"/>
        <v>156.29037528357509</v>
      </c>
      <c r="D1299" s="83">
        <f t="shared" si="159"/>
        <v>666.66666666666663</v>
      </c>
      <c r="E1299">
        <f t="shared" si="155"/>
        <v>0</v>
      </c>
      <c r="G1299">
        <v>1249</v>
      </c>
      <c r="H1299" s="13">
        <f t="shared" si="160"/>
        <v>-7.7831728503952036E-4</v>
      </c>
      <c r="I1299">
        <f t="shared" si="161"/>
        <v>155.31825699456073</v>
      </c>
      <c r="J1299">
        <f t="shared" si="156"/>
        <v>664.67032155644756</v>
      </c>
      <c r="K1299" s="27">
        <f t="shared" si="157"/>
        <v>-343.84933270782017</v>
      </c>
    </row>
    <row r="1300" spans="1:11">
      <c r="A1300" s="26">
        <v>1250</v>
      </c>
      <c r="B1300" s="82">
        <f t="shared" si="158"/>
        <v>0</v>
      </c>
      <c r="C1300" s="58">
        <f t="shared" si="162"/>
        <v>156.29037528357509</v>
      </c>
      <c r="D1300" s="83">
        <f t="shared" si="159"/>
        <v>666.66666666666663</v>
      </c>
      <c r="E1300">
        <f t="shared" si="155"/>
        <v>0</v>
      </c>
      <c r="G1300">
        <v>1250</v>
      </c>
      <c r="H1300" s="13">
        <f t="shared" si="160"/>
        <v>-7.7831728503952036E-4</v>
      </c>
      <c r="I1300">
        <f t="shared" si="161"/>
        <v>155.31747867727569</v>
      </c>
      <c r="J1300">
        <f t="shared" si="156"/>
        <v>664.66869265641765</v>
      </c>
      <c r="K1300" s="27">
        <f t="shared" si="157"/>
        <v>-343.84764734641675</v>
      </c>
    </row>
    <row r="1301" spans="1:11">
      <c r="A1301" s="26">
        <v>1251</v>
      </c>
      <c r="B1301" s="82">
        <f t="shared" si="158"/>
        <v>0</v>
      </c>
      <c r="C1301" s="58">
        <f t="shared" si="162"/>
        <v>156.29037528357509</v>
      </c>
      <c r="D1301" s="83">
        <f t="shared" si="159"/>
        <v>666.66666666666663</v>
      </c>
      <c r="E1301">
        <f t="shared" si="155"/>
        <v>0</v>
      </c>
      <c r="G1301">
        <v>1251</v>
      </c>
      <c r="H1301" s="13">
        <f t="shared" si="160"/>
        <v>-7.7831728503952036E-4</v>
      </c>
      <c r="I1301">
        <f t="shared" si="161"/>
        <v>155.31670035999065</v>
      </c>
      <c r="J1301">
        <f t="shared" si="156"/>
        <v>664.66706370598979</v>
      </c>
      <c r="K1301" s="27">
        <f t="shared" si="157"/>
        <v>-343.84596193699787</v>
      </c>
    </row>
    <row r="1302" spans="1:11">
      <c r="A1302" s="26">
        <v>1252</v>
      </c>
      <c r="B1302" s="82">
        <f t="shared" si="158"/>
        <v>0</v>
      </c>
      <c r="C1302" s="58">
        <f t="shared" si="162"/>
        <v>156.29037528357509</v>
      </c>
      <c r="D1302" s="83">
        <f t="shared" si="159"/>
        <v>666.66666666666663</v>
      </c>
      <c r="E1302">
        <f t="shared" si="155"/>
        <v>0</v>
      </c>
      <c r="G1302">
        <v>1252</v>
      </c>
      <c r="H1302" s="13">
        <f t="shared" si="160"/>
        <v>-7.7831728503952036E-4</v>
      </c>
      <c r="I1302">
        <f t="shared" si="161"/>
        <v>155.31592204270561</v>
      </c>
      <c r="J1302">
        <f t="shared" si="156"/>
        <v>664.66543470516012</v>
      </c>
      <c r="K1302" s="27">
        <f t="shared" si="157"/>
        <v>-343.84427647955982</v>
      </c>
    </row>
    <row r="1303" spans="1:11">
      <c r="A1303" s="26">
        <v>1253</v>
      </c>
      <c r="B1303" s="82">
        <f t="shared" si="158"/>
        <v>0</v>
      </c>
      <c r="C1303" s="58">
        <f t="shared" si="162"/>
        <v>156.29037528357509</v>
      </c>
      <c r="D1303" s="83">
        <f t="shared" si="159"/>
        <v>666.66666666666663</v>
      </c>
      <c r="E1303">
        <f t="shared" si="155"/>
        <v>0</v>
      </c>
      <c r="G1303">
        <v>1253</v>
      </c>
      <c r="H1303" s="13">
        <f t="shared" si="160"/>
        <v>-7.7831728503952036E-4</v>
      </c>
      <c r="I1303">
        <f t="shared" si="161"/>
        <v>155.31514372542057</v>
      </c>
      <c r="J1303">
        <f t="shared" si="156"/>
        <v>664.66380565392467</v>
      </c>
      <c r="K1303" s="27">
        <f t="shared" si="157"/>
        <v>-343.84259097409904</v>
      </c>
    </row>
    <row r="1304" spans="1:11">
      <c r="A1304" s="26">
        <v>1254</v>
      </c>
      <c r="B1304" s="82">
        <f t="shared" si="158"/>
        <v>0</v>
      </c>
      <c r="C1304" s="58">
        <f t="shared" si="162"/>
        <v>156.29037528357509</v>
      </c>
      <c r="D1304" s="83">
        <f t="shared" si="159"/>
        <v>666.66666666666663</v>
      </c>
      <c r="E1304">
        <f t="shared" si="155"/>
        <v>0</v>
      </c>
      <c r="G1304">
        <v>1254</v>
      </c>
      <c r="H1304" s="13">
        <f t="shared" si="160"/>
        <v>-7.7831728503952036E-4</v>
      </c>
      <c r="I1304">
        <f t="shared" si="161"/>
        <v>155.31436540813553</v>
      </c>
      <c r="J1304">
        <f t="shared" si="156"/>
        <v>664.66217655227979</v>
      </c>
      <c r="K1304" s="27">
        <f t="shared" si="157"/>
        <v>-343.84090542061216</v>
      </c>
    </row>
    <row r="1305" spans="1:11">
      <c r="A1305" s="26">
        <v>1255</v>
      </c>
      <c r="B1305" s="82">
        <f t="shared" si="158"/>
        <v>0</v>
      </c>
      <c r="C1305" s="58">
        <f t="shared" si="162"/>
        <v>156.29037528357509</v>
      </c>
      <c r="D1305" s="83">
        <f t="shared" si="159"/>
        <v>666.66666666666663</v>
      </c>
      <c r="E1305">
        <f t="shared" si="155"/>
        <v>0</v>
      </c>
      <c r="G1305">
        <v>1255</v>
      </c>
      <c r="H1305" s="13">
        <f t="shared" si="160"/>
        <v>-7.7831728503952036E-4</v>
      </c>
      <c r="I1305">
        <f t="shared" si="161"/>
        <v>155.31358709085049</v>
      </c>
      <c r="J1305">
        <f t="shared" si="156"/>
        <v>664.66054740022173</v>
      </c>
      <c r="K1305" s="27">
        <f t="shared" si="157"/>
        <v>-343.83921981909543</v>
      </c>
    </row>
    <row r="1306" spans="1:11">
      <c r="A1306" s="26">
        <v>1256</v>
      </c>
      <c r="B1306" s="82">
        <f t="shared" si="158"/>
        <v>0</v>
      </c>
      <c r="C1306" s="58">
        <f t="shared" si="162"/>
        <v>156.29037528357509</v>
      </c>
      <c r="D1306" s="83">
        <f t="shared" si="159"/>
        <v>666.66666666666663</v>
      </c>
      <c r="E1306">
        <f t="shared" si="155"/>
        <v>0</v>
      </c>
      <c r="G1306">
        <v>1256</v>
      </c>
      <c r="H1306" s="13">
        <f t="shared" si="160"/>
        <v>-7.7831728503952036E-4</v>
      </c>
      <c r="I1306">
        <f t="shared" si="161"/>
        <v>155.31280877356545</v>
      </c>
      <c r="J1306">
        <f t="shared" si="156"/>
        <v>664.65891819774652</v>
      </c>
      <c r="K1306" s="27">
        <f t="shared" si="157"/>
        <v>-343.83753416954545</v>
      </c>
    </row>
    <row r="1307" spans="1:11">
      <c r="A1307" s="26">
        <v>1257</v>
      </c>
      <c r="B1307" s="82">
        <f t="shared" si="158"/>
        <v>0</v>
      </c>
      <c r="C1307" s="58">
        <f t="shared" si="162"/>
        <v>156.29037528357509</v>
      </c>
      <c r="D1307" s="83">
        <f t="shared" si="159"/>
        <v>666.66666666666663</v>
      </c>
      <c r="E1307">
        <f t="shared" si="155"/>
        <v>0</v>
      </c>
      <c r="G1307">
        <v>1257</v>
      </c>
      <c r="H1307" s="13">
        <f t="shared" si="160"/>
        <v>-7.7831728503952036E-4</v>
      </c>
      <c r="I1307">
        <f t="shared" si="161"/>
        <v>155.31203045628041</v>
      </c>
      <c r="J1307">
        <f t="shared" si="156"/>
        <v>664.65728894485039</v>
      </c>
      <c r="K1307" s="27">
        <f t="shared" si="157"/>
        <v>-343.83584847195851</v>
      </c>
    </row>
    <row r="1308" spans="1:11">
      <c r="A1308" s="26">
        <v>1258</v>
      </c>
      <c r="B1308" s="82">
        <f t="shared" si="158"/>
        <v>0</v>
      </c>
      <c r="C1308" s="58">
        <f t="shared" si="162"/>
        <v>156.29037528357509</v>
      </c>
      <c r="D1308" s="83">
        <f t="shared" si="159"/>
        <v>666.66666666666663</v>
      </c>
      <c r="E1308">
        <f t="shared" si="155"/>
        <v>0</v>
      </c>
      <c r="G1308">
        <v>1258</v>
      </c>
      <c r="H1308" s="13">
        <f t="shared" si="160"/>
        <v>-7.7831728503952036E-4</v>
      </c>
      <c r="I1308">
        <f t="shared" si="161"/>
        <v>155.31125213899537</v>
      </c>
      <c r="J1308">
        <f t="shared" si="156"/>
        <v>664.65565964152961</v>
      </c>
      <c r="K1308" s="27">
        <f t="shared" si="157"/>
        <v>-343.83416272633116</v>
      </c>
    </row>
    <row r="1309" spans="1:11">
      <c r="A1309" s="26">
        <v>1259</v>
      </c>
      <c r="B1309" s="82">
        <f t="shared" si="158"/>
        <v>0</v>
      </c>
      <c r="C1309" s="58">
        <f t="shared" si="162"/>
        <v>156.29037528357509</v>
      </c>
      <c r="D1309" s="83">
        <f t="shared" si="159"/>
        <v>666.66666666666663</v>
      </c>
      <c r="E1309">
        <f t="shared" si="155"/>
        <v>0</v>
      </c>
      <c r="G1309">
        <v>1259</v>
      </c>
      <c r="H1309" s="13">
        <f t="shared" si="160"/>
        <v>-7.7831728503952036E-4</v>
      </c>
      <c r="I1309">
        <f t="shared" si="161"/>
        <v>155.31047382171033</v>
      </c>
      <c r="J1309">
        <f t="shared" si="156"/>
        <v>664.6540302877803</v>
      </c>
      <c r="K1309" s="27">
        <f t="shared" si="157"/>
        <v>-343.83247693265963</v>
      </c>
    </row>
    <row r="1310" spans="1:11">
      <c r="A1310" s="26">
        <v>1260</v>
      </c>
      <c r="B1310" s="82">
        <f t="shared" si="158"/>
        <v>0</v>
      </c>
      <c r="C1310" s="58">
        <f t="shared" si="162"/>
        <v>156.29037528357509</v>
      </c>
      <c r="D1310" s="83">
        <f t="shared" si="159"/>
        <v>666.66666666666663</v>
      </c>
      <c r="E1310">
        <f t="shared" si="155"/>
        <v>0</v>
      </c>
      <c r="G1310">
        <v>1260</v>
      </c>
      <c r="H1310" s="13">
        <f t="shared" si="160"/>
        <v>-7.7831728503952036E-4</v>
      </c>
      <c r="I1310">
        <f t="shared" si="161"/>
        <v>155.30969550442529</v>
      </c>
      <c r="J1310">
        <f t="shared" si="156"/>
        <v>664.6524008835986</v>
      </c>
      <c r="K1310" s="27">
        <f t="shared" si="157"/>
        <v>-343.83079109094069</v>
      </c>
    </row>
    <row r="1311" spans="1:11">
      <c r="A1311" s="26">
        <v>1261</v>
      </c>
      <c r="B1311" s="82">
        <f t="shared" si="158"/>
        <v>0</v>
      </c>
      <c r="C1311" s="58">
        <f t="shared" si="162"/>
        <v>156.29037528357509</v>
      </c>
      <c r="D1311" s="83">
        <f t="shared" si="159"/>
        <v>666.66666666666663</v>
      </c>
      <c r="E1311">
        <f t="shared" si="155"/>
        <v>0</v>
      </c>
      <c r="G1311">
        <v>1261</v>
      </c>
      <c r="H1311" s="13">
        <f t="shared" si="160"/>
        <v>-7.7831728503952036E-4</v>
      </c>
      <c r="I1311">
        <f t="shared" si="161"/>
        <v>155.30891718714025</v>
      </c>
      <c r="J1311">
        <f t="shared" si="156"/>
        <v>664.65077142898076</v>
      </c>
      <c r="K1311" s="27">
        <f t="shared" si="157"/>
        <v>-343.82910520117048</v>
      </c>
    </row>
    <row r="1312" spans="1:11">
      <c r="A1312" s="26">
        <v>1262</v>
      </c>
      <c r="B1312" s="82">
        <f t="shared" si="158"/>
        <v>0</v>
      </c>
      <c r="C1312" s="58">
        <f t="shared" si="162"/>
        <v>156.29037528357509</v>
      </c>
      <c r="D1312" s="83">
        <f t="shared" si="159"/>
        <v>666.66666666666663</v>
      </c>
      <c r="E1312">
        <f t="shared" si="155"/>
        <v>0</v>
      </c>
      <c r="G1312">
        <v>1262</v>
      </c>
      <c r="H1312" s="13">
        <f t="shared" si="160"/>
        <v>-7.7831728503952036E-4</v>
      </c>
      <c r="I1312">
        <f t="shared" si="161"/>
        <v>155.30813886985521</v>
      </c>
      <c r="J1312">
        <f t="shared" si="156"/>
        <v>664.64914192392303</v>
      </c>
      <c r="K1312" s="27">
        <f t="shared" si="157"/>
        <v>-343.82741926334569</v>
      </c>
    </row>
    <row r="1313" spans="1:11">
      <c r="A1313" s="26">
        <v>1263</v>
      </c>
      <c r="B1313" s="82">
        <f t="shared" si="158"/>
        <v>0</v>
      </c>
      <c r="C1313" s="58">
        <f t="shared" si="162"/>
        <v>156.29037528357509</v>
      </c>
      <c r="D1313" s="83">
        <f t="shared" si="159"/>
        <v>666.66666666666663</v>
      </c>
      <c r="E1313">
        <f t="shared" si="155"/>
        <v>0</v>
      </c>
      <c r="G1313">
        <v>1263</v>
      </c>
      <c r="H1313" s="13">
        <f t="shared" si="160"/>
        <v>-7.7831728503952036E-4</v>
      </c>
      <c r="I1313">
        <f t="shared" si="161"/>
        <v>155.30736055257017</v>
      </c>
      <c r="J1313">
        <f t="shared" si="156"/>
        <v>664.64751236842153</v>
      </c>
      <c r="K1313" s="27">
        <f t="shared" si="157"/>
        <v>-343.82573327746246</v>
      </c>
    </row>
    <row r="1314" spans="1:11">
      <c r="A1314" s="26">
        <v>1264</v>
      </c>
      <c r="B1314" s="82">
        <f t="shared" si="158"/>
        <v>0</v>
      </c>
      <c r="C1314" s="58">
        <f t="shared" si="162"/>
        <v>156.29037528357509</v>
      </c>
      <c r="D1314" s="83">
        <f t="shared" si="159"/>
        <v>666.66666666666663</v>
      </c>
      <c r="E1314">
        <f t="shared" si="155"/>
        <v>0</v>
      </c>
      <c r="G1314">
        <v>1264</v>
      </c>
      <c r="H1314" s="13">
        <f t="shared" si="160"/>
        <v>-7.7831728503952036E-4</v>
      </c>
      <c r="I1314">
        <f t="shared" si="161"/>
        <v>155.30658223528513</v>
      </c>
      <c r="J1314">
        <f t="shared" si="156"/>
        <v>664.6458827624723</v>
      </c>
      <c r="K1314" s="27">
        <f t="shared" si="157"/>
        <v>-343.82404724351755</v>
      </c>
    </row>
    <row r="1315" spans="1:11">
      <c r="A1315" s="26">
        <v>1265</v>
      </c>
      <c r="B1315" s="82">
        <f t="shared" si="158"/>
        <v>0</v>
      </c>
      <c r="C1315" s="58">
        <f t="shared" si="162"/>
        <v>156.29037528357509</v>
      </c>
      <c r="D1315" s="83">
        <f t="shared" si="159"/>
        <v>666.66666666666663</v>
      </c>
      <c r="E1315">
        <f t="shared" si="155"/>
        <v>0</v>
      </c>
      <c r="G1315">
        <v>1265</v>
      </c>
      <c r="H1315" s="13">
        <f t="shared" si="160"/>
        <v>-7.7831728503952036E-4</v>
      </c>
      <c r="I1315">
        <f t="shared" si="161"/>
        <v>155.30580391800009</v>
      </c>
      <c r="J1315">
        <f t="shared" si="156"/>
        <v>664.6442531060718</v>
      </c>
      <c r="K1315" s="27">
        <f t="shared" si="157"/>
        <v>-343.82236116150722</v>
      </c>
    </row>
    <row r="1316" spans="1:11">
      <c r="A1316" s="26">
        <v>1266</v>
      </c>
      <c r="B1316" s="82">
        <f t="shared" si="158"/>
        <v>0</v>
      </c>
      <c r="C1316" s="58">
        <f t="shared" si="162"/>
        <v>156.29037528357509</v>
      </c>
      <c r="D1316" s="83">
        <f t="shared" si="159"/>
        <v>666.66666666666663</v>
      </c>
      <c r="E1316">
        <f t="shared" si="155"/>
        <v>0</v>
      </c>
      <c r="G1316">
        <v>1266</v>
      </c>
      <c r="H1316" s="13">
        <f t="shared" si="160"/>
        <v>-7.7831728503952036E-4</v>
      </c>
      <c r="I1316">
        <f t="shared" si="161"/>
        <v>155.30502560071506</v>
      </c>
      <c r="J1316">
        <f t="shared" si="156"/>
        <v>664.64262339921606</v>
      </c>
      <c r="K1316" s="27">
        <f t="shared" si="157"/>
        <v>-343.82067503142781</v>
      </c>
    </row>
    <row r="1317" spans="1:11">
      <c r="A1317" s="26">
        <v>1267</v>
      </c>
      <c r="B1317" s="82">
        <f t="shared" si="158"/>
        <v>0</v>
      </c>
      <c r="C1317" s="58">
        <f t="shared" si="162"/>
        <v>156.29037528357509</v>
      </c>
      <c r="D1317" s="83">
        <f t="shared" si="159"/>
        <v>666.66666666666663</v>
      </c>
      <c r="E1317">
        <f t="shared" si="155"/>
        <v>0</v>
      </c>
      <c r="G1317">
        <v>1267</v>
      </c>
      <c r="H1317" s="13">
        <f t="shared" si="160"/>
        <v>-7.7831728503952036E-4</v>
      </c>
      <c r="I1317">
        <f t="shared" si="161"/>
        <v>155.30424728343002</v>
      </c>
      <c r="J1317">
        <f t="shared" si="156"/>
        <v>664.64099364190122</v>
      </c>
      <c r="K1317" s="27">
        <f t="shared" si="157"/>
        <v>-343.81898885327604</v>
      </c>
    </row>
    <row r="1318" spans="1:11">
      <c r="A1318" s="26">
        <v>1268</v>
      </c>
      <c r="B1318" s="82">
        <f t="shared" si="158"/>
        <v>0</v>
      </c>
      <c r="C1318" s="58">
        <f t="shared" si="162"/>
        <v>156.29037528357509</v>
      </c>
      <c r="D1318" s="83">
        <f t="shared" si="159"/>
        <v>666.66666666666663</v>
      </c>
      <c r="E1318">
        <f t="shared" si="155"/>
        <v>0</v>
      </c>
      <c r="G1318">
        <v>1268</v>
      </c>
      <c r="H1318" s="13">
        <f t="shared" si="160"/>
        <v>-7.7831728503952036E-4</v>
      </c>
      <c r="I1318">
        <f t="shared" si="161"/>
        <v>155.30346896614498</v>
      </c>
      <c r="J1318">
        <f t="shared" si="156"/>
        <v>664.63936383412363</v>
      </c>
      <c r="K1318" s="27">
        <f t="shared" si="157"/>
        <v>-343.81730262704815</v>
      </c>
    </row>
    <row r="1319" spans="1:11">
      <c r="A1319" s="26">
        <v>1269</v>
      </c>
      <c r="B1319" s="82">
        <f t="shared" si="158"/>
        <v>0</v>
      </c>
      <c r="C1319" s="58">
        <f t="shared" si="162"/>
        <v>156.29037528357509</v>
      </c>
      <c r="D1319" s="83">
        <f t="shared" si="159"/>
        <v>666.66666666666663</v>
      </c>
      <c r="E1319">
        <f t="shared" si="155"/>
        <v>0</v>
      </c>
      <c r="G1319">
        <v>1269</v>
      </c>
      <c r="H1319" s="13">
        <f t="shared" si="160"/>
        <v>-7.7831728503952036E-4</v>
      </c>
      <c r="I1319">
        <f t="shared" si="161"/>
        <v>155.30269064885994</v>
      </c>
      <c r="J1319">
        <f t="shared" si="156"/>
        <v>664.63773397587931</v>
      </c>
      <c r="K1319" s="27">
        <f t="shared" si="157"/>
        <v>-343.81561635274056</v>
      </c>
    </row>
    <row r="1320" spans="1:11">
      <c r="A1320" s="26">
        <v>1270</v>
      </c>
      <c r="B1320" s="82">
        <f t="shared" si="158"/>
        <v>0</v>
      </c>
      <c r="C1320" s="58">
        <f t="shared" si="162"/>
        <v>156.29037528357509</v>
      </c>
      <c r="D1320" s="83">
        <f t="shared" si="159"/>
        <v>666.66666666666663</v>
      </c>
      <c r="E1320">
        <f t="shared" si="155"/>
        <v>0</v>
      </c>
      <c r="G1320">
        <v>1270</v>
      </c>
      <c r="H1320" s="13">
        <f t="shared" si="160"/>
        <v>-7.7831728503952036E-4</v>
      </c>
      <c r="I1320">
        <f t="shared" si="161"/>
        <v>155.3019123315749</v>
      </c>
      <c r="J1320">
        <f t="shared" si="156"/>
        <v>664.63610406716452</v>
      </c>
      <c r="K1320" s="27">
        <f t="shared" si="157"/>
        <v>-343.8139300303497</v>
      </c>
    </row>
    <row r="1321" spans="1:11">
      <c r="A1321" s="26">
        <v>1271</v>
      </c>
      <c r="B1321" s="82">
        <f t="shared" si="158"/>
        <v>0</v>
      </c>
      <c r="C1321" s="58">
        <f t="shared" si="162"/>
        <v>156.29037528357509</v>
      </c>
      <c r="D1321" s="83">
        <f t="shared" si="159"/>
        <v>666.66666666666663</v>
      </c>
      <c r="E1321">
        <f t="shared" si="155"/>
        <v>0</v>
      </c>
      <c r="G1321">
        <v>1271</v>
      </c>
      <c r="H1321" s="13">
        <f t="shared" si="160"/>
        <v>-7.7831728503952036E-4</v>
      </c>
      <c r="I1321">
        <f t="shared" si="161"/>
        <v>155.30113401428986</v>
      </c>
      <c r="J1321">
        <f t="shared" si="156"/>
        <v>664.63447410797539</v>
      </c>
      <c r="K1321" s="27">
        <f t="shared" si="157"/>
        <v>-343.81224365987208</v>
      </c>
    </row>
    <row r="1322" spans="1:11">
      <c r="A1322" s="26">
        <v>1272</v>
      </c>
      <c r="B1322" s="82">
        <f t="shared" si="158"/>
        <v>0</v>
      </c>
      <c r="C1322" s="58">
        <f t="shared" si="162"/>
        <v>156.29037528357509</v>
      </c>
      <c r="D1322" s="83">
        <f t="shared" si="159"/>
        <v>666.66666666666663</v>
      </c>
      <c r="E1322">
        <f t="shared" si="155"/>
        <v>0</v>
      </c>
      <c r="G1322">
        <v>1272</v>
      </c>
      <c r="H1322" s="13">
        <f t="shared" si="160"/>
        <v>-7.7831728503952036E-4</v>
      </c>
      <c r="I1322">
        <f t="shared" si="161"/>
        <v>155.30035569700482</v>
      </c>
      <c r="J1322">
        <f t="shared" si="156"/>
        <v>664.63284409830817</v>
      </c>
      <c r="K1322" s="27">
        <f t="shared" si="157"/>
        <v>-343.81055724130414</v>
      </c>
    </row>
    <row r="1323" spans="1:11">
      <c r="A1323" s="26">
        <v>1273</v>
      </c>
      <c r="B1323" s="82">
        <f t="shared" si="158"/>
        <v>0</v>
      </c>
      <c r="C1323" s="58">
        <f t="shared" si="162"/>
        <v>156.29037528357509</v>
      </c>
      <c r="D1323" s="83">
        <f t="shared" si="159"/>
        <v>666.66666666666663</v>
      </c>
      <c r="E1323">
        <f t="shared" si="155"/>
        <v>0</v>
      </c>
      <c r="G1323">
        <v>1273</v>
      </c>
      <c r="H1323" s="13">
        <f t="shared" si="160"/>
        <v>-7.7831728503952036E-4</v>
      </c>
      <c r="I1323">
        <f t="shared" si="161"/>
        <v>155.29957737971978</v>
      </c>
      <c r="J1323">
        <f t="shared" si="156"/>
        <v>664.63121403815899</v>
      </c>
      <c r="K1323" s="27">
        <f t="shared" si="157"/>
        <v>-343.80887077464223</v>
      </c>
    </row>
    <row r="1324" spans="1:11">
      <c r="A1324" s="26">
        <v>1274</v>
      </c>
      <c r="B1324" s="82">
        <f t="shared" si="158"/>
        <v>0</v>
      </c>
      <c r="C1324" s="58">
        <f t="shared" si="162"/>
        <v>156.29037528357509</v>
      </c>
      <c r="D1324" s="83">
        <f t="shared" si="159"/>
        <v>666.66666666666663</v>
      </c>
      <c r="E1324">
        <f t="shared" si="155"/>
        <v>0</v>
      </c>
      <c r="G1324">
        <v>1274</v>
      </c>
      <c r="H1324" s="13">
        <f t="shared" si="160"/>
        <v>-7.7831728503952036E-4</v>
      </c>
      <c r="I1324">
        <f t="shared" si="161"/>
        <v>155.29879906243474</v>
      </c>
      <c r="J1324">
        <f t="shared" si="156"/>
        <v>664.62958392752398</v>
      </c>
      <c r="K1324" s="27">
        <f t="shared" si="157"/>
        <v>-343.80718425988283</v>
      </c>
    </row>
    <row r="1325" spans="1:11">
      <c r="A1325" s="26">
        <v>1275</v>
      </c>
      <c r="B1325" s="82">
        <f t="shared" si="158"/>
        <v>0</v>
      </c>
      <c r="C1325" s="58">
        <f t="shared" si="162"/>
        <v>156.29037528357509</v>
      </c>
      <c r="D1325" s="83">
        <f t="shared" si="159"/>
        <v>666.66666666666663</v>
      </c>
      <c r="E1325">
        <f t="shared" si="155"/>
        <v>0</v>
      </c>
      <c r="G1325">
        <v>1275</v>
      </c>
      <c r="H1325" s="13">
        <f t="shared" si="160"/>
        <v>-7.7831728503952036E-4</v>
      </c>
      <c r="I1325">
        <f t="shared" si="161"/>
        <v>155.2980207451497</v>
      </c>
      <c r="J1325">
        <f t="shared" si="156"/>
        <v>664.62795376639951</v>
      </c>
      <c r="K1325" s="27">
        <f t="shared" si="157"/>
        <v>-343.80549769702253</v>
      </c>
    </row>
    <row r="1326" spans="1:11">
      <c r="A1326" s="26">
        <v>1276</v>
      </c>
      <c r="B1326" s="82">
        <f t="shared" si="158"/>
        <v>0</v>
      </c>
      <c r="C1326" s="58">
        <f t="shared" si="162"/>
        <v>156.29037528357509</v>
      </c>
      <c r="D1326" s="83">
        <f t="shared" si="159"/>
        <v>666.66666666666663</v>
      </c>
      <c r="E1326">
        <f t="shared" si="155"/>
        <v>0</v>
      </c>
      <c r="G1326">
        <v>1276</v>
      </c>
      <c r="H1326" s="13">
        <f t="shared" si="160"/>
        <v>-7.7831728503952036E-4</v>
      </c>
      <c r="I1326">
        <f t="shared" si="161"/>
        <v>155.29724242786466</v>
      </c>
      <c r="J1326">
        <f t="shared" si="156"/>
        <v>664.62632355478161</v>
      </c>
      <c r="K1326" s="27">
        <f t="shared" si="157"/>
        <v>-343.80381108605746</v>
      </c>
    </row>
    <row r="1327" spans="1:11">
      <c r="A1327" s="26">
        <v>1277</v>
      </c>
      <c r="B1327" s="82">
        <f t="shared" si="158"/>
        <v>0</v>
      </c>
      <c r="C1327" s="58">
        <f t="shared" si="162"/>
        <v>156.29037528357509</v>
      </c>
      <c r="D1327" s="83">
        <f t="shared" si="159"/>
        <v>666.66666666666663</v>
      </c>
      <c r="E1327">
        <f t="shared" si="155"/>
        <v>0</v>
      </c>
      <c r="G1327">
        <v>1277</v>
      </c>
      <c r="H1327" s="13">
        <f t="shared" si="160"/>
        <v>-7.7831728503952036E-4</v>
      </c>
      <c r="I1327">
        <f t="shared" si="161"/>
        <v>155.29646411057962</v>
      </c>
      <c r="J1327">
        <f t="shared" si="156"/>
        <v>664.62469329266639</v>
      </c>
      <c r="K1327" s="27">
        <f t="shared" si="157"/>
        <v>-343.80212442698416</v>
      </c>
    </row>
    <row r="1328" spans="1:11">
      <c r="A1328" s="26">
        <v>1278</v>
      </c>
      <c r="B1328" s="82">
        <f t="shared" si="158"/>
        <v>0</v>
      </c>
      <c r="C1328" s="58">
        <f t="shared" si="162"/>
        <v>156.29037528357509</v>
      </c>
      <c r="D1328" s="83">
        <f t="shared" si="159"/>
        <v>666.66666666666663</v>
      </c>
      <c r="E1328">
        <f t="shared" si="155"/>
        <v>0</v>
      </c>
      <c r="G1328">
        <v>1278</v>
      </c>
      <c r="H1328" s="13">
        <f t="shared" si="160"/>
        <v>-7.7831728503952036E-4</v>
      </c>
      <c r="I1328">
        <f t="shared" si="161"/>
        <v>155.29568579329458</v>
      </c>
      <c r="J1328">
        <f t="shared" si="156"/>
        <v>664.62306298005024</v>
      </c>
      <c r="K1328" s="27">
        <f t="shared" si="157"/>
        <v>-343.80043771979922</v>
      </c>
    </row>
    <row r="1329" spans="1:11">
      <c r="A1329" s="26">
        <v>1279</v>
      </c>
      <c r="B1329" s="82">
        <f t="shared" si="158"/>
        <v>0</v>
      </c>
      <c r="C1329" s="58">
        <f t="shared" si="162"/>
        <v>156.29037528357509</v>
      </c>
      <c r="D1329" s="83">
        <f t="shared" si="159"/>
        <v>666.66666666666663</v>
      </c>
      <c r="E1329">
        <f t="shared" si="155"/>
        <v>0</v>
      </c>
      <c r="G1329">
        <v>1279</v>
      </c>
      <c r="H1329" s="13">
        <f t="shared" si="160"/>
        <v>-7.7831728503952036E-4</v>
      </c>
      <c r="I1329">
        <f t="shared" si="161"/>
        <v>155.29490747600954</v>
      </c>
      <c r="J1329">
        <f t="shared" si="156"/>
        <v>664.62143261692916</v>
      </c>
      <c r="K1329" s="27">
        <f t="shared" si="157"/>
        <v>-343.79875096449882</v>
      </c>
    </row>
    <row r="1330" spans="1:11">
      <c r="A1330" s="26">
        <v>1280</v>
      </c>
      <c r="B1330" s="82">
        <f t="shared" si="158"/>
        <v>0</v>
      </c>
      <c r="C1330" s="58">
        <f t="shared" si="162"/>
        <v>156.29037528357509</v>
      </c>
      <c r="D1330" s="83">
        <f t="shared" si="159"/>
        <v>666.66666666666663</v>
      </c>
      <c r="E1330">
        <f t="shared" si="155"/>
        <v>0</v>
      </c>
      <c r="G1330">
        <v>1280</v>
      </c>
      <c r="H1330" s="13">
        <f t="shared" si="160"/>
        <v>-7.7831728503952036E-4</v>
      </c>
      <c r="I1330">
        <f t="shared" si="161"/>
        <v>155.2941291587245</v>
      </c>
      <c r="J1330">
        <f t="shared" si="156"/>
        <v>664.61980220329929</v>
      </c>
      <c r="K1330" s="27">
        <f t="shared" si="157"/>
        <v>-343.79706416107956</v>
      </c>
    </row>
    <row r="1331" spans="1:11">
      <c r="A1331" s="26">
        <v>1281</v>
      </c>
      <c r="B1331" s="82">
        <f t="shared" si="158"/>
        <v>0</v>
      </c>
      <c r="C1331" s="58">
        <f t="shared" si="162"/>
        <v>156.29037528357509</v>
      </c>
      <c r="D1331" s="83">
        <f t="shared" si="159"/>
        <v>666.66666666666663</v>
      </c>
      <c r="E1331">
        <f t="shared" ref="E1331:E1394" si="163">((D1331^2)+(D1331*D1332)+(D1332^2))*B1332/3</f>
        <v>0</v>
      </c>
      <c r="G1331">
        <v>1281</v>
      </c>
      <c r="H1331" s="13">
        <f t="shared" si="160"/>
        <v>-7.7831728503952036E-4</v>
      </c>
      <c r="I1331">
        <f t="shared" si="161"/>
        <v>155.29335084143946</v>
      </c>
      <c r="J1331">
        <f t="shared" ref="J1331:J1394" si="164">IF($G$28&lt;$C$14,0,((($C$11^2)-((I1331-$C$13)^2))^0.5)+$C$16)</f>
        <v>664.61817173915711</v>
      </c>
      <c r="K1331" s="27">
        <f t="shared" ref="K1331:K1394" si="165">((J1331^2)+(J1331*J1332)+(J1332^2))*H1332/3</f>
        <v>-343.79537730953786</v>
      </c>
    </row>
    <row r="1332" spans="1:11">
      <c r="A1332" s="26">
        <v>1282</v>
      </c>
      <c r="B1332" s="82">
        <f t="shared" ref="B1332:B1395" si="166">C1332-C1331</f>
        <v>0</v>
      </c>
      <c r="C1332" s="58">
        <f t="shared" si="162"/>
        <v>156.29037528357509</v>
      </c>
      <c r="D1332" s="83">
        <f t="shared" ref="D1332:D1395" si="167">IF($G$28&lt;$C$14,0,((($C$11^2)-((C1332-$C$13)^2))^0.5)+$C$16)</f>
        <v>666.66666666666663</v>
      </c>
      <c r="E1332">
        <f t="shared" si="163"/>
        <v>0</v>
      </c>
      <c r="G1332">
        <v>1282</v>
      </c>
      <c r="H1332" s="13">
        <f t="shared" ref="H1332:H1395" si="168">I1332-I1331</f>
        <v>-7.7831728503952036E-4</v>
      </c>
      <c r="I1332">
        <f t="shared" ref="I1332:I1395" si="169">($G$27-$C$14)/2000+I1331</f>
        <v>155.29257252415442</v>
      </c>
      <c r="J1332">
        <f t="shared" si="164"/>
        <v>664.61654122449841</v>
      </c>
      <c r="K1332" s="27">
        <f t="shared" si="165"/>
        <v>-343.79369040986995</v>
      </c>
    </row>
    <row r="1333" spans="1:11">
      <c r="A1333" s="26">
        <v>1283</v>
      </c>
      <c r="B1333" s="82">
        <f t="shared" si="166"/>
        <v>0</v>
      </c>
      <c r="C1333" s="58">
        <f t="shared" si="162"/>
        <v>156.29037528357509</v>
      </c>
      <c r="D1333" s="83">
        <f t="shared" si="167"/>
        <v>666.66666666666663</v>
      </c>
      <c r="E1333">
        <f t="shared" si="163"/>
        <v>0</v>
      </c>
      <c r="G1333">
        <v>1283</v>
      </c>
      <c r="H1333" s="13">
        <f t="shared" si="168"/>
        <v>-7.7831728503952036E-4</v>
      </c>
      <c r="I1333">
        <f t="shared" si="169"/>
        <v>155.29179420686938</v>
      </c>
      <c r="J1333">
        <f t="shared" si="164"/>
        <v>664.61491065931966</v>
      </c>
      <c r="K1333" s="27">
        <f t="shared" si="165"/>
        <v>-343.79200346207261</v>
      </c>
    </row>
    <row r="1334" spans="1:11">
      <c r="A1334" s="26">
        <v>1284</v>
      </c>
      <c r="B1334" s="82">
        <f t="shared" si="166"/>
        <v>0</v>
      </c>
      <c r="C1334" s="58">
        <f t="shared" si="162"/>
        <v>156.29037528357509</v>
      </c>
      <c r="D1334" s="83">
        <f t="shared" si="167"/>
        <v>666.66666666666663</v>
      </c>
      <c r="E1334">
        <f t="shared" si="163"/>
        <v>0</v>
      </c>
      <c r="G1334">
        <v>1284</v>
      </c>
      <c r="H1334" s="13">
        <f t="shared" si="168"/>
        <v>-7.7831728503952036E-4</v>
      </c>
      <c r="I1334">
        <f t="shared" si="169"/>
        <v>155.29101588958434</v>
      </c>
      <c r="J1334">
        <f t="shared" si="164"/>
        <v>664.6132800436169</v>
      </c>
      <c r="K1334" s="27">
        <f t="shared" si="165"/>
        <v>-343.79031646614203</v>
      </c>
    </row>
    <row r="1335" spans="1:11">
      <c r="A1335" s="26">
        <v>1285</v>
      </c>
      <c r="B1335" s="82">
        <f t="shared" si="166"/>
        <v>0</v>
      </c>
      <c r="C1335" s="58">
        <f t="shared" si="162"/>
        <v>156.29037528357509</v>
      </c>
      <c r="D1335" s="83">
        <f t="shared" si="167"/>
        <v>666.66666666666663</v>
      </c>
      <c r="E1335">
        <f t="shared" si="163"/>
        <v>0</v>
      </c>
      <c r="G1335">
        <v>1285</v>
      </c>
      <c r="H1335" s="13">
        <f t="shared" si="168"/>
        <v>-7.7831728503952036E-4</v>
      </c>
      <c r="I1335">
        <f t="shared" si="169"/>
        <v>155.2902375722993</v>
      </c>
      <c r="J1335">
        <f t="shared" si="164"/>
        <v>664.61164937738636</v>
      </c>
      <c r="K1335" s="27">
        <f t="shared" si="165"/>
        <v>-343.78862942207473</v>
      </c>
    </row>
    <row r="1336" spans="1:11">
      <c r="A1336" s="26">
        <v>1286</v>
      </c>
      <c r="B1336" s="82">
        <f t="shared" si="166"/>
        <v>0</v>
      </c>
      <c r="C1336" s="58">
        <f t="shared" si="162"/>
        <v>156.29037528357509</v>
      </c>
      <c r="D1336" s="83">
        <f t="shared" si="167"/>
        <v>666.66666666666663</v>
      </c>
      <c r="E1336">
        <f t="shared" si="163"/>
        <v>0</v>
      </c>
      <c r="G1336">
        <v>1286</v>
      </c>
      <c r="H1336" s="13">
        <f t="shared" si="168"/>
        <v>-7.7831728503952036E-4</v>
      </c>
      <c r="I1336">
        <f t="shared" si="169"/>
        <v>155.28945925501426</v>
      </c>
      <c r="J1336">
        <f t="shared" si="164"/>
        <v>664.61001866062406</v>
      </c>
      <c r="K1336" s="27">
        <f t="shared" si="165"/>
        <v>-343.78694232986692</v>
      </c>
    </row>
    <row r="1337" spans="1:11">
      <c r="A1337" s="26">
        <v>1287</v>
      </c>
      <c r="B1337" s="82">
        <f t="shared" si="166"/>
        <v>0</v>
      </c>
      <c r="C1337" s="58">
        <f t="shared" si="162"/>
        <v>156.29037528357509</v>
      </c>
      <c r="D1337" s="83">
        <f t="shared" si="167"/>
        <v>666.66666666666663</v>
      </c>
      <c r="E1337">
        <f t="shared" si="163"/>
        <v>0</v>
      </c>
      <c r="G1337">
        <v>1287</v>
      </c>
      <c r="H1337" s="13">
        <f t="shared" si="168"/>
        <v>-7.7831728503952036E-4</v>
      </c>
      <c r="I1337">
        <f t="shared" si="169"/>
        <v>155.28868093772923</v>
      </c>
      <c r="J1337">
        <f t="shared" si="164"/>
        <v>664.60838789332638</v>
      </c>
      <c r="K1337" s="27">
        <f t="shared" si="165"/>
        <v>-343.78525518951545</v>
      </c>
    </row>
    <row r="1338" spans="1:11">
      <c r="A1338" s="26">
        <v>1288</v>
      </c>
      <c r="B1338" s="82">
        <f t="shared" si="166"/>
        <v>0</v>
      </c>
      <c r="C1338" s="58">
        <f t="shared" si="162"/>
        <v>156.29037528357509</v>
      </c>
      <c r="D1338" s="83">
        <f t="shared" si="167"/>
        <v>666.66666666666663</v>
      </c>
      <c r="E1338">
        <f t="shared" si="163"/>
        <v>0</v>
      </c>
      <c r="G1338">
        <v>1288</v>
      </c>
      <c r="H1338" s="13">
        <f t="shared" si="168"/>
        <v>-7.7831728503952036E-4</v>
      </c>
      <c r="I1338">
        <f t="shared" si="169"/>
        <v>155.28790262044419</v>
      </c>
      <c r="J1338">
        <f t="shared" si="164"/>
        <v>664.60675707548944</v>
      </c>
      <c r="K1338" s="27">
        <f t="shared" si="165"/>
        <v>-343.78356800101636</v>
      </c>
    </row>
    <row r="1339" spans="1:11">
      <c r="A1339" s="26">
        <v>1289</v>
      </c>
      <c r="B1339" s="82">
        <f t="shared" si="166"/>
        <v>0</v>
      </c>
      <c r="C1339" s="58">
        <f t="shared" si="162"/>
        <v>156.29037528357509</v>
      </c>
      <c r="D1339" s="83">
        <f t="shared" si="167"/>
        <v>666.66666666666663</v>
      </c>
      <c r="E1339">
        <f t="shared" si="163"/>
        <v>0</v>
      </c>
      <c r="G1339">
        <v>1289</v>
      </c>
      <c r="H1339" s="13">
        <f t="shared" si="168"/>
        <v>-7.7831728503952036E-4</v>
      </c>
      <c r="I1339">
        <f t="shared" si="169"/>
        <v>155.28712430315915</v>
      </c>
      <c r="J1339">
        <f t="shared" si="164"/>
        <v>664.60512620710938</v>
      </c>
      <c r="K1339" s="27">
        <f t="shared" si="165"/>
        <v>-343.78188076436624</v>
      </c>
    </row>
    <row r="1340" spans="1:11">
      <c r="A1340" s="26">
        <v>1290</v>
      </c>
      <c r="B1340" s="82">
        <f t="shared" si="166"/>
        <v>0</v>
      </c>
      <c r="C1340" s="58">
        <f t="shared" si="162"/>
        <v>156.29037528357509</v>
      </c>
      <c r="D1340" s="83">
        <f t="shared" si="167"/>
        <v>666.66666666666663</v>
      </c>
      <c r="E1340">
        <f t="shared" si="163"/>
        <v>0</v>
      </c>
      <c r="G1340">
        <v>1290</v>
      </c>
      <c r="H1340" s="13">
        <f t="shared" si="168"/>
        <v>-7.7831728503952036E-4</v>
      </c>
      <c r="I1340">
        <f t="shared" si="169"/>
        <v>155.28634598587411</v>
      </c>
      <c r="J1340">
        <f t="shared" si="164"/>
        <v>664.60349528818233</v>
      </c>
      <c r="K1340" s="27">
        <f t="shared" si="165"/>
        <v>-343.78019347956132</v>
      </c>
    </row>
    <row r="1341" spans="1:11">
      <c r="A1341" s="26">
        <v>1291</v>
      </c>
      <c r="B1341" s="82">
        <f t="shared" si="166"/>
        <v>0</v>
      </c>
      <c r="C1341" s="58">
        <f t="shared" si="162"/>
        <v>156.29037528357509</v>
      </c>
      <c r="D1341" s="83">
        <f t="shared" si="167"/>
        <v>666.66666666666663</v>
      </c>
      <c r="E1341">
        <f t="shared" si="163"/>
        <v>0</v>
      </c>
      <c r="G1341">
        <v>1291</v>
      </c>
      <c r="H1341" s="13">
        <f t="shared" si="168"/>
        <v>-7.7831728503952036E-4</v>
      </c>
      <c r="I1341">
        <f t="shared" si="169"/>
        <v>155.28556766858907</v>
      </c>
      <c r="J1341">
        <f t="shared" si="164"/>
        <v>664.60186431870443</v>
      </c>
      <c r="K1341" s="27">
        <f t="shared" si="165"/>
        <v>-343.7785061465982</v>
      </c>
    </row>
    <row r="1342" spans="1:11">
      <c r="A1342" s="26">
        <v>1292</v>
      </c>
      <c r="B1342" s="82">
        <f t="shared" si="166"/>
        <v>0</v>
      </c>
      <c r="C1342" s="58">
        <f t="shared" si="162"/>
        <v>156.29037528357509</v>
      </c>
      <c r="D1342" s="83">
        <f t="shared" si="167"/>
        <v>666.66666666666663</v>
      </c>
      <c r="E1342">
        <f t="shared" si="163"/>
        <v>0</v>
      </c>
      <c r="G1342">
        <v>1292</v>
      </c>
      <c r="H1342" s="13">
        <f t="shared" si="168"/>
        <v>-7.7831728503952036E-4</v>
      </c>
      <c r="I1342">
        <f t="shared" si="169"/>
        <v>155.28478935130403</v>
      </c>
      <c r="J1342">
        <f t="shared" si="164"/>
        <v>664.60023329867204</v>
      </c>
      <c r="K1342" s="27">
        <f t="shared" si="165"/>
        <v>-343.77681876547354</v>
      </c>
    </row>
    <row r="1343" spans="1:11">
      <c r="A1343" s="26">
        <v>1293</v>
      </c>
      <c r="B1343" s="82">
        <f t="shared" si="166"/>
        <v>0</v>
      </c>
      <c r="C1343" s="58">
        <f t="shared" si="162"/>
        <v>156.29037528357509</v>
      </c>
      <c r="D1343" s="83">
        <f t="shared" si="167"/>
        <v>666.66666666666663</v>
      </c>
      <c r="E1343">
        <f t="shared" si="163"/>
        <v>0</v>
      </c>
      <c r="G1343">
        <v>1293</v>
      </c>
      <c r="H1343" s="13">
        <f t="shared" si="168"/>
        <v>-7.7831728503952036E-4</v>
      </c>
      <c r="I1343">
        <f t="shared" si="169"/>
        <v>155.28401103401899</v>
      </c>
      <c r="J1343">
        <f t="shared" si="164"/>
        <v>664.59860222808118</v>
      </c>
      <c r="K1343" s="27">
        <f t="shared" si="165"/>
        <v>-343.77513133618328</v>
      </c>
    </row>
    <row r="1344" spans="1:11">
      <c r="A1344" s="26">
        <v>1294</v>
      </c>
      <c r="B1344" s="82">
        <f t="shared" si="166"/>
        <v>0</v>
      </c>
      <c r="C1344" s="58">
        <f t="shared" si="162"/>
        <v>156.29037528357509</v>
      </c>
      <c r="D1344" s="83">
        <f t="shared" si="167"/>
        <v>666.66666666666663</v>
      </c>
      <c r="E1344">
        <f t="shared" si="163"/>
        <v>0</v>
      </c>
      <c r="G1344">
        <v>1294</v>
      </c>
      <c r="H1344" s="13">
        <f t="shared" si="168"/>
        <v>-7.7831728503952036E-4</v>
      </c>
      <c r="I1344">
        <f t="shared" si="169"/>
        <v>155.28323271673395</v>
      </c>
      <c r="J1344">
        <f t="shared" si="164"/>
        <v>664.59697110692798</v>
      </c>
      <c r="K1344" s="27">
        <f t="shared" si="165"/>
        <v>-343.77344385872419</v>
      </c>
    </row>
    <row r="1345" spans="1:11">
      <c r="A1345" s="26">
        <v>1295</v>
      </c>
      <c r="B1345" s="82">
        <f t="shared" si="166"/>
        <v>0</v>
      </c>
      <c r="C1345" s="58">
        <f t="shared" si="162"/>
        <v>156.29037528357509</v>
      </c>
      <c r="D1345" s="83">
        <f t="shared" si="167"/>
        <v>666.66666666666663</v>
      </c>
      <c r="E1345">
        <f t="shared" si="163"/>
        <v>0</v>
      </c>
      <c r="G1345">
        <v>1295</v>
      </c>
      <c r="H1345" s="13">
        <f t="shared" si="168"/>
        <v>-7.7831728503952036E-4</v>
      </c>
      <c r="I1345">
        <f t="shared" si="169"/>
        <v>155.28245439944891</v>
      </c>
      <c r="J1345">
        <f t="shared" si="164"/>
        <v>664.59533993520881</v>
      </c>
      <c r="K1345" s="27">
        <f t="shared" si="165"/>
        <v>-343.77175633309258</v>
      </c>
    </row>
    <row r="1346" spans="1:11">
      <c r="A1346" s="26">
        <v>1296</v>
      </c>
      <c r="B1346" s="82">
        <f t="shared" si="166"/>
        <v>0</v>
      </c>
      <c r="C1346" s="58">
        <f t="shared" si="162"/>
        <v>156.29037528357509</v>
      </c>
      <c r="D1346" s="83">
        <f t="shared" si="167"/>
        <v>666.66666666666663</v>
      </c>
      <c r="E1346">
        <f t="shared" si="163"/>
        <v>0</v>
      </c>
      <c r="G1346">
        <v>1296</v>
      </c>
      <c r="H1346" s="13">
        <f t="shared" si="168"/>
        <v>-7.7831728503952036E-4</v>
      </c>
      <c r="I1346">
        <f t="shared" si="169"/>
        <v>155.28167608216387</v>
      </c>
      <c r="J1346">
        <f t="shared" si="164"/>
        <v>664.59370871291969</v>
      </c>
      <c r="K1346" s="27">
        <f t="shared" si="165"/>
        <v>-343.77006875928487</v>
      </c>
    </row>
    <row r="1347" spans="1:11">
      <c r="A1347" s="26">
        <v>1297</v>
      </c>
      <c r="B1347" s="82">
        <f t="shared" si="166"/>
        <v>0</v>
      </c>
      <c r="C1347" s="58">
        <f t="shared" si="162"/>
        <v>156.29037528357509</v>
      </c>
      <c r="D1347" s="83">
        <f t="shared" si="167"/>
        <v>666.66666666666663</v>
      </c>
      <c r="E1347">
        <f t="shared" si="163"/>
        <v>0</v>
      </c>
      <c r="G1347">
        <v>1297</v>
      </c>
      <c r="H1347" s="13">
        <f t="shared" si="168"/>
        <v>-7.7831728503952036E-4</v>
      </c>
      <c r="I1347">
        <f t="shared" si="169"/>
        <v>155.28089776487883</v>
      </c>
      <c r="J1347">
        <f t="shared" si="164"/>
        <v>664.59207744005676</v>
      </c>
      <c r="K1347" s="27">
        <f t="shared" si="165"/>
        <v>-343.76838113729741</v>
      </c>
    </row>
    <row r="1348" spans="1:11">
      <c r="A1348" s="26">
        <v>1298</v>
      </c>
      <c r="B1348" s="82">
        <f t="shared" si="166"/>
        <v>0</v>
      </c>
      <c r="C1348" s="58">
        <f t="shared" si="162"/>
        <v>156.29037528357509</v>
      </c>
      <c r="D1348" s="83">
        <f t="shared" si="167"/>
        <v>666.66666666666663</v>
      </c>
      <c r="E1348">
        <f t="shared" si="163"/>
        <v>0</v>
      </c>
      <c r="G1348">
        <v>1298</v>
      </c>
      <c r="H1348" s="13">
        <f t="shared" si="168"/>
        <v>-7.7831728503952036E-4</v>
      </c>
      <c r="I1348">
        <f t="shared" si="169"/>
        <v>155.28011944759379</v>
      </c>
      <c r="J1348">
        <f t="shared" si="164"/>
        <v>664.59044611661625</v>
      </c>
      <c r="K1348" s="27">
        <f t="shared" si="165"/>
        <v>-343.7666934671268</v>
      </c>
    </row>
    <row r="1349" spans="1:11">
      <c r="A1349" s="26">
        <v>1299</v>
      </c>
      <c r="B1349" s="82">
        <f t="shared" si="166"/>
        <v>0</v>
      </c>
      <c r="C1349" s="58">
        <f t="shared" si="162"/>
        <v>156.29037528357509</v>
      </c>
      <c r="D1349" s="83">
        <f t="shared" si="167"/>
        <v>666.66666666666663</v>
      </c>
      <c r="E1349">
        <f t="shared" si="163"/>
        <v>0</v>
      </c>
      <c r="G1349">
        <v>1299</v>
      </c>
      <c r="H1349" s="13">
        <f t="shared" si="168"/>
        <v>-7.7831728503952036E-4</v>
      </c>
      <c r="I1349">
        <f t="shared" si="169"/>
        <v>155.27934113030875</v>
      </c>
      <c r="J1349">
        <f t="shared" si="164"/>
        <v>664.58881474259442</v>
      </c>
      <c r="K1349" s="27">
        <f t="shared" si="165"/>
        <v>-343.76500574876928</v>
      </c>
    </row>
    <row r="1350" spans="1:11">
      <c r="A1350" s="26">
        <v>1300</v>
      </c>
      <c r="B1350" s="82">
        <f t="shared" si="166"/>
        <v>0</v>
      </c>
      <c r="C1350" s="58">
        <f t="shared" si="162"/>
        <v>156.29037528357509</v>
      </c>
      <c r="D1350" s="83">
        <f t="shared" si="167"/>
        <v>666.66666666666663</v>
      </c>
      <c r="E1350">
        <f t="shared" si="163"/>
        <v>0</v>
      </c>
      <c r="G1350">
        <v>1300</v>
      </c>
      <c r="H1350" s="13">
        <f t="shared" si="168"/>
        <v>-7.7831728503952036E-4</v>
      </c>
      <c r="I1350">
        <f t="shared" si="169"/>
        <v>155.27856281302371</v>
      </c>
      <c r="J1350">
        <f t="shared" si="164"/>
        <v>664.58718331798718</v>
      </c>
      <c r="K1350" s="27">
        <f t="shared" si="165"/>
        <v>-343.76331798222139</v>
      </c>
    </row>
    <row r="1351" spans="1:11">
      <c r="A1351" s="26">
        <v>1301</v>
      </c>
      <c r="B1351" s="82">
        <f t="shared" si="166"/>
        <v>0</v>
      </c>
      <c r="C1351" s="58">
        <f t="shared" si="162"/>
        <v>156.29037528357509</v>
      </c>
      <c r="D1351" s="83">
        <f t="shared" si="167"/>
        <v>666.66666666666663</v>
      </c>
      <c r="E1351">
        <f t="shared" si="163"/>
        <v>0</v>
      </c>
      <c r="G1351">
        <v>1301</v>
      </c>
      <c r="H1351" s="13">
        <f t="shared" si="168"/>
        <v>-7.7831728503952036E-4</v>
      </c>
      <c r="I1351">
        <f t="shared" si="169"/>
        <v>155.27778449573867</v>
      </c>
      <c r="J1351">
        <f t="shared" si="164"/>
        <v>664.58555184279101</v>
      </c>
      <c r="K1351" s="27">
        <f t="shared" si="165"/>
        <v>-343.7616301674795</v>
      </c>
    </row>
    <row r="1352" spans="1:11">
      <c r="A1352" s="26">
        <v>1302</v>
      </c>
      <c r="B1352" s="82">
        <f t="shared" si="166"/>
        <v>0</v>
      </c>
      <c r="C1352" s="58">
        <f t="shared" si="162"/>
        <v>156.29037528357509</v>
      </c>
      <c r="D1352" s="83">
        <f t="shared" si="167"/>
        <v>666.66666666666663</v>
      </c>
      <c r="E1352">
        <f t="shared" si="163"/>
        <v>0</v>
      </c>
      <c r="G1352">
        <v>1302</v>
      </c>
      <c r="H1352" s="13">
        <f t="shared" si="168"/>
        <v>-7.7831728503952036E-4</v>
      </c>
      <c r="I1352">
        <f t="shared" si="169"/>
        <v>155.27700617845363</v>
      </c>
      <c r="J1352">
        <f t="shared" si="164"/>
        <v>664.5839203170018</v>
      </c>
      <c r="K1352" s="27">
        <f t="shared" si="165"/>
        <v>-343.75994230453995</v>
      </c>
    </row>
    <row r="1353" spans="1:11">
      <c r="A1353" s="26">
        <v>1303</v>
      </c>
      <c r="B1353" s="82">
        <f t="shared" si="166"/>
        <v>0</v>
      </c>
      <c r="C1353" s="58">
        <f t="shared" si="162"/>
        <v>156.29037528357509</v>
      </c>
      <c r="D1353" s="83">
        <f t="shared" si="167"/>
        <v>666.66666666666663</v>
      </c>
      <c r="E1353">
        <f t="shared" si="163"/>
        <v>0</v>
      </c>
      <c r="G1353">
        <v>1303</v>
      </c>
      <c r="H1353" s="13">
        <f t="shared" si="168"/>
        <v>-7.7831728503952036E-4</v>
      </c>
      <c r="I1353">
        <f t="shared" si="169"/>
        <v>155.27622786116859</v>
      </c>
      <c r="J1353">
        <f t="shared" si="164"/>
        <v>664.58228874061592</v>
      </c>
      <c r="K1353" s="27">
        <f t="shared" si="165"/>
        <v>-343.75825439339928</v>
      </c>
    </row>
    <row r="1354" spans="1:11">
      <c r="A1354" s="26">
        <v>1304</v>
      </c>
      <c r="B1354" s="82">
        <f t="shared" si="166"/>
        <v>0</v>
      </c>
      <c r="C1354" s="58">
        <f t="shared" si="162"/>
        <v>156.29037528357509</v>
      </c>
      <c r="D1354" s="83">
        <f t="shared" si="167"/>
        <v>666.66666666666663</v>
      </c>
      <c r="E1354">
        <f t="shared" si="163"/>
        <v>0</v>
      </c>
      <c r="G1354">
        <v>1304</v>
      </c>
      <c r="H1354" s="13">
        <f t="shared" si="168"/>
        <v>-7.7831728503952036E-4</v>
      </c>
      <c r="I1354">
        <f t="shared" si="169"/>
        <v>155.27544954388355</v>
      </c>
      <c r="J1354">
        <f t="shared" si="164"/>
        <v>664.5806571136294</v>
      </c>
      <c r="K1354" s="27">
        <f t="shared" si="165"/>
        <v>-343.75656643405387</v>
      </c>
    </row>
    <row r="1355" spans="1:11">
      <c r="A1355" s="26">
        <v>1305</v>
      </c>
      <c r="B1355" s="82">
        <f t="shared" si="166"/>
        <v>0</v>
      </c>
      <c r="C1355" s="58">
        <f t="shared" si="162"/>
        <v>156.29037528357509</v>
      </c>
      <c r="D1355" s="83">
        <f t="shared" si="167"/>
        <v>666.66666666666663</v>
      </c>
      <c r="E1355">
        <f t="shared" si="163"/>
        <v>0</v>
      </c>
      <c r="G1355">
        <v>1305</v>
      </c>
      <c r="H1355" s="13">
        <f t="shared" si="168"/>
        <v>-7.7831728503952036E-4</v>
      </c>
      <c r="I1355">
        <f t="shared" si="169"/>
        <v>155.27467122659851</v>
      </c>
      <c r="J1355">
        <f t="shared" si="164"/>
        <v>664.57902543603836</v>
      </c>
      <c r="K1355" s="27">
        <f t="shared" si="165"/>
        <v>-343.75487842650017</v>
      </c>
    </row>
    <row r="1356" spans="1:11">
      <c r="A1356" s="26">
        <v>1306</v>
      </c>
      <c r="B1356" s="82">
        <f t="shared" si="166"/>
        <v>0</v>
      </c>
      <c r="C1356" s="58">
        <f t="shared" si="162"/>
        <v>156.29037528357509</v>
      </c>
      <c r="D1356" s="83">
        <f t="shared" si="167"/>
        <v>666.66666666666663</v>
      </c>
      <c r="E1356">
        <f t="shared" si="163"/>
        <v>0</v>
      </c>
      <c r="G1356">
        <v>1306</v>
      </c>
      <c r="H1356" s="13">
        <f t="shared" si="168"/>
        <v>-7.7831728503952036E-4</v>
      </c>
      <c r="I1356">
        <f t="shared" si="169"/>
        <v>155.27389290931347</v>
      </c>
      <c r="J1356">
        <f t="shared" si="164"/>
        <v>664.57739370783929</v>
      </c>
      <c r="K1356" s="27">
        <f t="shared" si="165"/>
        <v>-343.75319037073467</v>
      </c>
    </row>
    <row r="1357" spans="1:11">
      <c r="A1357" s="26">
        <v>1307</v>
      </c>
      <c r="B1357" s="82">
        <f t="shared" si="166"/>
        <v>0</v>
      </c>
      <c r="C1357" s="58">
        <f t="shared" si="162"/>
        <v>156.29037528357509</v>
      </c>
      <c r="D1357" s="83">
        <f t="shared" si="167"/>
        <v>666.66666666666663</v>
      </c>
      <c r="E1357">
        <f t="shared" si="163"/>
        <v>0</v>
      </c>
      <c r="G1357">
        <v>1307</v>
      </c>
      <c r="H1357" s="13">
        <f t="shared" si="168"/>
        <v>-7.7831728503952036E-4</v>
      </c>
      <c r="I1357">
        <f t="shared" si="169"/>
        <v>155.27311459202843</v>
      </c>
      <c r="J1357">
        <f t="shared" si="164"/>
        <v>664.57576192902798</v>
      </c>
      <c r="K1357" s="27">
        <f t="shared" si="165"/>
        <v>-343.75150226675345</v>
      </c>
    </row>
    <row r="1358" spans="1:11">
      <c r="A1358" s="26">
        <v>1308</v>
      </c>
      <c r="B1358" s="82">
        <f t="shared" si="166"/>
        <v>0</v>
      </c>
      <c r="C1358" s="58">
        <f t="shared" si="162"/>
        <v>156.29037528357509</v>
      </c>
      <c r="D1358" s="83">
        <f t="shared" si="167"/>
        <v>666.66666666666663</v>
      </c>
      <c r="E1358">
        <f t="shared" si="163"/>
        <v>0</v>
      </c>
      <c r="G1358">
        <v>1308</v>
      </c>
      <c r="H1358" s="13">
        <f t="shared" si="168"/>
        <v>-7.7831728503952036E-4</v>
      </c>
      <c r="I1358">
        <f t="shared" si="169"/>
        <v>155.2723362747434</v>
      </c>
      <c r="J1358">
        <f t="shared" si="164"/>
        <v>664.57413009960078</v>
      </c>
      <c r="K1358" s="27">
        <f t="shared" si="165"/>
        <v>-343.74981411455332</v>
      </c>
    </row>
    <row r="1359" spans="1:11">
      <c r="A1359" s="26">
        <v>1309</v>
      </c>
      <c r="B1359" s="82">
        <f t="shared" si="166"/>
        <v>0</v>
      </c>
      <c r="C1359" s="58">
        <f t="shared" si="162"/>
        <v>156.29037528357509</v>
      </c>
      <c r="D1359" s="83">
        <f t="shared" si="167"/>
        <v>666.66666666666663</v>
      </c>
      <c r="E1359">
        <f t="shared" si="163"/>
        <v>0</v>
      </c>
      <c r="G1359">
        <v>1309</v>
      </c>
      <c r="H1359" s="13">
        <f t="shared" si="168"/>
        <v>-7.7831728503952036E-4</v>
      </c>
      <c r="I1359">
        <f t="shared" si="169"/>
        <v>155.27155795745836</v>
      </c>
      <c r="J1359">
        <f t="shared" si="164"/>
        <v>664.57249821955372</v>
      </c>
      <c r="K1359" s="27">
        <f t="shared" si="165"/>
        <v>-343.74812591413041</v>
      </c>
    </row>
    <row r="1360" spans="1:11">
      <c r="A1360" s="26">
        <v>1310</v>
      </c>
      <c r="B1360" s="82">
        <f t="shared" si="166"/>
        <v>0</v>
      </c>
      <c r="C1360" s="58">
        <f t="shared" ref="C1360:C1423" si="170">($C$37-$C$36)/2000+C1359</f>
        <v>156.29037528357509</v>
      </c>
      <c r="D1360" s="83">
        <f t="shared" si="167"/>
        <v>666.66666666666663</v>
      </c>
      <c r="E1360">
        <f t="shared" si="163"/>
        <v>0</v>
      </c>
      <c r="G1360">
        <v>1310</v>
      </c>
      <c r="H1360" s="13">
        <f t="shared" si="168"/>
        <v>-7.7831728503952036E-4</v>
      </c>
      <c r="I1360">
        <f t="shared" si="169"/>
        <v>155.27077964017332</v>
      </c>
      <c r="J1360">
        <f t="shared" si="164"/>
        <v>664.57086628888317</v>
      </c>
      <c r="K1360" s="27">
        <f t="shared" si="165"/>
        <v>-343.74643766548132</v>
      </c>
    </row>
    <row r="1361" spans="1:11">
      <c r="A1361" s="26">
        <v>1311</v>
      </c>
      <c r="B1361" s="82">
        <f t="shared" si="166"/>
        <v>0</v>
      </c>
      <c r="C1361" s="58">
        <f t="shared" si="170"/>
        <v>156.29037528357509</v>
      </c>
      <c r="D1361" s="83">
        <f t="shared" si="167"/>
        <v>666.66666666666663</v>
      </c>
      <c r="E1361">
        <f t="shared" si="163"/>
        <v>0</v>
      </c>
      <c r="G1361">
        <v>1311</v>
      </c>
      <c r="H1361" s="13">
        <f t="shared" si="168"/>
        <v>-7.7831728503952036E-4</v>
      </c>
      <c r="I1361">
        <f t="shared" si="169"/>
        <v>155.27000132288828</v>
      </c>
      <c r="J1361">
        <f t="shared" si="164"/>
        <v>664.56923430758502</v>
      </c>
      <c r="K1361" s="27">
        <f t="shared" si="165"/>
        <v>-343.7447493686023</v>
      </c>
    </row>
    <row r="1362" spans="1:11">
      <c r="A1362" s="26">
        <v>1312</v>
      </c>
      <c r="B1362" s="82">
        <f t="shared" si="166"/>
        <v>0</v>
      </c>
      <c r="C1362" s="58">
        <f t="shared" si="170"/>
        <v>156.29037528357509</v>
      </c>
      <c r="D1362" s="83">
        <f t="shared" si="167"/>
        <v>666.66666666666663</v>
      </c>
      <c r="E1362">
        <f t="shared" si="163"/>
        <v>0</v>
      </c>
      <c r="G1362">
        <v>1312</v>
      </c>
      <c r="H1362" s="13">
        <f t="shared" si="168"/>
        <v>-7.7831728503952036E-4</v>
      </c>
      <c r="I1362">
        <f t="shared" si="169"/>
        <v>155.26922300560324</v>
      </c>
      <c r="J1362">
        <f t="shared" si="164"/>
        <v>664.56760227565576</v>
      </c>
      <c r="K1362" s="27">
        <f t="shared" si="165"/>
        <v>-343.7430610234901</v>
      </c>
    </row>
    <row r="1363" spans="1:11">
      <c r="A1363" s="26">
        <v>1313</v>
      </c>
      <c r="B1363" s="82">
        <f t="shared" si="166"/>
        <v>0</v>
      </c>
      <c r="C1363" s="58">
        <f t="shared" si="170"/>
        <v>156.29037528357509</v>
      </c>
      <c r="D1363" s="83">
        <f t="shared" si="167"/>
        <v>666.66666666666663</v>
      </c>
      <c r="E1363">
        <f t="shared" si="163"/>
        <v>0</v>
      </c>
      <c r="G1363">
        <v>1313</v>
      </c>
      <c r="H1363" s="13">
        <f t="shared" si="168"/>
        <v>-7.7831728503952036E-4</v>
      </c>
      <c r="I1363">
        <f t="shared" si="169"/>
        <v>155.2684446883182</v>
      </c>
      <c r="J1363">
        <f t="shared" si="164"/>
        <v>664.56597019309129</v>
      </c>
      <c r="K1363" s="27">
        <f t="shared" si="165"/>
        <v>-343.74137263014069</v>
      </c>
    </row>
    <row r="1364" spans="1:11">
      <c r="A1364" s="26">
        <v>1314</v>
      </c>
      <c r="B1364" s="82">
        <f t="shared" si="166"/>
        <v>0</v>
      </c>
      <c r="C1364" s="58">
        <f t="shared" si="170"/>
        <v>156.29037528357509</v>
      </c>
      <c r="D1364" s="83">
        <f t="shared" si="167"/>
        <v>666.66666666666663</v>
      </c>
      <c r="E1364">
        <f t="shared" si="163"/>
        <v>0</v>
      </c>
      <c r="G1364">
        <v>1314</v>
      </c>
      <c r="H1364" s="13">
        <f t="shared" si="168"/>
        <v>-7.7831728503952036E-4</v>
      </c>
      <c r="I1364">
        <f t="shared" si="169"/>
        <v>155.26766637103316</v>
      </c>
      <c r="J1364">
        <f t="shared" si="164"/>
        <v>664.56433805988786</v>
      </c>
      <c r="K1364" s="27">
        <f t="shared" si="165"/>
        <v>-343.73968418855083</v>
      </c>
    </row>
    <row r="1365" spans="1:11">
      <c r="A1365" s="26">
        <v>1315</v>
      </c>
      <c r="B1365" s="82">
        <f t="shared" si="166"/>
        <v>0</v>
      </c>
      <c r="C1365" s="58">
        <f t="shared" si="170"/>
        <v>156.29037528357509</v>
      </c>
      <c r="D1365" s="83">
        <f t="shared" si="167"/>
        <v>666.66666666666663</v>
      </c>
      <c r="E1365">
        <f t="shared" si="163"/>
        <v>0</v>
      </c>
      <c r="G1365">
        <v>1315</v>
      </c>
      <c r="H1365" s="13">
        <f t="shared" si="168"/>
        <v>-7.7831728503952036E-4</v>
      </c>
      <c r="I1365">
        <f t="shared" si="169"/>
        <v>155.26688805374812</v>
      </c>
      <c r="J1365">
        <f t="shared" si="164"/>
        <v>664.5627058760416</v>
      </c>
      <c r="K1365" s="27">
        <f t="shared" si="165"/>
        <v>-343.73799569871676</v>
      </c>
    </row>
    <row r="1366" spans="1:11">
      <c r="A1366" s="26">
        <v>1316</v>
      </c>
      <c r="B1366" s="82">
        <f t="shared" si="166"/>
        <v>0</v>
      </c>
      <c r="C1366" s="58">
        <f t="shared" si="170"/>
        <v>156.29037528357509</v>
      </c>
      <c r="D1366" s="83">
        <f t="shared" si="167"/>
        <v>666.66666666666663</v>
      </c>
      <c r="E1366">
        <f t="shared" si="163"/>
        <v>0</v>
      </c>
      <c r="G1366">
        <v>1316</v>
      </c>
      <c r="H1366" s="13">
        <f t="shared" si="168"/>
        <v>-7.7831728503952036E-4</v>
      </c>
      <c r="I1366">
        <f t="shared" si="169"/>
        <v>155.26610973646308</v>
      </c>
      <c r="J1366">
        <f t="shared" si="164"/>
        <v>664.56107364154877</v>
      </c>
      <c r="K1366" s="27">
        <f t="shared" si="165"/>
        <v>-343.73630716063485</v>
      </c>
    </row>
    <row r="1367" spans="1:11">
      <c r="A1367" s="26">
        <v>1317</v>
      </c>
      <c r="B1367" s="82">
        <f t="shared" si="166"/>
        <v>0</v>
      </c>
      <c r="C1367" s="58">
        <f t="shared" si="170"/>
        <v>156.29037528357509</v>
      </c>
      <c r="D1367" s="83">
        <f t="shared" si="167"/>
        <v>666.66666666666663</v>
      </c>
      <c r="E1367">
        <f t="shared" si="163"/>
        <v>0</v>
      </c>
      <c r="G1367">
        <v>1317</v>
      </c>
      <c r="H1367" s="13">
        <f t="shared" si="168"/>
        <v>-7.7831728503952036E-4</v>
      </c>
      <c r="I1367">
        <f t="shared" si="169"/>
        <v>155.26533141917804</v>
      </c>
      <c r="J1367">
        <f t="shared" si="164"/>
        <v>664.55944135640539</v>
      </c>
      <c r="K1367" s="27">
        <f t="shared" si="165"/>
        <v>-343.73461857430169</v>
      </c>
    </row>
    <row r="1368" spans="1:11">
      <c r="A1368" s="26">
        <v>1318</v>
      </c>
      <c r="B1368" s="82">
        <f t="shared" si="166"/>
        <v>0</v>
      </c>
      <c r="C1368" s="58">
        <f t="shared" si="170"/>
        <v>156.29037528357509</v>
      </c>
      <c r="D1368" s="83">
        <f t="shared" si="167"/>
        <v>666.66666666666663</v>
      </c>
      <c r="E1368">
        <f t="shared" si="163"/>
        <v>0</v>
      </c>
      <c r="G1368">
        <v>1318</v>
      </c>
      <c r="H1368" s="13">
        <f t="shared" si="168"/>
        <v>-7.7831728503952036E-4</v>
      </c>
      <c r="I1368">
        <f t="shared" si="169"/>
        <v>155.264553101893</v>
      </c>
      <c r="J1368">
        <f t="shared" si="164"/>
        <v>664.55780902060769</v>
      </c>
      <c r="K1368" s="27">
        <f t="shared" si="165"/>
        <v>-343.73292993971353</v>
      </c>
    </row>
    <row r="1369" spans="1:11">
      <c r="A1369" s="26">
        <v>1319</v>
      </c>
      <c r="B1369" s="82">
        <f t="shared" si="166"/>
        <v>0</v>
      </c>
      <c r="C1369" s="58">
        <f t="shared" si="170"/>
        <v>156.29037528357509</v>
      </c>
      <c r="D1369" s="83">
        <f t="shared" si="167"/>
        <v>666.66666666666663</v>
      </c>
      <c r="E1369">
        <f t="shared" si="163"/>
        <v>0</v>
      </c>
      <c r="G1369">
        <v>1319</v>
      </c>
      <c r="H1369" s="13">
        <f t="shared" si="168"/>
        <v>-7.7831728503952036E-4</v>
      </c>
      <c r="I1369">
        <f t="shared" si="169"/>
        <v>155.26377478460796</v>
      </c>
      <c r="J1369">
        <f t="shared" si="164"/>
        <v>664.55617663415183</v>
      </c>
      <c r="K1369" s="27">
        <f t="shared" si="165"/>
        <v>-343.73124125686689</v>
      </c>
    </row>
    <row r="1370" spans="1:11">
      <c r="A1370" s="26">
        <v>1320</v>
      </c>
      <c r="B1370" s="82">
        <f t="shared" si="166"/>
        <v>0</v>
      </c>
      <c r="C1370" s="58">
        <f t="shared" si="170"/>
        <v>156.29037528357509</v>
      </c>
      <c r="D1370" s="83">
        <f t="shared" si="167"/>
        <v>666.66666666666663</v>
      </c>
      <c r="E1370">
        <f t="shared" si="163"/>
        <v>0</v>
      </c>
      <c r="G1370">
        <v>1320</v>
      </c>
      <c r="H1370" s="13">
        <f t="shared" si="168"/>
        <v>-7.7831728503952036E-4</v>
      </c>
      <c r="I1370">
        <f t="shared" si="169"/>
        <v>155.26299646732292</v>
      </c>
      <c r="J1370">
        <f t="shared" si="164"/>
        <v>664.55454419703392</v>
      </c>
      <c r="K1370" s="27">
        <f t="shared" si="165"/>
        <v>-343.72955252575804</v>
      </c>
    </row>
    <row r="1371" spans="1:11">
      <c r="A1371" s="26">
        <v>1321</v>
      </c>
      <c r="B1371" s="82">
        <f t="shared" si="166"/>
        <v>0</v>
      </c>
      <c r="C1371" s="58">
        <f t="shared" si="170"/>
        <v>156.29037528357509</v>
      </c>
      <c r="D1371" s="83">
        <f t="shared" si="167"/>
        <v>666.66666666666663</v>
      </c>
      <c r="E1371">
        <f t="shared" si="163"/>
        <v>0</v>
      </c>
      <c r="G1371">
        <v>1321</v>
      </c>
      <c r="H1371" s="13">
        <f t="shared" si="168"/>
        <v>-7.7831728503952036E-4</v>
      </c>
      <c r="I1371">
        <f t="shared" si="169"/>
        <v>155.26221815003788</v>
      </c>
      <c r="J1371">
        <f t="shared" si="164"/>
        <v>664.55291170925011</v>
      </c>
      <c r="K1371" s="27">
        <f t="shared" si="165"/>
        <v>-343.72786374638349</v>
      </c>
    </row>
    <row r="1372" spans="1:11">
      <c r="A1372" s="26">
        <v>1322</v>
      </c>
      <c r="B1372" s="82">
        <f t="shared" si="166"/>
        <v>0</v>
      </c>
      <c r="C1372" s="58">
        <f t="shared" si="170"/>
        <v>156.29037528357509</v>
      </c>
      <c r="D1372" s="83">
        <f t="shared" si="167"/>
        <v>666.66666666666663</v>
      </c>
      <c r="E1372">
        <f t="shared" si="163"/>
        <v>0</v>
      </c>
      <c r="G1372">
        <v>1322</v>
      </c>
      <c r="H1372" s="13">
        <f t="shared" si="168"/>
        <v>-7.7831728503952036E-4</v>
      </c>
      <c r="I1372">
        <f t="shared" si="169"/>
        <v>155.26143983275284</v>
      </c>
      <c r="J1372">
        <f t="shared" si="164"/>
        <v>664.55127917079665</v>
      </c>
      <c r="K1372" s="27">
        <f t="shared" si="165"/>
        <v>-343.72617491873967</v>
      </c>
    </row>
    <row r="1373" spans="1:11">
      <c r="A1373" s="26">
        <v>1323</v>
      </c>
      <c r="B1373" s="82">
        <f t="shared" si="166"/>
        <v>0</v>
      </c>
      <c r="C1373" s="58">
        <f t="shared" si="170"/>
        <v>156.29037528357509</v>
      </c>
      <c r="D1373" s="83">
        <f t="shared" si="167"/>
        <v>666.66666666666663</v>
      </c>
      <c r="E1373">
        <f t="shared" si="163"/>
        <v>0</v>
      </c>
      <c r="G1373">
        <v>1323</v>
      </c>
      <c r="H1373" s="13">
        <f t="shared" si="168"/>
        <v>-7.7831728503952036E-4</v>
      </c>
      <c r="I1373">
        <f t="shared" si="169"/>
        <v>155.2606615154678</v>
      </c>
      <c r="J1373">
        <f t="shared" si="164"/>
        <v>664.54964658166966</v>
      </c>
      <c r="K1373" s="27">
        <f t="shared" si="165"/>
        <v>-343.724486042823</v>
      </c>
    </row>
    <row r="1374" spans="1:11">
      <c r="A1374" s="26">
        <v>1324</v>
      </c>
      <c r="B1374" s="82">
        <f t="shared" si="166"/>
        <v>0</v>
      </c>
      <c r="C1374" s="58">
        <f t="shared" si="170"/>
        <v>156.29037528357509</v>
      </c>
      <c r="D1374" s="83">
        <f t="shared" si="167"/>
        <v>666.66666666666663</v>
      </c>
      <c r="E1374">
        <f t="shared" si="163"/>
        <v>0</v>
      </c>
      <c r="G1374">
        <v>1324</v>
      </c>
      <c r="H1374" s="13">
        <f t="shared" si="168"/>
        <v>-7.7831728503952036E-4</v>
      </c>
      <c r="I1374">
        <f t="shared" si="169"/>
        <v>155.25988319818276</v>
      </c>
      <c r="J1374">
        <f t="shared" si="164"/>
        <v>664.54801394186529</v>
      </c>
      <c r="K1374" s="27">
        <f t="shared" si="165"/>
        <v>-343.7227971186299</v>
      </c>
    </row>
    <row r="1375" spans="1:11">
      <c r="A1375" s="26">
        <v>1325</v>
      </c>
      <c r="B1375" s="82">
        <f t="shared" si="166"/>
        <v>0</v>
      </c>
      <c r="C1375" s="58">
        <f t="shared" si="170"/>
        <v>156.29037528357509</v>
      </c>
      <c r="D1375" s="83">
        <f t="shared" si="167"/>
        <v>666.66666666666663</v>
      </c>
      <c r="E1375">
        <f t="shared" si="163"/>
        <v>0</v>
      </c>
      <c r="G1375">
        <v>1325</v>
      </c>
      <c r="H1375" s="13">
        <f t="shared" si="168"/>
        <v>-7.7831728503952036E-4</v>
      </c>
      <c r="I1375">
        <f t="shared" si="169"/>
        <v>155.25910488089772</v>
      </c>
      <c r="J1375">
        <f t="shared" si="164"/>
        <v>664.54638125137967</v>
      </c>
      <c r="K1375" s="27">
        <f t="shared" si="165"/>
        <v>-343.72110814615667</v>
      </c>
    </row>
    <row r="1376" spans="1:11">
      <c r="A1376" s="26">
        <v>1326</v>
      </c>
      <c r="B1376" s="82">
        <f t="shared" si="166"/>
        <v>0</v>
      </c>
      <c r="C1376" s="58">
        <f t="shared" si="170"/>
        <v>156.29037528357509</v>
      </c>
      <c r="D1376" s="83">
        <f t="shared" si="167"/>
        <v>666.66666666666663</v>
      </c>
      <c r="E1376">
        <f t="shared" si="163"/>
        <v>0</v>
      </c>
      <c r="G1376">
        <v>1326</v>
      </c>
      <c r="H1376" s="13">
        <f t="shared" si="168"/>
        <v>-7.7831728503952036E-4</v>
      </c>
      <c r="I1376">
        <f t="shared" si="169"/>
        <v>155.25832656361268</v>
      </c>
      <c r="J1376">
        <f t="shared" si="164"/>
        <v>664.54474851020893</v>
      </c>
      <c r="K1376" s="27">
        <f t="shared" si="165"/>
        <v>-343.71941912539972</v>
      </c>
    </row>
    <row r="1377" spans="1:11">
      <c r="A1377" s="26">
        <v>1327</v>
      </c>
      <c r="B1377" s="82">
        <f t="shared" si="166"/>
        <v>0</v>
      </c>
      <c r="C1377" s="58">
        <f t="shared" si="170"/>
        <v>156.29037528357509</v>
      </c>
      <c r="D1377" s="83">
        <f t="shared" si="167"/>
        <v>666.66666666666663</v>
      </c>
      <c r="E1377">
        <f t="shared" si="163"/>
        <v>0</v>
      </c>
      <c r="G1377">
        <v>1327</v>
      </c>
      <c r="H1377" s="13">
        <f t="shared" si="168"/>
        <v>-7.7831728503952036E-4</v>
      </c>
      <c r="I1377">
        <f t="shared" si="169"/>
        <v>155.25754824632764</v>
      </c>
      <c r="J1377">
        <f t="shared" si="164"/>
        <v>664.54311571834933</v>
      </c>
      <c r="K1377" s="27">
        <f t="shared" si="165"/>
        <v>-343.71773005635561</v>
      </c>
    </row>
    <row r="1378" spans="1:11">
      <c r="A1378" s="26">
        <v>1328</v>
      </c>
      <c r="B1378" s="82">
        <f t="shared" si="166"/>
        <v>0</v>
      </c>
      <c r="C1378" s="58">
        <f t="shared" si="170"/>
        <v>156.29037528357509</v>
      </c>
      <c r="D1378" s="83">
        <f t="shared" si="167"/>
        <v>666.66666666666663</v>
      </c>
      <c r="E1378">
        <f t="shared" si="163"/>
        <v>0</v>
      </c>
      <c r="G1378">
        <v>1328</v>
      </c>
      <c r="H1378" s="13">
        <f t="shared" si="168"/>
        <v>-7.7831728503952036E-4</v>
      </c>
      <c r="I1378">
        <f t="shared" si="169"/>
        <v>155.2567699290426</v>
      </c>
      <c r="J1378">
        <f t="shared" si="164"/>
        <v>664.54148287579687</v>
      </c>
      <c r="K1378" s="27">
        <f t="shared" si="165"/>
        <v>-343.71604093902056</v>
      </c>
    </row>
    <row r="1379" spans="1:11">
      <c r="A1379" s="26">
        <v>1329</v>
      </c>
      <c r="B1379" s="82">
        <f t="shared" si="166"/>
        <v>0</v>
      </c>
      <c r="C1379" s="58">
        <f t="shared" si="170"/>
        <v>156.29037528357509</v>
      </c>
      <c r="D1379" s="83">
        <f t="shared" si="167"/>
        <v>666.66666666666663</v>
      </c>
      <c r="E1379">
        <f t="shared" si="163"/>
        <v>0</v>
      </c>
      <c r="G1379">
        <v>1329</v>
      </c>
      <c r="H1379" s="13">
        <f t="shared" si="168"/>
        <v>-7.7831728503952036E-4</v>
      </c>
      <c r="I1379">
        <f t="shared" si="169"/>
        <v>155.25599161175757</v>
      </c>
      <c r="J1379">
        <f t="shared" si="164"/>
        <v>664.53984998254782</v>
      </c>
      <c r="K1379" s="27">
        <f t="shared" si="165"/>
        <v>-343.71435177339117</v>
      </c>
    </row>
    <row r="1380" spans="1:11">
      <c r="A1380" s="26">
        <v>1330</v>
      </c>
      <c r="B1380" s="82">
        <f t="shared" si="166"/>
        <v>0</v>
      </c>
      <c r="C1380" s="58">
        <f t="shared" si="170"/>
        <v>156.29037528357509</v>
      </c>
      <c r="D1380" s="83">
        <f t="shared" si="167"/>
        <v>666.66666666666663</v>
      </c>
      <c r="E1380">
        <f t="shared" si="163"/>
        <v>0</v>
      </c>
      <c r="G1380">
        <v>1330</v>
      </c>
      <c r="H1380" s="13">
        <f t="shared" si="168"/>
        <v>-7.7831728503952036E-4</v>
      </c>
      <c r="I1380">
        <f t="shared" si="169"/>
        <v>155.25521329447253</v>
      </c>
      <c r="J1380">
        <f t="shared" si="164"/>
        <v>664.5382170385983</v>
      </c>
      <c r="K1380" s="27">
        <f t="shared" si="165"/>
        <v>-343.71266255946369</v>
      </c>
    </row>
    <row r="1381" spans="1:11">
      <c r="A1381" s="26">
        <v>1331</v>
      </c>
      <c r="B1381" s="82">
        <f t="shared" si="166"/>
        <v>0</v>
      </c>
      <c r="C1381" s="58">
        <f t="shared" si="170"/>
        <v>156.29037528357509</v>
      </c>
      <c r="D1381" s="83">
        <f t="shared" si="167"/>
        <v>666.66666666666663</v>
      </c>
      <c r="E1381">
        <f t="shared" si="163"/>
        <v>0</v>
      </c>
      <c r="G1381">
        <v>1331</v>
      </c>
      <c r="H1381" s="13">
        <f t="shared" si="168"/>
        <v>-7.7831728503952036E-4</v>
      </c>
      <c r="I1381">
        <f t="shared" si="169"/>
        <v>155.25443497718749</v>
      </c>
      <c r="J1381">
        <f t="shared" si="164"/>
        <v>664.53658404394446</v>
      </c>
      <c r="K1381" s="27">
        <f t="shared" si="165"/>
        <v>-343.7109732972346</v>
      </c>
    </row>
    <row r="1382" spans="1:11">
      <c r="A1382" s="26">
        <v>1332</v>
      </c>
      <c r="B1382" s="82">
        <f t="shared" si="166"/>
        <v>0</v>
      </c>
      <c r="C1382" s="58">
        <f t="shared" si="170"/>
        <v>156.29037528357509</v>
      </c>
      <c r="D1382" s="83">
        <f t="shared" si="167"/>
        <v>666.66666666666663</v>
      </c>
      <c r="E1382">
        <f t="shared" si="163"/>
        <v>0</v>
      </c>
      <c r="G1382">
        <v>1332</v>
      </c>
      <c r="H1382" s="13">
        <f t="shared" si="168"/>
        <v>-7.7831728503952036E-4</v>
      </c>
      <c r="I1382">
        <f t="shared" si="169"/>
        <v>155.25365665990245</v>
      </c>
      <c r="J1382">
        <f t="shared" si="164"/>
        <v>664.53495099858242</v>
      </c>
      <c r="K1382" s="27">
        <f t="shared" si="165"/>
        <v>-343.70928398670026</v>
      </c>
    </row>
    <row r="1383" spans="1:11">
      <c r="A1383" s="26">
        <v>1333</v>
      </c>
      <c r="B1383" s="82">
        <f t="shared" si="166"/>
        <v>0</v>
      </c>
      <c r="C1383" s="58">
        <f t="shared" si="170"/>
        <v>156.29037528357509</v>
      </c>
      <c r="D1383" s="83">
        <f t="shared" si="167"/>
        <v>666.66666666666663</v>
      </c>
      <c r="E1383">
        <f t="shared" si="163"/>
        <v>0</v>
      </c>
      <c r="G1383">
        <v>1333</v>
      </c>
      <c r="H1383" s="13">
        <f t="shared" si="168"/>
        <v>-7.7831728503952036E-4</v>
      </c>
      <c r="I1383">
        <f t="shared" si="169"/>
        <v>155.25287834261741</v>
      </c>
      <c r="J1383">
        <f t="shared" si="164"/>
        <v>664.53331790250843</v>
      </c>
      <c r="K1383" s="27">
        <f t="shared" si="165"/>
        <v>-343.70759462785713</v>
      </c>
    </row>
    <row r="1384" spans="1:11">
      <c r="A1384" s="26">
        <v>1334</v>
      </c>
      <c r="B1384" s="82">
        <f t="shared" si="166"/>
        <v>0</v>
      </c>
      <c r="C1384" s="58">
        <f t="shared" si="170"/>
        <v>156.29037528357509</v>
      </c>
      <c r="D1384" s="83">
        <f t="shared" si="167"/>
        <v>666.66666666666663</v>
      </c>
      <c r="E1384">
        <f t="shared" si="163"/>
        <v>0</v>
      </c>
      <c r="G1384">
        <v>1334</v>
      </c>
      <c r="H1384" s="13">
        <f t="shared" si="168"/>
        <v>-7.7831728503952036E-4</v>
      </c>
      <c r="I1384">
        <f t="shared" si="169"/>
        <v>155.25210002533237</v>
      </c>
      <c r="J1384">
        <f t="shared" si="164"/>
        <v>664.53168475571852</v>
      </c>
      <c r="K1384" s="27">
        <f t="shared" si="165"/>
        <v>-343.70590522070148</v>
      </c>
    </row>
    <row r="1385" spans="1:11">
      <c r="A1385" s="26">
        <v>1335</v>
      </c>
      <c r="B1385" s="82">
        <f t="shared" si="166"/>
        <v>0</v>
      </c>
      <c r="C1385" s="58">
        <f t="shared" si="170"/>
        <v>156.29037528357509</v>
      </c>
      <c r="D1385" s="83">
        <f t="shared" si="167"/>
        <v>666.66666666666663</v>
      </c>
      <c r="E1385">
        <f t="shared" si="163"/>
        <v>0</v>
      </c>
      <c r="G1385">
        <v>1335</v>
      </c>
      <c r="H1385" s="13">
        <f t="shared" si="168"/>
        <v>-7.7831728503952036E-4</v>
      </c>
      <c r="I1385">
        <f t="shared" si="169"/>
        <v>155.25132170804733</v>
      </c>
      <c r="J1385">
        <f t="shared" si="164"/>
        <v>664.53005155820892</v>
      </c>
      <c r="K1385" s="27">
        <f t="shared" si="165"/>
        <v>-343.70421576522995</v>
      </c>
    </row>
    <row r="1386" spans="1:11">
      <c r="A1386" s="26">
        <v>1336</v>
      </c>
      <c r="B1386" s="82">
        <f t="shared" si="166"/>
        <v>0</v>
      </c>
      <c r="C1386" s="58">
        <f t="shared" si="170"/>
        <v>156.29037528357509</v>
      </c>
      <c r="D1386" s="83">
        <f t="shared" si="167"/>
        <v>666.66666666666663</v>
      </c>
      <c r="E1386">
        <f t="shared" si="163"/>
        <v>0</v>
      </c>
      <c r="G1386">
        <v>1336</v>
      </c>
      <c r="H1386" s="13">
        <f t="shared" si="168"/>
        <v>-7.7831728503952036E-4</v>
      </c>
      <c r="I1386">
        <f t="shared" si="169"/>
        <v>155.25054339076229</v>
      </c>
      <c r="J1386">
        <f t="shared" si="164"/>
        <v>664.52841830997568</v>
      </c>
      <c r="K1386" s="27">
        <f t="shared" si="165"/>
        <v>-343.70252626143861</v>
      </c>
    </row>
    <row r="1387" spans="1:11">
      <c r="A1387" s="26">
        <v>1337</v>
      </c>
      <c r="B1387" s="82">
        <f t="shared" si="166"/>
        <v>0</v>
      </c>
      <c r="C1387" s="58">
        <f t="shared" si="170"/>
        <v>156.29037528357509</v>
      </c>
      <c r="D1387" s="83">
        <f t="shared" si="167"/>
        <v>666.66666666666663</v>
      </c>
      <c r="E1387">
        <f t="shared" si="163"/>
        <v>0</v>
      </c>
      <c r="G1387">
        <v>1337</v>
      </c>
      <c r="H1387" s="13">
        <f t="shared" si="168"/>
        <v>-7.7831728503952036E-4</v>
      </c>
      <c r="I1387">
        <f t="shared" si="169"/>
        <v>155.24976507347725</v>
      </c>
      <c r="J1387">
        <f t="shared" si="164"/>
        <v>664.52678501101502</v>
      </c>
      <c r="K1387" s="27">
        <f t="shared" si="165"/>
        <v>-343.70083670932422</v>
      </c>
    </row>
    <row r="1388" spans="1:11">
      <c r="A1388" s="26">
        <v>1338</v>
      </c>
      <c r="B1388" s="82">
        <f t="shared" si="166"/>
        <v>0</v>
      </c>
      <c r="C1388" s="58">
        <f t="shared" si="170"/>
        <v>156.29037528357509</v>
      </c>
      <c r="D1388" s="83">
        <f t="shared" si="167"/>
        <v>666.66666666666663</v>
      </c>
      <c r="E1388">
        <f t="shared" si="163"/>
        <v>0</v>
      </c>
      <c r="G1388">
        <v>1338</v>
      </c>
      <c r="H1388" s="13">
        <f t="shared" si="168"/>
        <v>-7.7831728503952036E-4</v>
      </c>
      <c r="I1388">
        <f t="shared" si="169"/>
        <v>155.24898675619221</v>
      </c>
      <c r="J1388">
        <f t="shared" si="164"/>
        <v>664.52515166132321</v>
      </c>
      <c r="K1388" s="27">
        <f t="shared" si="165"/>
        <v>-343.69914710888298</v>
      </c>
    </row>
    <row r="1389" spans="1:11">
      <c r="A1389" s="26">
        <v>1339</v>
      </c>
      <c r="B1389" s="82">
        <f t="shared" si="166"/>
        <v>0</v>
      </c>
      <c r="C1389" s="58">
        <f t="shared" si="170"/>
        <v>156.29037528357509</v>
      </c>
      <c r="D1389" s="83">
        <f t="shared" si="167"/>
        <v>666.66666666666663</v>
      </c>
      <c r="E1389">
        <f t="shared" si="163"/>
        <v>0</v>
      </c>
      <c r="G1389">
        <v>1339</v>
      </c>
      <c r="H1389" s="13">
        <f t="shared" si="168"/>
        <v>-7.7831728503952036E-4</v>
      </c>
      <c r="I1389">
        <f t="shared" si="169"/>
        <v>155.24820843890717</v>
      </c>
      <c r="J1389">
        <f t="shared" si="164"/>
        <v>664.52351826089614</v>
      </c>
      <c r="K1389" s="27">
        <f t="shared" si="165"/>
        <v>-343.69745746011131</v>
      </c>
    </row>
    <row r="1390" spans="1:11">
      <c r="A1390" s="26">
        <v>1340</v>
      </c>
      <c r="B1390" s="82">
        <f t="shared" si="166"/>
        <v>0</v>
      </c>
      <c r="C1390" s="58">
        <f t="shared" si="170"/>
        <v>156.29037528357509</v>
      </c>
      <c r="D1390" s="83">
        <f t="shared" si="167"/>
        <v>666.66666666666663</v>
      </c>
      <c r="E1390">
        <f t="shared" si="163"/>
        <v>0</v>
      </c>
      <c r="G1390">
        <v>1340</v>
      </c>
      <c r="H1390" s="13">
        <f t="shared" si="168"/>
        <v>-7.7831728503952036E-4</v>
      </c>
      <c r="I1390">
        <f t="shared" si="169"/>
        <v>155.24743012162213</v>
      </c>
      <c r="J1390">
        <f t="shared" si="164"/>
        <v>664.52188480973007</v>
      </c>
      <c r="K1390" s="27">
        <f t="shared" si="165"/>
        <v>-343.69576776300573</v>
      </c>
    </row>
    <row r="1391" spans="1:11">
      <c r="A1391" s="26">
        <v>1341</v>
      </c>
      <c r="B1391" s="82">
        <f t="shared" si="166"/>
        <v>0</v>
      </c>
      <c r="C1391" s="58">
        <f t="shared" si="170"/>
        <v>156.29037528357509</v>
      </c>
      <c r="D1391" s="83">
        <f t="shared" si="167"/>
        <v>666.66666666666663</v>
      </c>
      <c r="E1391">
        <f t="shared" si="163"/>
        <v>0</v>
      </c>
      <c r="G1391">
        <v>1341</v>
      </c>
      <c r="H1391" s="13">
        <f t="shared" si="168"/>
        <v>-7.7831728503952036E-4</v>
      </c>
      <c r="I1391">
        <f t="shared" si="169"/>
        <v>155.24665180433709</v>
      </c>
      <c r="J1391">
        <f t="shared" si="164"/>
        <v>664.52025130782124</v>
      </c>
      <c r="K1391" s="27">
        <f t="shared" si="165"/>
        <v>-343.69407801756239</v>
      </c>
    </row>
    <row r="1392" spans="1:11">
      <c r="A1392" s="26">
        <v>1342</v>
      </c>
      <c r="B1392" s="82">
        <f t="shared" si="166"/>
        <v>0</v>
      </c>
      <c r="C1392" s="58">
        <f t="shared" si="170"/>
        <v>156.29037528357509</v>
      </c>
      <c r="D1392" s="83">
        <f t="shared" si="167"/>
        <v>666.66666666666663</v>
      </c>
      <c r="E1392">
        <f t="shared" si="163"/>
        <v>0</v>
      </c>
      <c r="G1392">
        <v>1342</v>
      </c>
      <c r="H1392" s="13">
        <f t="shared" si="168"/>
        <v>-7.7831728503952036E-4</v>
      </c>
      <c r="I1392">
        <f t="shared" si="169"/>
        <v>155.24587348705205</v>
      </c>
      <c r="J1392">
        <f t="shared" si="164"/>
        <v>664.51861775516568</v>
      </c>
      <c r="K1392" s="27">
        <f t="shared" si="165"/>
        <v>-343.69238822377798</v>
      </c>
    </row>
    <row r="1393" spans="1:11">
      <c r="A1393" s="26">
        <v>1343</v>
      </c>
      <c r="B1393" s="82">
        <f t="shared" si="166"/>
        <v>0</v>
      </c>
      <c r="C1393" s="58">
        <f t="shared" si="170"/>
        <v>156.29037528357509</v>
      </c>
      <c r="D1393" s="83">
        <f t="shared" si="167"/>
        <v>666.66666666666663</v>
      </c>
      <c r="E1393">
        <f t="shared" si="163"/>
        <v>0</v>
      </c>
      <c r="G1393">
        <v>1343</v>
      </c>
      <c r="H1393" s="13">
        <f t="shared" si="168"/>
        <v>-7.7831728503952036E-4</v>
      </c>
      <c r="I1393">
        <f t="shared" si="169"/>
        <v>155.24509516976701</v>
      </c>
      <c r="J1393">
        <f t="shared" si="164"/>
        <v>664.51698415175963</v>
      </c>
      <c r="K1393" s="27">
        <f t="shared" si="165"/>
        <v>-343.6906983816487</v>
      </c>
    </row>
    <row r="1394" spans="1:11">
      <c r="A1394" s="26">
        <v>1344</v>
      </c>
      <c r="B1394" s="82">
        <f t="shared" si="166"/>
        <v>0</v>
      </c>
      <c r="C1394" s="58">
        <f t="shared" si="170"/>
        <v>156.29037528357509</v>
      </c>
      <c r="D1394" s="83">
        <f t="shared" si="167"/>
        <v>666.66666666666663</v>
      </c>
      <c r="E1394">
        <f t="shared" si="163"/>
        <v>0</v>
      </c>
      <c r="G1394">
        <v>1344</v>
      </c>
      <c r="H1394" s="13">
        <f t="shared" si="168"/>
        <v>-7.7831728503952036E-4</v>
      </c>
      <c r="I1394">
        <f t="shared" si="169"/>
        <v>155.24431685248197</v>
      </c>
      <c r="J1394">
        <f t="shared" si="164"/>
        <v>664.51535049759912</v>
      </c>
      <c r="K1394" s="27">
        <f t="shared" si="165"/>
        <v>-343.68900849117102</v>
      </c>
    </row>
    <row r="1395" spans="1:11">
      <c r="A1395" s="26">
        <v>1345</v>
      </c>
      <c r="B1395" s="82">
        <f t="shared" si="166"/>
        <v>0</v>
      </c>
      <c r="C1395" s="58">
        <f t="shared" si="170"/>
        <v>156.29037528357509</v>
      </c>
      <c r="D1395" s="83">
        <f t="shared" si="167"/>
        <v>666.66666666666663</v>
      </c>
      <c r="E1395">
        <f t="shared" ref="E1395:E1458" si="171">((D1395^2)+(D1395*D1396)+(D1396^2))*B1396/3</f>
        <v>0</v>
      </c>
      <c r="G1395">
        <v>1345</v>
      </c>
      <c r="H1395" s="13">
        <f t="shared" si="168"/>
        <v>-7.7831728503952036E-4</v>
      </c>
      <c r="I1395">
        <f t="shared" si="169"/>
        <v>155.24353853519693</v>
      </c>
      <c r="J1395">
        <f t="shared" ref="J1395:J1458" si="172">IF($G$28&lt;$C$14,0,((($C$11^2)-((I1395-$C$13)^2))^0.5)+$C$16)</f>
        <v>664.51371679268038</v>
      </c>
      <c r="K1395" s="27">
        <f t="shared" ref="K1395:K1458" si="173">((J1395^2)+(J1395*J1396)+(J1396^2))*H1396/3</f>
        <v>-343.68731855234142</v>
      </c>
    </row>
    <row r="1396" spans="1:11">
      <c r="A1396" s="26">
        <v>1346</v>
      </c>
      <c r="B1396" s="82">
        <f t="shared" ref="B1396:B1459" si="174">C1396-C1395</f>
        <v>0</v>
      </c>
      <c r="C1396" s="58">
        <f t="shared" si="170"/>
        <v>156.29037528357509</v>
      </c>
      <c r="D1396" s="83">
        <f t="shared" ref="D1396:D1459" si="175">IF($G$28&lt;$C$14,0,((($C$11^2)-((C1396-$C$13)^2))^0.5)+$C$16)</f>
        <v>666.66666666666663</v>
      </c>
      <c r="E1396">
        <f t="shared" si="171"/>
        <v>0</v>
      </c>
      <c r="G1396">
        <v>1346</v>
      </c>
      <c r="H1396" s="13">
        <f t="shared" ref="H1396:H1459" si="176">I1396-I1395</f>
        <v>-7.7831728503952036E-4</v>
      </c>
      <c r="I1396">
        <f t="shared" ref="I1396:I1459" si="177">($G$27-$C$14)/2000+I1395</f>
        <v>155.24276021791189</v>
      </c>
      <c r="J1396">
        <f t="shared" si="172"/>
        <v>664.51208303699957</v>
      </c>
      <c r="K1396" s="27">
        <f t="shared" si="173"/>
        <v>-343.68562856515609</v>
      </c>
    </row>
    <row r="1397" spans="1:11">
      <c r="A1397" s="26">
        <v>1347</v>
      </c>
      <c r="B1397" s="82">
        <f t="shared" si="174"/>
        <v>0</v>
      </c>
      <c r="C1397" s="58">
        <f t="shared" si="170"/>
        <v>156.29037528357509</v>
      </c>
      <c r="D1397" s="83">
        <f t="shared" si="175"/>
        <v>666.66666666666663</v>
      </c>
      <c r="E1397">
        <f t="shared" si="171"/>
        <v>0</v>
      </c>
      <c r="G1397">
        <v>1347</v>
      </c>
      <c r="H1397" s="13">
        <f t="shared" si="176"/>
        <v>-7.7831728503952036E-4</v>
      </c>
      <c r="I1397">
        <f t="shared" si="177"/>
        <v>155.24198190062685</v>
      </c>
      <c r="J1397">
        <f t="shared" si="172"/>
        <v>664.51044923055269</v>
      </c>
      <c r="K1397" s="27">
        <f t="shared" si="173"/>
        <v>-343.68393852961162</v>
      </c>
    </row>
    <row r="1398" spans="1:11">
      <c r="A1398" s="26">
        <v>1348</v>
      </c>
      <c r="B1398" s="82">
        <f t="shared" si="174"/>
        <v>0</v>
      </c>
      <c r="C1398" s="58">
        <f t="shared" si="170"/>
        <v>156.29037528357509</v>
      </c>
      <c r="D1398" s="83">
        <f t="shared" si="175"/>
        <v>666.66666666666663</v>
      </c>
      <c r="E1398">
        <f t="shared" si="171"/>
        <v>0</v>
      </c>
      <c r="G1398">
        <v>1348</v>
      </c>
      <c r="H1398" s="13">
        <f t="shared" si="176"/>
        <v>-7.7831728503952036E-4</v>
      </c>
      <c r="I1398">
        <f t="shared" si="177"/>
        <v>155.24120358334181</v>
      </c>
      <c r="J1398">
        <f t="shared" si="172"/>
        <v>664.50881537333612</v>
      </c>
      <c r="K1398" s="27">
        <f t="shared" si="173"/>
        <v>-343.68224844570426</v>
      </c>
    </row>
    <row r="1399" spans="1:11">
      <c r="A1399" s="26">
        <v>1349</v>
      </c>
      <c r="B1399" s="82">
        <f t="shared" si="174"/>
        <v>0</v>
      </c>
      <c r="C1399" s="58">
        <f t="shared" si="170"/>
        <v>156.29037528357509</v>
      </c>
      <c r="D1399" s="83">
        <f t="shared" si="175"/>
        <v>666.66666666666663</v>
      </c>
      <c r="E1399">
        <f t="shared" si="171"/>
        <v>0</v>
      </c>
      <c r="G1399">
        <v>1349</v>
      </c>
      <c r="H1399" s="13">
        <f t="shared" si="176"/>
        <v>-7.7831728503952036E-4</v>
      </c>
      <c r="I1399">
        <f t="shared" si="177"/>
        <v>155.24042526605677</v>
      </c>
      <c r="J1399">
        <f t="shared" si="172"/>
        <v>664.50718146534575</v>
      </c>
      <c r="K1399" s="27">
        <f t="shared" si="173"/>
        <v>-343.68055831343054</v>
      </c>
    </row>
    <row r="1400" spans="1:11">
      <c r="A1400" s="26">
        <v>1350</v>
      </c>
      <c r="B1400" s="82">
        <f t="shared" si="174"/>
        <v>0</v>
      </c>
      <c r="C1400" s="58">
        <f t="shared" si="170"/>
        <v>156.29037528357509</v>
      </c>
      <c r="D1400" s="83">
        <f t="shared" si="175"/>
        <v>666.66666666666663</v>
      </c>
      <c r="E1400">
        <f t="shared" si="171"/>
        <v>0</v>
      </c>
      <c r="G1400">
        <v>1350</v>
      </c>
      <c r="H1400" s="13">
        <f t="shared" si="176"/>
        <v>-7.7831728503952036E-4</v>
      </c>
      <c r="I1400">
        <f t="shared" si="177"/>
        <v>155.23964694877174</v>
      </c>
      <c r="J1400">
        <f t="shared" si="172"/>
        <v>664.50554750657795</v>
      </c>
      <c r="K1400" s="27">
        <f t="shared" si="173"/>
        <v>-343.67886813278682</v>
      </c>
    </row>
    <row r="1401" spans="1:11">
      <c r="A1401" s="26">
        <v>1351</v>
      </c>
      <c r="B1401" s="82">
        <f t="shared" si="174"/>
        <v>0</v>
      </c>
      <c r="C1401" s="58">
        <f t="shared" si="170"/>
        <v>156.29037528357509</v>
      </c>
      <c r="D1401" s="83">
        <f t="shared" si="175"/>
        <v>666.66666666666663</v>
      </c>
      <c r="E1401">
        <f t="shared" si="171"/>
        <v>0</v>
      </c>
      <c r="G1401">
        <v>1351</v>
      </c>
      <c r="H1401" s="13">
        <f t="shared" si="176"/>
        <v>-7.7831728503952036E-4</v>
      </c>
      <c r="I1401">
        <f t="shared" si="177"/>
        <v>155.2388686314867</v>
      </c>
      <c r="J1401">
        <f t="shared" si="172"/>
        <v>664.50391349702863</v>
      </c>
      <c r="K1401" s="27">
        <f t="shared" si="173"/>
        <v>-343.67717790376946</v>
      </c>
    </row>
    <row r="1402" spans="1:11">
      <c r="A1402" s="26">
        <v>1352</v>
      </c>
      <c r="B1402" s="82">
        <f t="shared" si="174"/>
        <v>0</v>
      </c>
      <c r="C1402" s="58">
        <f t="shared" si="170"/>
        <v>156.29037528357509</v>
      </c>
      <c r="D1402" s="83">
        <f t="shared" si="175"/>
        <v>666.66666666666663</v>
      </c>
      <c r="E1402">
        <f t="shared" si="171"/>
        <v>0</v>
      </c>
      <c r="G1402">
        <v>1352</v>
      </c>
      <c r="H1402" s="13">
        <f t="shared" si="176"/>
        <v>-7.7831728503952036E-4</v>
      </c>
      <c r="I1402">
        <f t="shared" si="177"/>
        <v>155.23809031420166</v>
      </c>
      <c r="J1402">
        <f t="shared" si="172"/>
        <v>664.50227943669415</v>
      </c>
      <c r="K1402" s="27">
        <f t="shared" si="173"/>
        <v>-343.67548762637483</v>
      </c>
    </row>
    <row r="1403" spans="1:11">
      <c r="A1403" s="26">
        <v>1353</v>
      </c>
      <c r="B1403" s="82">
        <f t="shared" si="174"/>
        <v>0</v>
      </c>
      <c r="C1403" s="58">
        <f t="shared" si="170"/>
        <v>156.29037528357509</v>
      </c>
      <c r="D1403" s="83">
        <f t="shared" si="175"/>
        <v>666.66666666666663</v>
      </c>
      <c r="E1403">
        <f t="shared" si="171"/>
        <v>0</v>
      </c>
      <c r="G1403">
        <v>1353</v>
      </c>
      <c r="H1403" s="13">
        <f t="shared" si="176"/>
        <v>-7.7831728503952036E-4</v>
      </c>
      <c r="I1403">
        <f t="shared" si="177"/>
        <v>155.23731199691662</v>
      </c>
      <c r="J1403">
        <f t="shared" si="172"/>
        <v>664.50064532557053</v>
      </c>
      <c r="K1403" s="27">
        <f t="shared" si="173"/>
        <v>-343.67379730059935</v>
      </c>
    </row>
    <row r="1404" spans="1:11">
      <c r="A1404" s="26">
        <v>1354</v>
      </c>
      <c r="B1404" s="82">
        <f t="shared" si="174"/>
        <v>0</v>
      </c>
      <c r="C1404" s="58">
        <f t="shared" si="170"/>
        <v>156.29037528357509</v>
      </c>
      <c r="D1404" s="83">
        <f t="shared" si="175"/>
        <v>666.66666666666663</v>
      </c>
      <c r="E1404">
        <f t="shared" si="171"/>
        <v>0</v>
      </c>
      <c r="G1404">
        <v>1354</v>
      </c>
      <c r="H1404" s="13">
        <f t="shared" si="176"/>
        <v>-7.7831728503952036E-4</v>
      </c>
      <c r="I1404">
        <f t="shared" si="177"/>
        <v>155.23653367963158</v>
      </c>
      <c r="J1404">
        <f t="shared" si="172"/>
        <v>664.4990111636539</v>
      </c>
      <c r="K1404" s="27">
        <f t="shared" si="173"/>
        <v>-343.67210692643948</v>
      </c>
    </row>
    <row r="1405" spans="1:11">
      <c r="A1405" s="26">
        <v>1355</v>
      </c>
      <c r="B1405" s="82">
        <f t="shared" si="174"/>
        <v>0</v>
      </c>
      <c r="C1405" s="58">
        <f t="shared" si="170"/>
        <v>156.29037528357509</v>
      </c>
      <c r="D1405" s="83">
        <f t="shared" si="175"/>
        <v>666.66666666666663</v>
      </c>
      <c r="E1405">
        <f t="shared" si="171"/>
        <v>0</v>
      </c>
      <c r="G1405">
        <v>1355</v>
      </c>
      <c r="H1405" s="13">
        <f t="shared" si="176"/>
        <v>-7.7831728503952036E-4</v>
      </c>
      <c r="I1405">
        <f t="shared" si="177"/>
        <v>155.23575536234654</v>
      </c>
      <c r="J1405">
        <f t="shared" si="172"/>
        <v>664.49737695094041</v>
      </c>
      <c r="K1405" s="27">
        <f t="shared" si="173"/>
        <v>-343.67041650389143</v>
      </c>
    </row>
    <row r="1406" spans="1:11">
      <c r="A1406" s="26">
        <v>1356</v>
      </c>
      <c r="B1406" s="82">
        <f t="shared" si="174"/>
        <v>0</v>
      </c>
      <c r="C1406" s="58">
        <f t="shared" si="170"/>
        <v>156.29037528357509</v>
      </c>
      <c r="D1406" s="83">
        <f t="shared" si="175"/>
        <v>666.66666666666663</v>
      </c>
      <c r="E1406">
        <f t="shared" si="171"/>
        <v>0</v>
      </c>
      <c r="G1406">
        <v>1356</v>
      </c>
      <c r="H1406" s="13">
        <f t="shared" si="176"/>
        <v>-7.7831728503952036E-4</v>
      </c>
      <c r="I1406">
        <f t="shared" si="177"/>
        <v>155.2349770450615</v>
      </c>
      <c r="J1406">
        <f t="shared" si="172"/>
        <v>664.49574268742617</v>
      </c>
      <c r="K1406" s="27">
        <f t="shared" si="173"/>
        <v>-343.66872603295184</v>
      </c>
    </row>
    <row r="1407" spans="1:11">
      <c r="A1407" s="26">
        <v>1357</v>
      </c>
      <c r="B1407" s="82">
        <f t="shared" si="174"/>
        <v>0</v>
      </c>
      <c r="C1407" s="58">
        <f t="shared" si="170"/>
        <v>156.29037528357509</v>
      </c>
      <c r="D1407" s="83">
        <f t="shared" si="175"/>
        <v>666.66666666666663</v>
      </c>
      <c r="E1407">
        <f t="shared" si="171"/>
        <v>0</v>
      </c>
      <c r="G1407">
        <v>1357</v>
      </c>
      <c r="H1407" s="13">
        <f t="shared" si="176"/>
        <v>-7.7831728503952036E-4</v>
      </c>
      <c r="I1407">
        <f t="shared" si="177"/>
        <v>155.23419872777646</v>
      </c>
      <c r="J1407">
        <f t="shared" si="172"/>
        <v>664.49410837310757</v>
      </c>
      <c r="K1407" s="27">
        <f t="shared" si="173"/>
        <v>-343.66703551361707</v>
      </c>
    </row>
    <row r="1408" spans="1:11">
      <c r="A1408" s="26">
        <v>1358</v>
      </c>
      <c r="B1408" s="82">
        <f t="shared" si="174"/>
        <v>0</v>
      </c>
      <c r="C1408" s="58">
        <f t="shared" si="170"/>
        <v>156.29037528357509</v>
      </c>
      <c r="D1408" s="83">
        <f t="shared" si="175"/>
        <v>666.66666666666663</v>
      </c>
      <c r="E1408">
        <f t="shared" si="171"/>
        <v>0</v>
      </c>
      <c r="G1408">
        <v>1358</v>
      </c>
      <c r="H1408" s="13">
        <f t="shared" si="176"/>
        <v>-7.7831728503952036E-4</v>
      </c>
      <c r="I1408">
        <f t="shared" si="177"/>
        <v>155.23342041049142</v>
      </c>
      <c r="J1408">
        <f t="shared" si="172"/>
        <v>664.49247400798038</v>
      </c>
      <c r="K1408" s="27">
        <f t="shared" si="173"/>
        <v>-343.66534494588331</v>
      </c>
    </row>
    <row r="1409" spans="1:11">
      <c r="A1409" s="26">
        <v>1359</v>
      </c>
      <c r="B1409" s="82">
        <f t="shared" si="174"/>
        <v>0</v>
      </c>
      <c r="C1409" s="58">
        <f t="shared" si="170"/>
        <v>156.29037528357509</v>
      </c>
      <c r="D1409" s="83">
        <f t="shared" si="175"/>
        <v>666.66666666666663</v>
      </c>
      <c r="E1409">
        <f t="shared" si="171"/>
        <v>0</v>
      </c>
      <c r="G1409">
        <v>1359</v>
      </c>
      <c r="H1409" s="13">
        <f t="shared" si="176"/>
        <v>-7.7831728503952036E-4</v>
      </c>
      <c r="I1409">
        <f t="shared" si="177"/>
        <v>155.23264209320638</v>
      </c>
      <c r="J1409">
        <f t="shared" si="172"/>
        <v>664.49083959204086</v>
      </c>
      <c r="K1409" s="27">
        <f t="shared" si="173"/>
        <v>-343.66365432974703</v>
      </c>
    </row>
    <row r="1410" spans="1:11">
      <c r="A1410" s="26">
        <v>1360</v>
      </c>
      <c r="B1410" s="82">
        <f t="shared" si="174"/>
        <v>0</v>
      </c>
      <c r="C1410" s="58">
        <f t="shared" si="170"/>
        <v>156.29037528357509</v>
      </c>
      <c r="D1410" s="83">
        <f t="shared" si="175"/>
        <v>666.66666666666663</v>
      </c>
      <c r="E1410">
        <f t="shared" si="171"/>
        <v>0</v>
      </c>
      <c r="G1410">
        <v>1360</v>
      </c>
      <c r="H1410" s="13">
        <f t="shared" si="176"/>
        <v>-7.7831728503952036E-4</v>
      </c>
      <c r="I1410">
        <f t="shared" si="177"/>
        <v>155.23186377592134</v>
      </c>
      <c r="J1410">
        <f t="shared" si="172"/>
        <v>664.48920512528525</v>
      </c>
      <c r="K1410" s="27">
        <f t="shared" si="173"/>
        <v>-343.66196366520472</v>
      </c>
    </row>
    <row r="1411" spans="1:11">
      <c r="A1411" s="26">
        <v>1361</v>
      </c>
      <c r="B1411" s="82">
        <f t="shared" si="174"/>
        <v>0</v>
      </c>
      <c r="C1411" s="58">
        <f t="shared" si="170"/>
        <v>156.29037528357509</v>
      </c>
      <c r="D1411" s="83">
        <f t="shared" si="175"/>
        <v>666.66666666666663</v>
      </c>
      <c r="E1411">
        <f t="shared" si="171"/>
        <v>0</v>
      </c>
      <c r="G1411">
        <v>1361</v>
      </c>
      <c r="H1411" s="13">
        <f t="shared" si="176"/>
        <v>-7.7831728503952036E-4</v>
      </c>
      <c r="I1411">
        <f t="shared" si="177"/>
        <v>155.2310854586363</v>
      </c>
      <c r="J1411">
        <f t="shared" si="172"/>
        <v>664.4875706077097</v>
      </c>
      <c r="K1411" s="27">
        <f t="shared" si="173"/>
        <v>-343.6602729522528</v>
      </c>
    </row>
    <row r="1412" spans="1:11">
      <c r="A1412" s="26">
        <v>1362</v>
      </c>
      <c r="B1412" s="82">
        <f t="shared" si="174"/>
        <v>0</v>
      </c>
      <c r="C1412" s="58">
        <f t="shared" si="170"/>
        <v>156.29037528357509</v>
      </c>
      <c r="D1412" s="83">
        <f t="shared" si="175"/>
        <v>666.66666666666663</v>
      </c>
      <c r="E1412">
        <f t="shared" si="171"/>
        <v>0</v>
      </c>
      <c r="G1412">
        <v>1362</v>
      </c>
      <c r="H1412" s="13">
        <f t="shared" si="176"/>
        <v>-7.7831728503952036E-4</v>
      </c>
      <c r="I1412">
        <f t="shared" si="177"/>
        <v>155.23030714135126</v>
      </c>
      <c r="J1412">
        <f t="shared" si="172"/>
        <v>664.48593603931022</v>
      </c>
      <c r="K1412" s="27">
        <f t="shared" si="173"/>
        <v>-343.6585821908875</v>
      </c>
    </row>
    <row r="1413" spans="1:11">
      <c r="A1413" s="26">
        <v>1363</v>
      </c>
      <c r="B1413" s="82">
        <f t="shared" si="174"/>
        <v>0</v>
      </c>
      <c r="C1413" s="58">
        <f t="shared" si="170"/>
        <v>156.29037528357509</v>
      </c>
      <c r="D1413" s="83">
        <f t="shared" si="175"/>
        <v>666.66666666666663</v>
      </c>
      <c r="E1413">
        <f t="shared" si="171"/>
        <v>0</v>
      </c>
      <c r="G1413">
        <v>1363</v>
      </c>
      <c r="H1413" s="13">
        <f t="shared" si="176"/>
        <v>-7.7831728503952036E-4</v>
      </c>
      <c r="I1413">
        <f t="shared" si="177"/>
        <v>155.22952882406622</v>
      </c>
      <c r="J1413">
        <f t="shared" si="172"/>
        <v>664.48430142008294</v>
      </c>
      <c r="K1413" s="27">
        <f t="shared" si="173"/>
        <v>-343.65689138110525</v>
      </c>
    </row>
    <row r="1414" spans="1:11">
      <c r="A1414" s="26">
        <v>1364</v>
      </c>
      <c r="B1414" s="82">
        <f t="shared" si="174"/>
        <v>0</v>
      </c>
      <c r="C1414" s="58">
        <f t="shared" si="170"/>
        <v>156.29037528357509</v>
      </c>
      <c r="D1414" s="83">
        <f t="shared" si="175"/>
        <v>666.66666666666663</v>
      </c>
      <c r="E1414">
        <f t="shared" si="171"/>
        <v>0</v>
      </c>
      <c r="G1414">
        <v>1364</v>
      </c>
      <c r="H1414" s="13">
        <f t="shared" si="176"/>
        <v>-7.7831728503952036E-4</v>
      </c>
      <c r="I1414">
        <f t="shared" si="177"/>
        <v>155.22875050678118</v>
      </c>
      <c r="J1414">
        <f t="shared" si="172"/>
        <v>664.48266675002412</v>
      </c>
      <c r="K1414" s="27">
        <f t="shared" si="173"/>
        <v>-343.65520052290253</v>
      </c>
    </row>
    <row r="1415" spans="1:11">
      <c r="A1415" s="26">
        <v>1365</v>
      </c>
      <c r="B1415" s="82">
        <f t="shared" si="174"/>
        <v>0</v>
      </c>
      <c r="C1415" s="58">
        <f t="shared" si="170"/>
        <v>156.29037528357509</v>
      </c>
      <c r="D1415" s="83">
        <f t="shared" si="175"/>
        <v>666.66666666666663</v>
      </c>
      <c r="E1415">
        <f t="shared" si="171"/>
        <v>0</v>
      </c>
      <c r="G1415">
        <v>1365</v>
      </c>
      <c r="H1415" s="13">
        <f t="shared" si="176"/>
        <v>-7.7831728503952036E-4</v>
      </c>
      <c r="I1415">
        <f t="shared" si="177"/>
        <v>155.22797218949614</v>
      </c>
      <c r="J1415">
        <f t="shared" si="172"/>
        <v>664.48103202912978</v>
      </c>
      <c r="K1415" s="27">
        <f t="shared" si="173"/>
        <v>-343.65350961627564</v>
      </c>
    </row>
    <row r="1416" spans="1:11">
      <c r="A1416" s="26">
        <v>1366</v>
      </c>
      <c r="B1416" s="82">
        <f t="shared" si="174"/>
        <v>0</v>
      </c>
      <c r="C1416" s="58">
        <f t="shared" si="170"/>
        <v>156.29037528357509</v>
      </c>
      <c r="D1416" s="83">
        <f t="shared" si="175"/>
        <v>666.66666666666663</v>
      </c>
      <c r="E1416">
        <f t="shared" si="171"/>
        <v>0</v>
      </c>
      <c r="G1416">
        <v>1366</v>
      </c>
      <c r="H1416" s="13">
        <f t="shared" si="176"/>
        <v>-7.7831728503952036E-4</v>
      </c>
      <c r="I1416">
        <f t="shared" si="177"/>
        <v>155.2271938722111</v>
      </c>
      <c r="J1416">
        <f t="shared" si="172"/>
        <v>664.47939725739616</v>
      </c>
      <c r="K1416" s="27">
        <f t="shared" si="173"/>
        <v>-343.65181866122111</v>
      </c>
    </row>
    <row r="1417" spans="1:11">
      <c r="A1417" s="26">
        <v>1367</v>
      </c>
      <c r="B1417" s="82">
        <f t="shared" si="174"/>
        <v>0</v>
      </c>
      <c r="C1417" s="58">
        <f t="shared" si="170"/>
        <v>156.29037528357509</v>
      </c>
      <c r="D1417" s="83">
        <f t="shared" si="175"/>
        <v>666.66666666666663</v>
      </c>
      <c r="E1417">
        <f t="shared" si="171"/>
        <v>0</v>
      </c>
      <c r="G1417">
        <v>1367</v>
      </c>
      <c r="H1417" s="13">
        <f t="shared" si="176"/>
        <v>-7.7831728503952036E-4</v>
      </c>
      <c r="I1417">
        <f t="shared" si="177"/>
        <v>155.22641555492606</v>
      </c>
      <c r="J1417">
        <f t="shared" si="172"/>
        <v>664.47776243481928</v>
      </c>
      <c r="K1417" s="27">
        <f t="shared" si="173"/>
        <v>-343.65012765773508</v>
      </c>
    </row>
    <row r="1418" spans="1:11">
      <c r="A1418" s="26">
        <v>1368</v>
      </c>
      <c r="B1418" s="82">
        <f t="shared" si="174"/>
        <v>0</v>
      </c>
      <c r="C1418" s="58">
        <f t="shared" si="170"/>
        <v>156.29037528357509</v>
      </c>
      <c r="D1418" s="83">
        <f t="shared" si="175"/>
        <v>666.66666666666663</v>
      </c>
      <c r="E1418">
        <f t="shared" si="171"/>
        <v>0</v>
      </c>
      <c r="G1418">
        <v>1368</v>
      </c>
      <c r="H1418" s="13">
        <f t="shared" si="176"/>
        <v>-7.7831728503952036E-4</v>
      </c>
      <c r="I1418">
        <f t="shared" si="177"/>
        <v>155.22563723764102</v>
      </c>
      <c r="J1418">
        <f t="shared" si="172"/>
        <v>664.47612756139529</v>
      </c>
      <c r="K1418" s="27">
        <f t="shared" si="173"/>
        <v>-343.64843660581414</v>
      </c>
    </row>
    <row r="1419" spans="1:11">
      <c r="A1419" s="26">
        <v>1369</v>
      </c>
      <c r="B1419" s="82">
        <f t="shared" si="174"/>
        <v>0</v>
      </c>
      <c r="C1419" s="58">
        <f t="shared" si="170"/>
        <v>156.29037528357509</v>
      </c>
      <c r="D1419" s="83">
        <f t="shared" si="175"/>
        <v>666.66666666666663</v>
      </c>
      <c r="E1419">
        <f t="shared" si="171"/>
        <v>0</v>
      </c>
      <c r="G1419">
        <v>1369</v>
      </c>
      <c r="H1419" s="13">
        <f t="shared" si="176"/>
        <v>-7.7831728503952036E-4</v>
      </c>
      <c r="I1419">
        <f t="shared" si="177"/>
        <v>155.22485892035598</v>
      </c>
      <c r="J1419">
        <f t="shared" si="172"/>
        <v>664.47449263712042</v>
      </c>
      <c r="K1419" s="27">
        <f t="shared" si="173"/>
        <v>-343.64674550545465</v>
      </c>
    </row>
    <row r="1420" spans="1:11">
      <c r="A1420" s="26">
        <v>1370</v>
      </c>
      <c r="B1420" s="82">
        <f t="shared" si="174"/>
        <v>0</v>
      </c>
      <c r="C1420" s="58">
        <f t="shared" si="170"/>
        <v>156.29037528357509</v>
      </c>
      <c r="D1420" s="83">
        <f t="shared" si="175"/>
        <v>666.66666666666663</v>
      </c>
      <c r="E1420">
        <f t="shared" si="171"/>
        <v>0</v>
      </c>
      <c r="G1420">
        <v>1370</v>
      </c>
      <c r="H1420" s="13">
        <f t="shared" si="176"/>
        <v>-7.7831728503952036E-4</v>
      </c>
      <c r="I1420">
        <f t="shared" si="177"/>
        <v>155.22408060307095</v>
      </c>
      <c r="J1420">
        <f t="shared" si="172"/>
        <v>664.4728576619907</v>
      </c>
      <c r="K1420" s="27">
        <f t="shared" si="173"/>
        <v>-343.64505435665291</v>
      </c>
    </row>
    <row r="1421" spans="1:11">
      <c r="A1421" s="26">
        <v>1371</v>
      </c>
      <c r="B1421" s="82">
        <f t="shared" si="174"/>
        <v>0</v>
      </c>
      <c r="C1421" s="58">
        <f t="shared" si="170"/>
        <v>156.29037528357509</v>
      </c>
      <c r="D1421" s="83">
        <f t="shared" si="175"/>
        <v>666.66666666666663</v>
      </c>
      <c r="E1421">
        <f t="shared" si="171"/>
        <v>0</v>
      </c>
      <c r="G1421">
        <v>1371</v>
      </c>
      <c r="H1421" s="13">
        <f t="shared" si="176"/>
        <v>-7.7831728503952036E-4</v>
      </c>
      <c r="I1421">
        <f t="shared" si="177"/>
        <v>155.22330228578591</v>
      </c>
      <c r="J1421">
        <f t="shared" si="172"/>
        <v>664.47122263600227</v>
      </c>
      <c r="K1421" s="27">
        <f t="shared" si="173"/>
        <v>-343.64336315940523</v>
      </c>
    </row>
    <row r="1422" spans="1:11">
      <c r="A1422" s="26">
        <v>1372</v>
      </c>
      <c r="B1422" s="82">
        <f t="shared" si="174"/>
        <v>0</v>
      </c>
      <c r="C1422" s="58">
        <f t="shared" si="170"/>
        <v>156.29037528357509</v>
      </c>
      <c r="D1422" s="83">
        <f t="shared" si="175"/>
        <v>666.66666666666663</v>
      </c>
      <c r="E1422">
        <f t="shared" si="171"/>
        <v>0</v>
      </c>
      <c r="G1422">
        <v>1372</v>
      </c>
      <c r="H1422" s="13">
        <f t="shared" si="176"/>
        <v>-7.7831728503952036E-4</v>
      </c>
      <c r="I1422">
        <f t="shared" si="177"/>
        <v>155.22252396850087</v>
      </c>
      <c r="J1422">
        <f t="shared" si="172"/>
        <v>664.46958755915125</v>
      </c>
      <c r="K1422" s="27">
        <f t="shared" si="173"/>
        <v>-343.64167191370825</v>
      </c>
    </row>
    <row r="1423" spans="1:11">
      <c r="A1423" s="26">
        <v>1373</v>
      </c>
      <c r="B1423" s="82">
        <f t="shared" si="174"/>
        <v>0</v>
      </c>
      <c r="C1423" s="58">
        <f t="shared" si="170"/>
        <v>156.29037528357509</v>
      </c>
      <c r="D1423" s="83">
        <f t="shared" si="175"/>
        <v>666.66666666666663</v>
      </c>
      <c r="E1423">
        <f t="shared" si="171"/>
        <v>0</v>
      </c>
      <c r="G1423">
        <v>1373</v>
      </c>
      <c r="H1423" s="13">
        <f t="shared" si="176"/>
        <v>-7.7831728503952036E-4</v>
      </c>
      <c r="I1423">
        <f t="shared" si="177"/>
        <v>155.22174565121583</v>
      </c>
      <c r="J1423">
        <f t="shared" si="172"/>
        <v>664.4679524314339</v>
      </c>
      <c r="K1423" s="27">
        <f t="shared" si="173"/>
        <v>-343.63998061955823</v>
      </c>
    </row>
    <row r="1424" spans="1:11">
      <c r="A1424" s="26">
        <v>1374</v>
      </c>
      <c r="B1424" s="82">
        <f t="shared" si="174"/>
        <v>0</v>
      </c>
      <c r="C1424" s="58">
        <f t="shared" ref="C1424:C1487" si="178">($C$37-$C$36)/2000+C1423</f>
        <v>156.29037528357509</v>
      </c>
      <c r="D1424" s="83">
        <f t="shared" si="175"/>
        <v>666.66666666666663</v>
      </c>
      <c r="E1424">
        <f t="shared" si="171"/>
        <v>0</v>
      </c>
      <c r="G1424">
        <v>1374</v>
      </c>
      <c r="H1424" s="13">
        <f t="shared" si="176"/>
        <v>-7.7831728503952036E-4</v>
      </c>
      <c r="I1424">
        <f t="shared" si="177"/>
        <v>155.22096733393079</v>
      </c>
      <c r="J1424">
        <f t="shared" si="172"/>
        <v>664.46631725284624</v>
      </c>
      <c r="K1424" s="27">
        <f t="shared" si="173"/>
        <v>-343.63828927695158</v>
      </c>
    </row>
    <row r="1425" spans="1:11">
      <c r="A1425" s="26">
        <v>1375</v>
      </c>
      <c r="B1425" s="82">
        <f t="shared" si="174"/>
        <v>0</v>
      </c>
      <c r="C1425" s="58">
        <f t="shared" si="178"/>
        <v>156.29037528357509</v>
      </c>
      <c r="D1425" s="83">
        <f t="shared" si="175"/>
        <v>666.66666666666663</v>
      </c>
      <c r="E1425">
        <f t="shared" si="171"/>
        <v>0</v>
      </c>
      <c r="G1425">
        <v>1375</v>
      </c>
      <c r="H1425" s="13">
        <f t="shared" si="176"/>
        <v>-7.7831728503952036E-4</v>
      </c>
      <c r="I1425">
        <f t="shared" si="177"/>
        <v>155.22018901664575</v>
      </c>
      <c r="J1425">
        <f t="shared" si="172"/>
        <v>664.4646820233844</v>
      </c>
      <c r="K1425" s="27">
        <f t="shared" si="173"/>
        <v>-343.63659788588461</v>
      </c>
    </row>
    <row r="1426" spans="1:11">
      <c r="A1426" s="26">
        <v>1376</v>
      </c>
      <c r="B1426" s="82">
        <f t="shared" si="174"/>
        <v>0</v>
      </c>
      <c r="C1426" s="58">
        <f t="shared" si="178"/>
        <v>156.29037528357509</v>
      </c>
      <c r="D1426" s="83">
        <f t="shared" si="175"/>
        <v>666.66666666666663</v>
      </c>
      <c r="E1426">
        <f t="shared" si="171"/>
        <v>0</v>
      </c>
      <c r="G1426">
        <v>1376</v>
      </c>
      <c r="H1426" s="13">
        <f t="shared" si="176"/>
        <v>-7.7831728503952036E-4</v>
      </c>
      <c r="I1426">
        <f t="shared" si="177"/>
        <v>155.21941069936071</v>
      </c>
      <c r="J1426">
        <f t="shared" si="172"/>
        <v>664.46304674304452</v>
      </c>
      <c r="K1426" s="27">
        <f t="shared" si="173"/>
        <v>-343.63490644635385</v>
      </c>
    </row>
    <row r="1427" spans="1:11">
      <c r="A1427" s="26">
        <v>1377</v>
      </c>
      <c r="B1427" s="82">
        <f t="shared" si="174"/>
        <v>0</v>
      </c>
      <c r="C1427" s="58">
        <f t="shared" si="178"/>
        <v>156.29037528357509</v>
      </c>
      <c r="D1427" s="83">
        <f t="shared" si="175"/>
        <v>666.66666666666663</v>
      </c>
      <c r="E1427">
        <f t="shared" si="171"/>
        <v>0</v>
      </c>
      <c r="G1427">
        <v>1377</v>
      </c>
      <c r="H1427" s="13">
        <f t="shared" si="176"/>
        <v>-7.7831728503952036E-4</v>
      </c>
      <c r="I1427">
        <f t="shared" si="177"/>
        <v>155.21863238207567</v>
      </c>
      <c r="J1427">
        <f t="shared" si="172"/>
        <v>664.46141141182284</v>
      </c>
      <c r="K1427" s="27">
        <f t="shared" si="173"/>
        <v>-343.6332149583555</v>
      </c>
    </row>
    <row r="1428" spans="1:11">
      <c r="A1428" s="26">
        <v>1378</v>
      </c>
      <c r="B1428" s="82">
        <f t="shared" si="174"/>
        <v>0</v>
      </c>
      <c r="C1428" s="58">
        <f t="shared" si="178"/>
        <v>156.29037528357509</v>
      </c>
      <c r="D1428" s="83">
        <f t="shared" si="175"/>
        <v>666.66666666666663</v>
      </c>
      <c r="E1428">
        <f t="shared" si="171"/>
        <v>0</v>
      </c>
      <c r="G1428">
        <v>1378</v>
      </c>
      <c r="H1428" s="13">
        <f t="shared" si="176"/>
        <v>-7.7831728503952036E-4</v>
      </c>
      <c r="I1428">
        <f t="shared" si="177"/>
        <v>155.21785406479063</v>
      </c>
      <c r="J1428">
        <f t="shared" si="172"/>
        <v>664.45977602971527</v>
      </c>
      <c r="K1428" s="27">
        <f t="shared" si="173"/>
        <v>-343.63152342188602</v>
      </c>
    </row>
    <row r="1429" spans="1:11">
      <c r="A1429" s="26">
        <v>1379</v>
      </c>
      <c r="B1429" s="82">
        <f t="shared" si="174"/>
        <v>0</v>
      </c>
      <c r="C1429" s="58">
        <f t="shared" si="178"/>
        <v>156.29037528357509</v>
      </c>
      <c r="D1429" s="83">
        <f t="shared" si="175"/>
        <v>666.66666666666663</v>
      </c>
      <c r="E1429">
        <f t="shared" si="171"/>
        <v>0</v>
      </c>
      <c r="G1429">
        <v>1379</v>
      </c>
      <c r="H1429" s="13">
        <f t="shared" si="176"/>
        <v>-7.7831728503952036E-4</v>
      </c>
      <c r="I1429">
        <f t="shared" si="177"/>
        <v>155.21707574750559</v>
      </c>
      <c r="J1429">
        <f t="shared" si="172"/>
        <v>664.45814059671807</v>
      </c>
      <c r="K1429" s="27">
        <f t="shared" si="173"/>
        <v>-343.62983183694183</v>
      </c>
    </row>
    <row r="1430" spans="1:11">
      <c r="A1430" s="26">
        <v>1380</v>
      </c>
      <c r="B1430" s="82">
        <f t="shared" si="174"/>
        <v>0</v>
      </c>
      <c r="C1430" s="58">
        <f t="shared" si="178"/>
        <v>156.29037528357509</v>
      </c>
      <c r="D1430" s="83">
        <f t="shared" si="175"/>
        <v>666.66666666666663</v>
      </c>
      <c r="E1430">
        <f t="shared" si="171"/>
        <v>0</v>
      </c>
      <c r="G1430">
        <v>1380</v>
      </c>
      <c r="H1430" s="13">
        <f t="shared" si="176"/>
        <v>-7.7831728503952036E-4</v>
      </c>
      <c r="I1430">
        <f t="shared" si="177"/>
        <v>155.21629743022055</v>
      </c>
      <c r="J1430">
        <f t="shared" si="172"/>
        <v>664.45650511282724</v>
      </c>
      <c r="K1430" s="27">
        <f t="shared" si="173"/>
        <v>-343.62814020351925</v>
      </c>
    </row>
    <row r="1431" spans="1:11">
      <c r="A1431" s="26">
        <v>1381</v>
      </c>
      <c r="B1431" s="82">
        <f t="shared" si="174"/>
        <v>0</v>
      </c>
      <c r="C1431" s="58">
        <f t="shared" si="178"/>
        <v>156.29037528357509</v>
      </c>
      <c r="D1431" s="83">
        <f t="shared" si="175"/>
        <v>666.66666666666663</v>
      </c>
      <c r="E1431">
        <f t="shared" si="171"/>
        <v>0</v>
      </c>
      <c r="G1431">
        <v>1381</v>
      </c>
      <c r="H1431" s="13">
        <f t="shared" si="176"/>
        <v>-7.7831728503952036E-4</v>
      </c>
      <c r="I1431">
        <f t="shared" si="177"/>
        <v>155.21551911293551</v>
      </c>
      <c r="J1431">
        <f t="shared" si="172"/>
        <v>664.45486957803917</v>
      </c>
      <c r="K1431" s="27">
        <f t="shared" si="173"/>
        <v>-343.62644852161475</v>
      </c>
    </row>
    <row r="1432" spans="1:11">
      <c r="A1432" s="26">
        <v>1382</v>
      </c>
      <c r="B1432" s="82">
        <f t="shared" si="174"/>
        <v>0</v>
      </c>
      <c r="C1432" s="58">
        <f t="shared" si="178"/>
        <v>156.29037528357509</v>
      </c>
      <c r="D1432" s="83">
        <f t="shared" si="175"/>
        <v>666.66666666666663</v>
      </c>
      <c r="E1432">
        <f t="shared" si="171"/>
        <v>0</v>
      </c>
      <c r="G1432">
        <v>1382</v>
      </c>
      <c r="H1432" s="13">
        <f t="shared" si="176"/>
        <v>-7.7831728503952036E-4</v>
      </c>
      <c r="I1432">
        <f t="shared" si="177"/>
        <v>155.21474079565047</v>
      </c>
      <c r="J1432">
        <f t="shared" si="172"/>
        <v>664.45323399234974</v>
      </c>
      <c r="K1432" s="27">
        <f t="shared" si="173"/>
        <v>-343.62475679122463</v>
      </c>
    </row>
    <row r="1433" spans="1:11">
      <c r="A1433" s="26">
        <v>1383</v>
      </c>
      <c r="B1433" s="82">
        <f t="shared" si="174"/>
        <v>0</v>
      </c>
      <c r="C1433" s="58">
        <f t="shared" si="178"/>
        <v>156.29037528357509</v>
      </c>
      <c r="D1433" s="83">
        <f t="shared" si="175"/>
        <v>666.66666666666663</v>
      </c>
      <c r="E1433">
        <f t="shared" si="171"/>
        <v>0</v>
      </c>
      <c r="G1433">
        <v>1383</v>
      </c>
      <c r="H1433" s="13">
        <f t="shared" si="176"/>
        <v>-7.7831728503952036E-4</v>
      </c>
      <c r="I1433">
        <f t="shared" si="177"/>
        <v>155.21396247836543</v>
      </c>
      <c r="J1433">
        <f t="shared" si="172"/>
        <v>664.45159835575521</v>
      </c>
      <c r="K1433" s="27">
        <f t="shared" si="173"/>
        <v>-343.62306501234525</v>
      </c>
    </row>
    <row r="1434" spans="1:11">
      <c r="A1434" s="26">
        <v>1384</v>
      </c>
      <c r="B1434" s="82">
        <f t="shared" si="174"/>
        <v>0</v>
      </c>
      <c r="C1434" s="58">
        <f t="shared" si="178"/>
        <v>156.29037528357509</v>
      </c>
      <c r="D1434" s="83">
        <f t="shared" si="175"/>
        <v>666.66666666666663</v>
      </c>
      <c r="E1434">
        <f t="shared" si="171"/>
        <v>0</v>
      </c>
      <c r="G1434">
        <v>1384</v>
      </c>
      <c r="H1434" s="13">
        <f t="shared" si="176"/>
        <v>-7.7831728503952036E-4</v>
      </c>
      <c r="I1434">
        <f t="shared" si="177"/>
        <v>155.21318416108039</v>
      </c>
      <c r="J1434">
        <f t="shared" si="172"/>
        <v>664.4499626682516</v>
      </c>
      <c r="K1434" s="27">
        <f t="shared" si="173"/>
        <v>-343.62137318497304</v>
      </c>
    </row>
    <row r="1435" spans="1:11">
      <c r="A1435" s="26">
        <v>1385</v>
      </c>
      <c r="B1435" s="82">
        <f t="shared" si="174"/>
        <v>0</v>
      </c>
      <c r="C1435" s="58">
        <f t="shared" si="178"/>
        <v>156.29037528357509</v>
      </c>
      <c r="D1435" s="83">
        <f t="shared" si="175"/>
        <v>666.66666666666663</v>
      </c>
      <c r="E1435">
        <f t="shared" si="171"/>
        <v>0</v>
      </c>
      <c r="G1435">
        <v>1385</v>
      </c>
      <c r="H1435" s="13">
        <f t="shared" si="176"/>
        <v>-7.7831728503952036E-4</v>
      </c>
      <c r="I1435">
        <f t="shared" si="177"/>
        <v>155.21240584379535</v>
      </c>
      <c r="J1435">
        <f t="shared" si="172"/>
        <v>664.44832692983505</v>
      </c>
      <c r="K1435" s="27">
        <f t="shared" si="173"/>
        <v>-343.61968130910441</v>
      </c>
    </row>
    <row r="1436" spans="1:11">
      <c r="A1436" s="26">
        <v>1386</v>
      </c>
      <c r="B1436" s="82">
        <f t="shared" si="174"/>
        <v>0</v>
      </c>
      <c r="C1436" s="58">
        <f t="shared" si="178"/>
        <v>156.29037528357509</v>
      </c>
      <c r="D1436" s="83">
        <f t="shared" si="175"/>
        <v>666.66666666666663</v>
      </c>
      <c r="E1436">
        <f t="shared" si="171"/>
        <v>0</v>
      </c>
      <c r="G1436">
        <v>1386</v>
      </c>
      <c r="H1436" s="13">
        <f t="shared" si="176"/>
        <v>-7.7831728503952036E-4</v>
      </c>
      <c r="I1436">
        <f t="shared" si="177"/>
        <v>155.21162752651031</v>
      </c>
      <c r="J1436">
        <f t="shared" si="172"/>
        <v>664.4466911405018</v>
      </c>
      <c r="K1436" s="27">
        <f t="shared" si="173"/>
        <v>-343.61798938473567</v>
      </c>
    </row>
    <row r="1437" spans="1:11">
      <c r="A1437" s="26">
        <v>1387</v>
      </c>
      <c r="B1437" s="82">
        <f t="shared" si="174"/>
        <v>0</v>
      </c>
      <c r="C1437" s="58">
        <f t="shared" si="178"/>
        <v>156.29037528357509</v>
      </c>
      <c r="D1437" s="83">
        <f t="shared" si="175"/>
        <v>666.66666666666663</v>
      </c>
      <c r="E1437">
        <f t="shared" si="171"/>
        <v>0</v>
      </c>
      <c r="G1437">
        <v>1387</v>
      </c>
      <c r="H1437" s="13">
        <f t="shared" si="176"/>
        <v>-7.7831728503952036E-4</v>
      </c>
      <c r="I1437">
        <f t="shared" si="177"/>
        <v>155.21084920922527</v>
      </c>
      <c r="J1437">
        <f t="shared" si="172"/>
        <v>664.44505530024787</v>
      </c>
      <c r="K1437" s="27">
        <f t="shared" si="173"/>
        <v>-343.61629741186329</v>
      </c>
    </row>
    <row r="1438" spans="1:11">
      <c r="A1438" s="26">
        <v>1388</v>
      </c>
      <c r="B1438" s="82">
        <f t="shared" si="174"/>
        <v>0</v>
      </c>
      <c r="C1438" s="58">
        <f t="shared" si="178"/>
        <v>156.29037528357509</v>
      </c>
      <c r="D1438" s="83">
        <f t="shared" si="175"/>
        <v>666.66666666666663</v>
      </c>
      <c r="E1438">
        <f t="shared" si="171"/>
        <v>0</v>
      </c>
      <c r="G1438">
        <v>1388</v>
      </c>
      <c r="H1438" s="13">
        <f t="shared" si="176"/>
        <v>-7.7831728503952036E-4</v>
      </c>
      <c r="I1438">
        <f t="shared" si="177"/>
        <v>155.21007089194023</v>
      </c>
      <c r="J1438">
        <f t="shared" si="172"/>
        <v>664.44341940906941</v>
      </c>
      <c r="K1438" s="27">
        <f t="shared" si="173"/>
        <v>-343.61460539048358</v>
      </c>
    </row>
    <row r="1439" spans="1:11">
      <c r="A1439" s="26">
        <v>1389</v>
      </c>
      <c r="B1439" s="82">
        <f t="shared" si="174"/>
        <v>0</v>
      </c>
      <c r="C1439" s="58">
        <f t="shared" si="178"/>
        <v>156.29037528357509</v>
      </c>
      <c r="D1439" s="83">
        <f t="shared" si="175"/>
        <v>666.66666666666663</v>
      </c>
      <c r="E1439">
        <f t="shared" si="171"/>
        <v>0</v>
      </c>
      <c r="G1439">
        <v>1389</v>
      </c>
      <c r="H1439" s="13">
        <f t="shared" si="176"/>
        <v>-7.7831728503952036E-4</v>
      </c>
      <c r="I1439">
        <f t="shared" si="177"/>
        <v>155.20929257465519</v>
      </c>
      <c r="J1439">
        <f t="shared" si="172"/>
        <v>664.44178346696253</v>
      </c>
      <c r="K1439" s="27">
        <f t="shared" si="173"/>
        <v>-343.6129133205929</v>
      </c>
    </row>
    <row r="1440" spans="1:11">
      <c r="A1440" s="26">
        <v>1390</v>
      </c>
      <c r="B1440" s="82">
        <f t="shared" si="174"/>
        <v>0</v>
      </c>
      <c r="C1440" s="58">
        <f t="shared" si="178"/>
        <v>156.29037528357509</v>
      </c>
      <c r="D1440" s="83">
        <f t="shared" si="175"/>
        <v>666.66666666666663</v>
      </c>
      <c r="E1440">
        <f t="shared" si="171"/>
        <v>0</v>
      </c>
      <c r="G1440">
        <v>1390</v>
      </c>
      <c r="H1440" s="13">
        <f t="shared" si="176"/>
        <v>-7.7831728503952036E-4</v>
      </c>
      <c r="I1440">
        <f t="shared" si="177"/>
        <v>155.20851425737015</v>
      </c>
      <c r="J1440">
        <f t="shared" si="172"/>
        <v>664.44014747392339</v>
      </c>
      <c r="K1440" s="27">
        <f t="shared" si="173"/>
        <v>-343.61122120218766</v>
      </c>
    </row>
    <row r="1441" spans="1:11">
      <c r="A1441" s="26">
        <v>1391</v>
      </c>
      <c r="B1441" s="82">
        <f t="shared" si="174"/>
        <v>0</v>
      </c>
      <c r="C1441" s="58">
        <f t="shared" si="178"/>
        <v>156.29037528357509</v>
      </c>
      <c r="D1441" s="83">
        <f t="shared" si="175"/>
        <v>666.66666666666663</v>
      </c>
      <c r="E1441">
        <f t="shared" si="171"/>
        <v>0</v>
      </c>
      <c r="G1441">
        <v>1391</v>
      </c>
      <c r="H1441" s="13">
        <f t="shared" si="176"/>
        <v>-7.7831728503952036E-4</v>
      </c>
      <c r="I1441">
        <f t="shared" si="177"/>
        <v>155.20773594008512</v>
      </c>
      <c r="J1441">
        <f t="shared" si="172"/>
        <v>664.43851142994799</v>
      </c>
      <c r="K1441" s="27">
        <f t="shared" si="173"/>
        <v>-343.60952903526419</v>
      </c>
    </row>
    <row r="1442" spans="1:11">
      <c r="A1442" s="26">
        <v>1392</v>
      </c>
      <c r="B1442" s="82">
        <f t="shared" si="174"/>
        <v>0</v>
      </c>
      <c r="C1442" s="58">
        <f t="shared" si="178"/>
        <v>156.29037528357509</v>
      </c>
      <c r="D1442" s="83">
        <f t="shared" si="175"/>
        <v>666.66666666666663</v>
      </c>
      <c r="E1442">
        <f t="shared" si="171"/>
        <v>0</v>
      </c>
      <c r="G1442">
        <v>1392</v>
      </c>
      <c r="H1442" s="13">
        <f t="shared" si="176"/>
        <v>-7.7831728503952036E-4</v>
      </c>
      <c r="I1442">
        <f t="shared" si="177"/>
        <v>155.20695762280008</v>
      </c>
      <c r="J1442">
        <f t="shared" si="172"/>
        <v>664.43687533503271</v>
      </c>
      <c r="K1442" s="27">
        <f t="shared" si="173"/>
        <v>-343.60783681981894</v>
      </c>
    </row>
    <row r="1443" spans="1:11">
      <c r="A1443" s="26">
        <v>1393</v>
      </c>
      <c r="B1443" s="82">
        <f t="shared" si="174"/>
        <v>0</v>
      </c>
      <c r="C1443" s="58">
        <f t="shared" si="178"/>
        <v>156.29037528357509</v>
      </c>
      <c r="D1443" s="83">
        <f t="shared" si="175"/>
        <v>666.66666666666663</v>
      </c>
      <c r="E1443">
        <f t="shared" si="171"/>
        <v>0</v>
      </c>
      <c r="G1443">
        <v>1393</v>
      </c>
      <c r="H1443" s="13">
        <f t="shared" si="176"/>
        <v>-7.7831728503952036E-4</v>
      </c>
      <c r="I1443">
        <f t="shared" si="177"/>
        <v>155.20617930551504</v>
      </c>
      <c r="J1443">
        <f t="shared" si="172"/>
        <v>664.43523918917333</v>
      </c>
      <c r="K1443" s="27">
        <f t="shared" si="173"/>
        <v>-343.60614455584829</v>
      </c>
    </row>
    <row r="1444" spans="1:11">
      <c r="A1444" s="26">
        <v>1394</v>
      </c>
      <c r="B1444" s="82">
        <f t="shared" si="174"/>
        <v>0</v>
      </c>
      <c r="C1444" s="58">
        <f t="shared" si="178"/>
        <v>156.29037528357509</v>
      </c>
      <c r="D1444" s="83">
        <f t="shared" si="175"/>
        <v>666.66666666666663</v>
      </c>
      <c r="E1444">
        <f t="shared" si="171"/>
        <v>0</v>
      </c>
      <c r="G1444">
        <v>1394</v>
      </c>
      <c r="H1444" s="13">
        <f t="shared" si="176"/>
        <v>-7.7831728503952036E-4</v>
      </c>
      <c r="I1444">
        <f t="shared" si="177"/>
        <v>155.20540098823</v>
      </c>
      <c r="J1444">
        <f t="shared" si="172"/>
        <v>664.43360299236622</v>
      </c>
      <c r="K1444" s="27">
        <f t="shared" si="173"/>
        <v>-343.60445224334853</v>
      </c>
    </row>
    <row r="1445" spans="1:11">
      <c r="A1445" s="26">
        <v>1395</v>
      </c>
      <c r="B1445" s="82">
        <f t="shared" si="174"/>
        <v>0</v>
      </c>
      <c r="C1445" s="58">
        <f t="shared" si="178"/>
        <v>156.29037528357509</v>
      </c>
      <c r="D1445" s="83">
        <f t="shared" si="175"/>
        <v>666.66666666666663</v>
      </c>
      <c r="E1445">
        <f t="shared" si="171"/>
        <v>0</v>
      </c>
      <c r="G1445">
        <v>1395</v>
      </c>
      <c r="H1445" s="13">
        <f t="shared" si="176"/>
        <v>-7.7831728503952036E-4</v>
      </c>
      <c r="I1445">
        <f t="shared" si="177"/>
        <v>155.20462267094496</v>
      </c>
      <c r="J1445">
        <f t="shared" si="172"/>
        <v>664.43196674460739</v>
      </c>
      <c r="K1445" s="27">
        <f t="shared" si="173"/>
        <v>-343.60275988231609</v>
      </c>
    </row>
    <row r="1446" spans="1:11">
      <c r="A1446" s="26">
        <v>1396</v>
      </c>
      <c r="B1446" s="82">
        <f t="shared" si="174"/>
        <v>0</v>
      </c>
      <c r="C1446" s="58">
        <f t="shared" si="178"/>
        <v>156.29037528357509</v>
      </c>
      <c r="D1446" s="83">
        <f t="shared" si="175"/>
        <v>666.66666666666663</v>
      </c>
      <c r="E1446">
        <f t="shared" si="171"/>
        <v>0</v>
      </c>
      <c r="G1446">
        <v>1396</v>
      </c>
      <c r="H1446" s="13">
        <f t="shared" si="176"/>
        <v>-7.7831728503952036E-4</v>
      </c>
      <c r="I1446">
        <f t="shared" si="177"/>
        <v>155.20384435365992</v>
      </c>
      <c r="J1446">
        <f t="shared" si="172"/>
        <v>664.43033044589299</v>
      </c>
      <c r="K1446" s="27">
        <f t="shared" si="173"/>
        <v>-343.60106747274739</v>
      </c>
    </row>
    <row r="1447" spans="1:11">
      <c r="A1447" s="26">
        <v>1397</v>
      </c>
      <c r="B1447" s="82">
        <f t="shared" si="174"/>
        <v>0</v>
      </c>
      <c r="C1447" s="58">
        <f t="shared" si="178"/>
        <v>156.29037528357509</v>
      </c>
      <c r="D1447" s="83">
        <f t="shared" si="175"/>
        <v>666.66666666666663</v>
      </c>
      <c r="E1447">
        <f t="shared" si="171"/>
        <v>0</v>
      </c>
      <c r="G1447">
        <v>1397</v>
      </c>
      <c r="H1447" s="13">
        <f t="shared" si="176"/>
        <v>-7.7831728503952036E-4</v>
      </c>
      <c r="I1447">
        <f t="shared" si="177"/>
        <v>155.20306603637488</v>
      </c>
      <c r="J1447">
        <f t="shared" si="172"/>
        <v>664.42869409621915</v>
      </c>
      <c r="K1447" s="27">
        <f t="shared" si="173"/>
        <v>-343.59937501463872</v>
      </c>
    </row>
    <row r="1448" spans="1:11">
      <c r="A1448" s="26">
        <v>1398</v>
      </c>
      <c r="B1448" s="82">
        <f t="shared" si="174"/>
        <v>0</v>
      </c>
      <c r="C1448" s="58">
        <f t="shared" si="178"/>
        <v>156.29037528357509</v>
      </c>
      <c r="D1448" s="83">
        <f t="shared" si="175"/>
        <v>666.66666666666663</v>
      </c>
      <c r="E1448">
        <f t="shared" si="171"/>
        <v>0</v>
      </c>
      <c r="G1448">
        <v>1398</v>
      </c>
      <c r="H1448" s="13">
        <f t="shared" si="176"/>
        <v>-7.7831728503952036E-4</v>
      </c>
      <c r="I1448">
        <f t="shared" si="177"/>
        <v>155.20228771908984</v>
      </c>
      <c r="J1448">
        <f t="shared" si="172"/>
        <v>664.42705769558188</v>
      </c>
      <c r="K1448" s="27">
        <f t="shared" si="173"/>
        <v>-343.59768250798646</v>
      </c>
    </row>
    <row r="1449" spans="1:11">
      <c r="A1449" s="26">
        <v>1399</v>
      </c>
      <c r="B1449" s="82">
        <f t="shared" si="174"/>
        <v>0</v>
      </c>
      <c r="C1449" s="58">
        <f t="shared" si="178"/>
        <v>156.29037528357509</v>
      </c>
      <c r="D1449" s="83">
        <f t="shared" si="175"/>
        <v>666.66666666666663</v>
      </c>
      <c r="E1449">
        <f t="shared" si="171"/>
        <v>0</v>
      </c>
      <c r="G1449">
        <v>1399</v>
      </c>
      <c r="H1449" s="13">
        <f t="shared" si="176"/>
        <v>-7.7831728503952036E-4</v>
      </c>
      <c r="I1449">
        <f t="shared" si="177"/>
        <v>155.2015094018048</v>
      </c>
      <c r="J1449">
        <f t="shared" si="172"/>
        <v>664.42542124397755</v>
      </c>
      <c r="K1449" s="27">
        <f t="shared" si="173"/>
        <v>-343.59598995278697</v>
      </c>
    </row>
    <row r="1450" spans="1:11">
      <c r="A1450" s="26">
        <v>1400</v>
      </c>
      <c r="B1450" s="82">
        <f t="shared" si="174"/>
        <v>0</v>
      </c>
      <c r="C1450" s="58">
        <f t="shared" si="178"/>
        <v>156.29037528357509</v>
      </c>
      <c r="D1450" s="83">
        <f t="shared" si="175"/>
        <v>666.66666666666663</v>
      </c>
      <c r="E1450">
        <f t="shared" si="171"/>
        <v>0</v>
      </c>
      <c r="G1450">
        <v>1400</v>
      </c>
      <c r="H1450" s="13">
        <f t="shared" si="176"/>
        <v>-7.7831728503952036E-4</v>
      </c>
      <c r="I1450">
        <f t="shared" si="177"/>
        <v>155.20073108451976</v>
      </c>
      <c r="J1450">
        <f t="shared" si="172"/>
        <v>664.42378474140196</v>
      </c>
      <c r="K1450" s="27">
        <f t="shared" si="173"/>
        <v>-343.59429734903665</v>
      </c>
    </row>
    <row r="1451" spans="1:11">
      <c r="A1451" s="26">
        <v>1401</v>
      </c>
      <c r="B1451" s="82">
        <f t="shared" si="174"/>
        <v>0</v>
      </c>
      <c r="C1451" s="58">
        <f t="shared" si="178"/>
        <v>156.29037528357509</v>
      </c>
      <c r="D1451" s="83">
        <f t="shared" si="175"/>
        <v>666.66666666666663</v>
      </c>
      <c r="E1451">
        <f t="shared" si="171"/>
        <v>0</v>
      </c>
      <c r="G1451">
        <v>1401</v>
      </c>
      <c r="H1451" s="13">
        <f t="shared" si="176"/>
        <v>-7.7831728503952036E-4</v>
      </c>
      <c r="I1451">
        <f t="shared" si="177"/>
        <v>155.19995276723472</v>
      </c>
      <c r="J1451">
        <f t="shared" si="172"/>
        <v>664.42214818785146</v>
      </c>
      <c r="K1451" s="27">
        <f t="shared" si="173"/>
        <v>-343.592604696732</v>
      </c>
    </row>
    <row r="1452" spans="1:11">
      <c r="A1452" s="26">
        <v>1402</v>
      </c>
      <c r="B1452" s="82">
        <f t="shared" si="174"/>
        <v>0</v>
      </c>
      <c r="C1452" s="58">
        <f t="shared" si="178"/>
        <v>156.29037528357509</v>
      </c>
      <c r="D1452" s="83">
        <f t="shared" si="175"/>
        <v>666.66666666666663</v>
      </c>
      <c r="E1452">
        <f t="shared" si="171"/>
        <v>0</v>
      </c>
      <c r="G1452">
        <v>1402</v>
      </c>
      <c r="H1452" s="13">
        <f t="shared" si="176"/>
        <v>-7.7831728503952036E-4</v>
      </c>
      <c r="I1452">
        <f t="shared" si="177"/>
        <v>155.19917444994968</v>
      </c>
      <c r="J1452">
        <f t="shared" si="172"/>
        <v>664.42051158332208</v>
      </c>
      <c r="K1452" s="27">
        <f t="shared" si="173"/>
        <v>-343.59091199586925</v>
      </c>
    </row>
    <row r="1453" spans="1:11">
      <c r="A1453" s="26">
        <v>1403</v>
      </c>
      <c r="B1453" s="82">
        <f t="shared" si="174"/>
        <v>0</v>
      </c>
      <c r="C1453" s="58">
        <f t="shared" si="178"/>
        <v>156.29037528357509</v>
      </c>
      <c r="D1453" s="83">
        <f t="shared" si="175"/>
        <v>666.66666666666663</v>
      </c>
      <c r="E1453">
        <f t="shared" si="171"/>
        <v>0</v>
      </c>
      <c r="G1453">
        <v>1403</v>
      </c>
      <c r="H1453" s="13">
        <f t="shared" si="176"/>
        <v>-7.7831728503952036E-4</v>
      </c>
      <c r="I1453">
        <f t="shared" si="177"/>
        <v>155.19839613266464</v>
      </c>
      <c r="J1453">
        <f t="shared" si="172"/>
        <v>664.41887492780995</v>
      </c>
      <c r="K1453" s="27">
        <f t="shared" si="173"/>
        <v>-343.58921924644477</v>
      </c>
    </row>
    <row r="1454" spans="1:11">
      <c r="A1454" s="26">
        <v>1404</v>
      </c>
      <c r="B1454" s="82">
        <f t="shared" si="174"/>
        <v>0</v>
      </c>
      <c r="C1454" s="58">
        <f t="shared" si="178"/>
        <v>156.29037528357509</v>
      </c>
      <c r="D1454" s="83">
        <f t="shared" si="175"/>
        <v>666.66666666666663</v>
      </c>
      <c r="E1454">
        <f t="shared" si="171"/>
        <v>0</v>
      </c>
      <c r="G1454">
        <v>1404</v>
      </c>
      <c r="H1454" s="13">
        <f t="shared" si="176"/>
        <v>-7.7831728503952036E-4</v>
      </c>
      <c r="I1454">
        <f t="shared" si="177"/>
        <v>155.1976178153796</v>
      </c>
      <c r="J1454">
        <f t="shared" si="172"/>
        <v>664.4172382213111</v>
      </c>
      <c r="K1454" s="27">
        <f t="shared" si="173"/>
        <v>-343.58752644845487</v>
      </c>
    </row>
    <row r="1455" spans="1:11">
      <c r="A1455" s="26">
        <v>1405</v>
      </c>
      <c r="B1455" s="82">
        <f t="shared" si="174"/>
        <v>0</v>
      </c>
      <c r="C1455" s="58">
        <f t="shared" si="178"/>
        <v>156.29037528357509</v>
      </c>
      <c r="D1455" s="83">
        <f t="shared" si="175"/>
        <v>666.66666666666663</v>
      </c>
      <c r="E1455">
        <f t="shared" si="171"/>
        <v>0</v>
      </c>
      <c r="G1455">
        <v>1405</v>
      </c>
      <c r="H1455" s="13">
        <f t="shared" si="176"/>
        <v>-7.7831728503952036E-4</v>
      </c>
      <c r="I1455">
        <f t="shared" si="177"/>
        <v>155.19683949809456</v>
      </c>
      <c r="J1455">
        <f t="shared" si="172"/>
        <v>664.41560146382176</v>
      </c>
      <c r="K1455" s="27">
        <f t="shared" si="173"/>
        <v>-343.58583360189601</v>
      </c>
    </row>
    <row r="1456" spans="1:11">
      <c r="A1456" s="26">
        <v>1406</v>
      </c>
      <c r="B1456" s="82">
        <f t="shared" si="174"/>
        <v>0</v>
      </c>
      <c r="C1456" s="58">
        <f t="shared" si="178"/>
        <v>156.29037528357509</v>
      </c>
      <c r="D1456" s="83">
        <f t="shared" si="175"/>
        <v>666.66666666666663</v>
      </c>
      <c r="E1456">
        <f t="shared" si="171"/>
        <v>0</v>
      </c>
      <c r="G1456">
        <v>1406</v>
      </c>
      <c r="H1456" s="13">
        <f t="shared" si="176"/>
        <v>-7.7831728503952036E-4</v>
      </c>
      <c r="I1456">
        <f t="shared" si="177"/>
        <v>155.19606118080952</v>
      </c>
      <c r="J1456">
        <f t="shared" si="172"/>
        <v>664.41396465533796</v>
      </c>
      <c r="K1456" s="27">
        <f t="shared" si="173"/>
        <v>-343.58414070676469</v>
      </c>
    </row>
    <row r="1457" spans="1:11">
      <c r="A1457" s="26">
        <v>1407</v>
      </c>
      <c r="B1457" s="82">
        <f t="shared" si="174"/>
        <v>0</v>
      </c>
      <c r="C1457" s="58">
        <f t="shared" si="178"/>
        <v>156.29037528357509</v>
      </c>
      <c r="D1457" s="83">
        <f t="shared" si="175"/>
        <v>666.66666666666663</v>
      </c>
      <c r="E1457">
        <f t="shared" si="171"/>
        <v>0</v>
      </c>
      <c r="G1457">
        <v>1407</v>
      </c>
      <c r="H1457" s="13">
        <f t="shared" si="176"/>
        <v>-7.7831728503952036E-4</v>
      </c>
      <c r="I1457">
        <f t="shared" si="177"/>
        <v>155.19528286352448</v>
      </c>
      <c r="J1457">
        <f t="shared" si="172"/>
        <v>664.41232779585596</v>
      </c>
      <c r="K1457" s="27">
        <f t="shared" si="173"/>
        <v>-343.58244776305702</v>
      </c>
    </row>
    <row r="1458" spans="1:11">
      <c r="A1458" s="26">
        <v>1408</v>
      </c>
      <c r="B1458" s="82">
        <f t="shared" si="174"/>
        <v>0</v>
      </c>
      <c r="C1458" s="58">
        <f t="shared" si="178"/>
        <v>156.29037528357509</v>
      </c>
      <c r="D1458" s="83">
        <f t="shared" si="175"/>
        <v>666.66666666666663</v>
      </c>
      <c r="E1458">
        <f t="shared" si="171"/>
        <v>0</v>
      </c>
      <c r="G1458">
        <v>1408</v>
      </c>
      <c r="H1458" s="13">
        <f t="shared" si="176"/>
        <v>-7.7831728503952036E-4</v>
      </c>
      <c r="I1458">
        <f t="shared" si="177"/>
        <v>155.19450454623944</v>
      </c>
      <c r="J1458">
        <f t="shared" si="172"/>
        <v>664.41069088537165</v>
      </c>
      <c r="K1458" s="27">
        <f t="shared" si="173"/>
        <v>-343.58075477076954</v>
      </c>
    </row>
    <row r="1459" spans="1:11">
      <c r="A1459" s="26">
        <v>1409</v>
      </c>
      <c r="B1459" s="82">
        <f t="shared" si="174"/>
        <v>0</v>
      </c>
      <c r="C1459" s="58">
        <f t="shared" si="178"/>
        <v>156.29037528357509</v>
      </c>
      <c r="D1459" s="83">
        <f t="shared" si="175"/>
        <v>666.66666666666663</v>
      </c>
      <c r="E1459">
        <f t="shared" ref="E1459:E1522" si="179">((D1459^2)+(D1459*D1460)+(D1460^2))*B1460/3</f>
        <v>0</v>
      </c>
      <c r="G1459">
        <v>1409</v>
      </c>
      <c r="H1459" s="13">
        <f t="shared" si="176"/>
        <v>-7.7831728503952036E-4</v>
      </c>
      <c r="I1459">
        <f t="shared" si="177"/>
        <v>155.1937262289544</v>
      </c>
      <c r="J1459">
        <f t="shared" ref="J1459:J1522" si="180">IF($G$28&lt;$C$14,0,((($C$11^2)-((I1459-$C$13)^2))^0.5)+$C$16)</f>
        <v>664.40905392388129</v>
      </c>
      <c r="K1459" s="27">
        <f t="shared" ref="K1459:K1522" si="181">((J1459^2)+(J1459*J1460)+(J1460^2))*H1460/3</f>
        <v>-343.57906172989857</v>
      </c>
    </row>
    <row r="1460" spans="1:11">
      <c r="A1460" s="26">
        <v>1410</v>
      </c>
      <c r="B1460" s="82">
        <f t="shared" ref="B1460:B1523" si="182">C1460-C1459</f>
        <v>0</v>
      </c>
      <c r="C1460" s="58">
        <f t="shared" si="178"/>
        <v>156.29037528357509</v>
      </c>
      <c r="D1460" s="83">
        <f t="shared" ref="D1460:D1523" si="183">IF($G$28&lt;$C$14,0,((($C$11^2)-((C1460-$C$13)^2))^0.5)+$C$16)</f>
        <v>666.66666666666663</v>
      </c>
      <c r="E1460">
        <f t="shared" si="179"/>
        <v>0</v>
      </c>
      <c r="G1460">
        <v>1410</v>
      </c>
      <c r="H1460" s="13">
        <f t="shared" ref="H1460:H1523" si="184">I1460-I1459</f>
        <v>-7.7831728503952036E-4</v>
      </c>
      <c r="I1460">
        <f t="shared" ref="I1460:I1523" si="185">($G$27-$C$14)/2000+I1459</f>
        <v>155.19294791166936</v>
      </c>
      <c r="J1460">
        <f t="shared" si="180"/>
        <v>664.40741691138101</v>
      </c>
      <c r="K1460" s="27">
        <f t="shared" si="181"/>
        <v>-343.57736864044051</v>
      </c>
    </row>
    <row r="1461" spans="1:11">
      <c r="A1461" s="26">
        <v>1411</v>
      </c>
      <c r="B1461" s="82">
        <f t="shared" si="182"/>
        <v>0</v>
      </c>
      <c r="C1461" s="58">
        <f t="shared" si="178"/>
        <v>156.29037528357509</v>
      </c>
      <c r="D1461" s="83">
        <f t="shared" si="183"/>
        <v>666.66666666666663</v>
      </c>
      <c r="E1461">
        <f t="shared" si="179"/>
        <v>0</v>
      </c>
      <c r="G1461">
        <v>1411</v>
      </c>
      <c r="H1461" s="13">
        <f t="shared" si="184"/>
        <v>-7.7831728503952036E-4</v>
      </c>
      <c r="I1461">
        <f t="shared" si="185"/>
        <v>155.19216959438432</v>
      </c>
      <c r="J1461">
        <f t="shared" si="180"/>
        <v>664.40577984786682</v>
      </c>
      <c r="K1461" s="27">
        <f t="shared" si="181"/>
        <v>-343.57567550239156</v>
      </c>
    </row>
    <row r="1462" spans="1:11">
      <c r="A1462" s="26">
        <v>1412</v>
      </c>
      <c r="B1462" s="82">
        <f t="shared" si="182"/>
        <v>0</v>
      </c>
      <c r="C1462" s="58">
        <f t="shared" si="178"/>
        <v>156.29037528357509</v>
      </c>
      <c r="D1462" s="83">
        <f t="shared" si="183"/>
        <v>666.66666666666663</v>
      </c>
      <c r="E1462">
        <f t="shared" si="179"/>
        <v>0</v>
      </c>
      <c r="G1462">
        <v>1412</v>
      </c>
      <c r="H1462" s="13">
        <f t="shared" si="184"/>
        <v>-7.7831728503952036E-4</v>
      </c>
      <c r="I1462">
        <f t="shared" si="185"/>
        <v>155.19139127709929</v>
      </c>
      <c r="J1462">
        <f t="shared" si="180"/>
        <v>664.40414273333477</v>
      </c>
      <c r="K1462" s="27">
        <f t="shared" si="181"/>
        <v>-343.57398231574831</v>
      </c>
    </row>
    <row r="1463" spans="1:11">
      <c r="A1463" s="26">
        <v>1413</v>
      </c>
      <c r="B1463" s="82">
        <f t="shared" si="182"/>
        <v>0</v>
      </c>
      <c r="C1463" s="58">
        <f t="shared" si="178"/>
        <v>156.29037528357509</v>
      </c>
      <c r="D1463" s="83">
        <f t="shared" si="183"/>
        <v>666.66666666666663</v>
      </c>
      <c r="E1463">
        <f t="shared" si="179"/>
        <v>0</v>
      </c>
      <c r="G1463">
        <v>1413</v>
      </c>
      <c r="H1463" s="13">
        <f t="shared" si="184"/>
        <v>-7.7831728503952036E-4</v>
      </c>
      <c r="I1463">
        <f t="shared" si="185"/>
        <v>155.19061295981425</v>
      </c>
      <c r="J1463">
        <f t="shared" si="180"/>
        <v>664.4025055677813</v>
      </c>
      <c r="K1463" s="27">
        <f t="shared" si="181"/>
        <v>-343.57228908050706</v>
      </c>
    </row>
    <row r="1464" spans="1:11">
      <c r="A1464" s="26">
        <v>1414</v>
      </c>
      <c r="B1464" s="82">
        <f t="shared" si="182"/>
        <v>0</v>
      </c>
      <c r="C1464" s="58">
        <f t="shared" si="178"/>
        <v>156.29037528357509</v>
      </c>
      <c r="D1464" s="83">
        <f t="shared" si="183"/>
        <v>666.66666666666663</v>
      </c>
      <c r="E1464">
        <f t="shared" si="179"/>
        <v>0</v>
      </c>
      <c r="G1464">
        <v>1414</v>
      </c>
      <c r="H1464" s="13">
        <f t="shared" si="184"/>
        <v>-7.7831728503952036E-4</v>
      </c>
      <c r="I1464">
        <f t="shared" si="185"/>
        <v>155.18983464252921</v>
      </c>
      <c r="J1464">
        <f t="shared" si="180"/>
        <v>664.40086835120212</v>
      </c>
      <c r="K1464" s="27">
        <f t="shared" si="181"/>
        <v>-343.57059579666412</v>
      </c>
    </row>
    <row r="1465" spans="1:11">
      <c r="A1465" s="26">
        <v>1415</v>
      </c>
      <c r="B1465" s="82">
        <f t="shared" si="182"/>
        <v>0</v>
      </c>
      <c r="C1465" s="58">
        <f t="shared" si="178"/>
        <v>156.29037528357509</v>
      </c>
      <c r="D1465" s="83">
        <f t="shared" si="183"/>
        <v>666.66666666666663</v>
      </c>
      <c r="E1465">
        <f t="shared" si="179"/>
        <v>0</v>
      </c>
      <c r="G1465">
        <v>1415</v>
      </c>
      <c r="H1465" s="13">
        <f t="shared" si="184"/>
        <v>-7.7831728503952036E-4</v>
      </c>
      <c r="I1465">
        <f t="shared" si="185"/>
        <v>155.18905632524417</v>
      </c>
      <c r="J1465">
        <f t="shared" si="180"/>
        <v>664.39923108359358</v>
      </c>
      <c r="K1465" s="27">
        <f t="shared" si="181"/>
        <v>-343.56890246421585</v>
      </c>
    </row>
    <row r="1466" spans="1:11">
      <c r="A1466" s="26">
        <v>1416</v>
      </c>
      <c r="B1466" s="82">
        <f t="shared" si="182"/>
        <v>0</v>
      </c>
      <c r="C1466" s="58">
        <f t="shared" si="178"/>
        <v>156.29037528357509</v>
      </c>
      <c r="D1466" s="83">
        <f t="shared" si="183"/>
        <v>666.66666666666663</v>
      </c>
      <c r="E1466">
        <f t="shared" si="179"/>
        <v>0</v>
      </c>
      <c r="G1466">
        <v>1416</v>
      </c>
      <c r="H1466" s="13">
        <f t="shared" si="184"/>
        <v>-7.7831728503952036E-4</v>
      </c>
      <c r="I1466">
        <f t="shared" si="185"/>
        <v>155.18827800795913</v>
      </c>
      <c r="J1466">
        <f t="shared" si="180"/>
        <v>664.39759376495169</v>
      </c>
      <c r="K1466" s="27">
        <f t="shared" si="181"/>
        <v>-343.56720908315873</v>
      </c>
    </row>
    <row r="1467" spans="1:11">
      <c r="A1467" s="26">
        <v>1417</v>
      </c>
      <c r="B1467" s="82">
        <f t="shared" si="182"/>
        <v>0</v>
      </c>
      <c r="C1467" s="58">
        <f t="shared" si="178"/>
        <v>156.29037528357509</v>
      </c>
      <c r="D1467" s="83">
        <f t="shared" si="183"/>
        <v>666.66666666666663</v>
      </c>
      <c r="E1467">
        <f t="shared" si="179"/>
        <v>0</v>
      </c>
      <c r="G1467">
        <v>1417</v>
      </c>
      <c r="H1467" s="13">
        <f t="shared" si="184"/>
        <v>-7.7831728503952036E-4</v>
      </c>
      <c r="I1467">
        <f t="shared" si="185"/>
        <v>155.18749969067409</v>
      </c>
      <c r="J1467">
        <f t="shared" si="180"/>
        <v>664.39595639527261</v>
      </c>
      <c r="K1467" s="27">
        <f t="shared" si="181"/>
        <v>-343.56551565348894</v>
      </c>
    </row>
    <row r="1468" spans="1:11">
      <c r="A1468" s="26">
        <v>1418</v>
      </c>
      <c r="B1468" s="82">
        <f t="shared" si="182"/>
        <v>0</v>
      </c>
      <c r="C1468" s="58">
        <f t="shared" si="178"/>
        <v>156.29037528357509</v>
      </c>
      <c r="D1468" s="83">
        <f t="shared" si="183"/>
        <v>666.66666666666663</v>
      </c>
      <c r="E1468">
        <f t="shared" si="179"/>
        <v>0</v>
      </c>
      <c r="G1468">
        <v>1418</v>
      </c>
      <c r="H1468" s="13">
        <f t="shared" si="184"/>
        <v>-7.7831728503952036E-4</v>
      </c>
      <c r="I1468">
        <f t="shared" si="185"/>
        <v>155.18672137338905</v>
      </c>
      <c r="J1468">
        <f t="shared" si="180"/>
        <v>664.39431897455233</v>
      </c>
      <c r="K1468" s="27">
        <f t="shared" si="181"/>
        <v>-343.56382217520303</v>
      </c>
    </row>
    <row r="1469" spans="1:11">
      <c r="A1469" s="26">
        <v>1419</v>
      </c>
      <c r="B1469" s="82">
        <f t="shared" si="182"/>
        <v>0</v>
      </c>
      <c r="C1469" s="58">
        <f t="shared" si="178"/>
        <v>156.29037528357509</v>
      </c>
      <c r="D1469" s="83">
        <f t="shared" si="183"/>
        <v>666.66666666666663</v>
      </c>
      <c r="E1469">
        <f t="shared" si="179"/>
        <v>0</v>
      </c>
      <c r="G1469">
        <v>1419</v>
      </c>
      <c r="H1469" s="13">
        <f t="shared" si="184"/>
        <v>-7.7831728503952036E-4</v>
      </c>
      <c r="I1469">
        <f t="shared" si="185"/>
        <v>155.18594305610401</v>
      </c>
      <c r="J1469">
        <f t="shared" si="180"/>
        <v>664.39268150278724</v>
      </c>
      <c r="K1469" s="27">
        <f t="shared" si="181"/>
        <v>-343.56212864829723</v>
      </c>
    </row>
    <row r="1470" spans="1:11">
      <c r="A1470" s="26">
        <v>1420</v>
      </c>
      <c r="B1470" s="82">
        <f t="shared" si="182"/>
        <v>0</v>
      </c>
      <c r="C1470" s="58">
        <f t="shared" si="178"/>
        <v>156.29037528357509</v>
      </c>
      <c r="D1470" s="83">
        <f t="shared" si="183"/>
        <v>666.66666666666663</v>
      </c>
      <c r="E1470">
        <f t="shared" si="179"/>
        <v>0</v>
      </c>
      <c r="G1470">
        <v>1420</v>
      </c>
      <c r="H1470" s="13">
        <f t="shared" si="184"/>
        <v>-7.7831728503952036E-4</v>
      </c>
      <c r="I1470">
        <f t="shared" si="185"/>
        <v>155.18516473881897</v>
      </c>
      <c r="J1470">
        <f t="shared" si="180"/>
        <v>664.39104397997312</v>
      </c>
      <c r="K1470" s="27">
        <f t="shared" si="181"/>
        <v>-343.56043507276792</v>
      </c>
    </row>
    <row r="1471" spans="1:11">
      <c r="A1471" s="26">
        <v>1421</v>
      </c>
      <c r="B1471" s="82">
        <f t="shared" si="182"/>
        <v>0</v>
      </c>
      <c r="C1471" s="58">
        <f t="shared" si="178"/>
        <v>156.29037528357509</v>
      </c>
      <c r="D1471" s="83">
        <f t="shared" si="183"/>
        <v>666.66666666666663</v>
      </c>
      <c r="E1471">
        <f t="shared" si="179"/>
        <v>0</v>
      </c>
      <c r="G1471">
        <v>1421</v>
      </c>
      <c r="H1471" s="13">
        <f t="shared" si="184"/>
        <v>-7.7831728503952036E-4</v>
      </c>
      <c r="I1471">
        <f t="shared" si="185"/>
        <v>155.18438642153393</v>
      </c>
      <c r="J1471">
        <f t="shared" si="180"/>
        <v>664.38940640610622</v>
      </c>
      <c r="K1471" s="27">
        <f t="shared" si="181"/>
        <v>-343.55874144861156</v>
      </c>
    </row>
    <row r="1472" spans="1:11">
      <c r="A1472" s="26">
        <v>1422</v>
      </c>
      <c r="B1472" s="82">
        <f t="shared" si="182"/>
        <v>0</v>
      </c>
      <c r="C1472" s="58">
        <f t="shared" si="178"/>
        <v>156.29037528357509</v>
      </c>
      <c r="D1472" s="83">
        <f t="shared" si="183"/>
        <v>666.66666666666663</v>
      </c>
      <c r="E1472">
        <f t="shared" si="179"/>
        <v>0</v>
      </c>
      <c r="G1472">
        <v>1422</v>
      </c>
      <c r="H1472" s="13">
        <f t="shared" si="184"/>
        <v>-7.7831728503952036E-4</v>
      </c>
      <c r="I1472">
        <f t="shared" si="185"/>
        <v>155.18360810424889</v>
      </c>
      <c r="J1472">
        <f t="shared" si="180"/>
        <v>664.38776878118267</v>
      </c>
      <c r="K1472" s="27">
        <f t="shared" si="181"/>
        <v>-343.55704777582446</v>
      </c>
    </row>
    <row r="1473" spans="1:11">
      <c r="A1473" s="26">
        <v>1423</v>
      </c>
      <c r="B1473" s="82">
        <f t="shared" si="182"/>
        <v>0</v>
      </c>
      <c r="C1473" s="58">
        <f t="shared" si="178"/>
        <v>156.29037528357509</v>
      </c>
      <c r="D1473" s="83">
        <f t="shared" si="183"/>
        <v>666.66666666666663</v>
      </c>
      <c r="E1473">
        <f t="shared" si="179"/>
        <v>0</v>
      </c>
      <c r="G1473">
        <v>1423</v>
      </c>
      <c r="H1473" s="13">
        <f t="shared" si="184"/>
        <v>-7.7831728503952036E-4</v>
      </c>
      <c r="I1473">
        <f t="shared" si="185"/>
        <v>155.18282978696385</v>
      </c>
      <c r="J1473">
        <f t="shared" si="180"/>
        <v>664.3861311051985</v>
      </c>
      <c r="K1473" s="27">
        <f t="shared" si="181"/>
        <v>-343.55535405440304</v>
      </c>
    </row>
    <row r="1474" spans="1:11">
      <c r="A1474" s="26">
        <v>1424</v>
      </c>
      <c r="B1474" s="82">
        <f t="shared" si="182"/>
        <v>0</v>
      </c>
      <c r="C1474" s="58">
        <f t="shared" si="178"/>
        <v>156.29037528357509</v>
      </c>
      <c r="D1474" s="83">
        <f t="shared" si="183"/>
        <v>666.66666666666663</v>
      </c>
      <c r="E1474">
        <f t="shared" si="179"/>
        <v>0</v>
      </c>
      <c r="G1474">
        <v>1424</v>
      </c>
      <c r="H1474" s="13">
        <f t="shared" si="184"/>
        <v>-7.7831728503952036E-4</v>
      </c>
      <c r="I1474">
        <f t="shared" si="185"/>
        <v>155.18205146967881</v>
      </c>
      <c r="J1474">
        <f t="shared" si="180"/>
        <v>664.38449337814995</v>
      </c>
      <c r="K1474" s="27">
        <f t="shared" si="181"/>
        <v>-343.55366028434349</v>
      </c>
    </row>
    <row r="1475" spans="1:11">
      <c r="A1475" s="26">
        <v>1425</v>
      </c>
      <c r="B1475" s="82">
        <f t="shared" si="182"/>
        <v>0</v>
      </c>
      <c r="C1475" s="58">
        <f t="shared" si="178"/>
        <v>156.29037528357509</v>
      </c>
      <c r="D1475" s="83">
        <f t="shared" si="183"/>
        <v>666.66666666666663</v>
      </c>
      <c r="E1475">
        <f t="shared" si="179"/>
        <v>0</v>
      </c>
      <c r="G1475">
        <v>1425</v>
      </c>
      <c r="H1475" s="13">
        <f t="shared" si="184"/>
        <v>-7.7831728503952036E-4</v>
      </c>
      <c r="I1475">
        <f t="shared" si="185"/>
        <v>155.18127315239377</v>
      </c>
      <c r="J1475">
        <f t="shared" si="180"/>
        <v>664.38285560003294</v>
      </c>
      <c r="K1475" s="27">
        <f t="shared" si="181"/>
        <v>-343.55196646564224</v>
      </c>
    </row>
    <row r="1476" spans="1:11">
      <c r="A1476" s="26">
        <v>1426</v>
      </c>
      <c r="B1476" s="82">
        <f t="shared" si="182"/>
        <v>0</v>
      </c>
      <c r="C1476" s="58">
        <f t="shared" si="178"/>
        <v>156.29037528357509</v>
      </c>
      <c r="D1476" s="83">
        <f t="shared" si="183"/>
        <v>666.66666666666663</v>
      </c>
      <c r="E1476">
        <f t="shared" si="179"/>
        <v>0</v>
      </c>
      <c r="G1476">
        <v>1426</v>
      </c>
      <c r="H1476" s="13">
        <f t="shared" si="184"/>
        <v>-7.7831728503952036E-4</v>
      </c>
      <c r="I1476">
        <f t="shared" si="185"/>
        <v>155.18049483510873</v>
      </c>
      <c r="J1476">
        <f t="shared" si="180"/>
        <v>664.3812177708437</v>
      </c>
      <c r="K1476" s="27">
        <f t="shared" si="181"/>
        <v>-343.55027259829575</v>
      </c>
    </row>
    <row r="1477" spans="1:11">
      <c r="A1477" s="26">
        <v>1427</v>
      </c>
      <c r="B1477" s="82">
        <f t="shared" si="182"/>
        <v>0</v>
      </c>
      <c r="C1477" s="58">
        <f t="shared" si="178"/>
        <v>156.29037528357509</v>
      </c>
      <c r="D1477" s="83">
        <f t="shared" si="183"/>
        <v>666.66666666666663</v>
      </c>
      <c r="E1477">
        <f t="shared" si="179"/>
        <v>0</v>
      </c>
      <c r="G1477">
        <v>1427</v>
      </c>
      <c r="H1477" s="13">
        <f t="shared" si="184"/>
        <v>-7.7831728503952036E-4</v>
      </c>
      <c r="I1477">
        <f t="shared" si="185"/>
        <v>155.17971651782369</v>
      </c>
      <c r="J1477">
        <f t="shared" si="180"/>
        <v>664.37957989057827</v>
      </c>
      <c r="K1477" s="27">
        <f t="shared" si="181"/>
        <v>-343.54857868230016</v>
      </c>
    </row>
    <row r="1478" spans="1:11">
      <c r="A1478" s="26">
        <v>1428</v>
      </c>
      <c r="B1478" s="82">
        <f t="shared" si="182"/>
        <v>0</v>
      </c>
      <c r="C1478" s="58">
        <f t="shared" si="178"/>
        <v>156.29037528357509</v>
      </c>
      <c r="D1478" s="83">
        <f t="shared" si="183"/>
        <v>666.66666666666663</v>
      </c>
      <c r="E1478">
        <f t="shared" si="179"/>
        <v>0</v>
      </c>
      <c r="G1478">
        <v>1428</v>
      </c>
      <c r="H1478" s="13">
        <f t="shared" si="184"/>
        <v>-7.7831728503952036E-4</v>
      </c>
      <c r="I1478">
        <f t="shared" si="185"/>
        <v>155.17893820053865</v>
      </c>
      <c r="J1478">
        <f t="shared" si="180"/>
        <v>664.37794195923277</v>
      </c>
      <c r="K1478" s="27">
        <f t="shared" si="181"/>
        <v>-343.54688471765206</v>
      </c>
    </row>
    <row r="1479" spans="1:11">
      <c r="A1479" s="26">
        <v>1429</v>
      </c>
      <c r="B1479" s="82">
        <f t="shared" si="182"/>
        <v>0</v>
      </c>
      <c r="C1479" s="58">
        <f t="shared" si="178"/>
        <v>156.29037528357509</v>
      </c>
      <c r="D1479" s="83">
        <f t="shared" si="183"/>
        <v>666.66666666666663</v>
      </c>
      <c r="E1479">
        <f t="shared" si="179"/>
        <v>0</v>
      </c>
      <c r="G1479">
        <v>1429</v>
      </c>
      <c r="H1479" s="13">
        <f t="shared" si="184"/>
        <v>-7.7831728503952036E-4</v>
      </c>
      <c r="I1479">
        <f t="shared" si="185"/>
        <v>155.17815988325361</v>
      </c>
      <c r="J1479">
        <f t="shared" si="180"/>
        <v>664.37630397680323</v>
      </c>
      <c r="K1479" s="27">
        <f t="shared" si="181"/>
        <v>-343.54519070434776</v>
      </c>
    </row>
    <row r="1480" spans="1:11">
      <c r="A1480" s="26">
        <v>1430</v>
      </c>
      <c r="B1480" s="82">
        <f t="shared" si="182"/>
        <v>0</v>
      </c>
      <c r="C1480" s="58">
        <f t="shared" si="178"/>
        <v>156.29037528357509</v>
      </c>
      <c r="D1480" s="83">
        <f t="shared" si="183"/>
        <v>666.66666666666663</v>
      </c>
      <c r="E1480">
        <f t="shared" si="179"/>
        <v>0</v>
      </c>
      <c r="G1480">
        <v>1430</v>
      </c>
      <c r="H1480" s="13">
        <f t="shared" si="184"/>
        <v>-7.7831728503952036E-4</v>
      </c>
      <c r="I1480">
        <f t="shared" si="185"/>
        <v>155.17738156596857</v>
      </c>
      <c r="J1480">
        <f t="shared" si="180"/>
        <v>664.37466594328589</v>
      </c>
      <c r="K1480" s="27">
        <f t="shared" si="181"/>
        <v>-343.54349664238356</v>
      </c>
    </row>
    <row r="1481" spans="1:11">
      <c r="A1481" s="26">
        <v>1431</v>
      </c>
      <c r="B1481" s="82">
        <f t="shared" si="182"/>
        <v>0</v>
      </c>
      <c r="C1481" s="58">
        <f t="shared" si="178"/>
        <v>156.29037528357509</v>
      </c>
      <c r="D1481" s="83">
        <f t="shared" si="183"/>
        <v>666.66666666666663</v>
      </c>
      <c r="E1481">
        <f t="shared" si="179"/>
        <v>0</v>
      </c>
      <c r="G1481">
        <v>1431</v>
      </c>
      <c r="H1481" s="13">
        <f t="shared" si="184"/>
        <v>-7.7831728503952036E-4</v>
      </c>
      <c r="I1481">
        <f t="shared" si="185"/>
        <v>155.17660324868353</v>
      </c>
      <c r="J1481">
        <f t="shared" si="180"/>
        <v>664.37302785867689</v>
      </c>
      <c r="K1481" s="27">
        <f t="shared" si="181"/>
        <v>-343.54180253175588</v>
      </c>
    </row>
    <row r="1482" spans="1:11">
      <c r="A1482" s="26">
        <v>1432</v>
      </c>
      <c r="B1482" s="82">
        <f t="shared" si="182"/>
        <v>0</v>
      </c>
      <c r="C1482" s="58">
        <f t="shared" si="178"/>
        <v>156.29037528357509</v>
      </c>
      <c r="D1482" s="83">
        <f t="shared" si="183"/>
        <v>666.66666666666663</v>
      </c>
      <c r="E1482">
        <f t="shared" si="179"/>
        <v>0</v>
      </c>
      <c r="G1482">
        <v>1432</v>
      </c>
      <c r="H1482" s="13">
        <f t="shared" si="184"/>
        <v>-7.7831728503952036E-4</v>
      </c>
      <c r="I1482">
        <f t="shared" si="185"/>
        <v>155.17582493139849</v>
      </c>
      <c r="J1482">
        <f t="shared" si="180"/>
        <v>664.37138972297214</v>
      </c>
      <c r="K1482" s="27">
        <f t="shared" si="181"/>
        <v>-343.54010837246102</v>
      </c>
    </row>
    <row r="1483" spans="1:11">
      <c r="A1483" s="26">
        <v>1433</v>
      </c>
      <c r="B1483" s="82">
        <f t="shared" si="182"/>
        <v>0</v>
      </c>
      <c r="C1483" s="58">
        <f t="shared" si="178"/>
        <v>156.29037528357509</v>
      </c>
      <c r="D1483" s="83">
        <f t="shared" si="183"/>
        <v>666.66666666666663</v>
      </c>
      <c r="E1483">
        <f t="shared" si="179"/>
        <v>0</v>
      </c>
      <c r="G1483">
        <v>1433</v>
      </c>
      <c r="H1483" s="13">
        <f t="shared" si="184"/>
        <v>-7.7831728503952036E-4</v>
      </c>
      <c r="I1483">
        <f t="shared" si="185"/>
        <v>155.17504661411346</v>
      </c>
      <c r="J1483">
        <f t="shared" si="180"/>
        <v>664.36975153616777</v>
      </c>
      <c r="K1483" s="27">
        <f t="shared" si="181"/>
        <v>-343.53841416449518</v>
      </c>
    </row>
    <row r="1484" spans="1:11">
      <c r="A1484" s="26">
        <v>1434</v>
      </c>
      <c r="B1484" s="82">
        <f t="shared" si="182"/>
        <v>0</v>
      </c>
      <c r="C1484" s="58">
        <f t="shared" si="178"/>
        <v>156.29037528357509</v>
      </c>
      <c r="D1484" s="83">
        <f t="shared" si="183"/>
        <v>666.66666666666663</v>
      </c>
      <c r="E1484">
        <f t="shared" si="179"/>
        <v>0</v>
      </c>
      <c r="G1484">
        <v>1434</v>
      </c>
      <c r="H1484" s="13">
        <f t="shared" si="184"/>
        <v>-7.7831728503952036E-4</v>
      </c>
      <c r="I1484">
        <f t="shared" si="185"/>
        <v>155.17426829682842</v>
      </c>
      <c r="J1484">
        <f t="shared" si="180"/>
        <v>664.36811329825991</v>
      </c>
      <c r="K1484" s="27">
        <f t="shared" si="181"/>
        <v>-343.53671990785512</v>
      </c>
    </row>
    <row r="1485" spans="1:11">
      <c r="A1485" s="26">
        <v>1435</v>
      </c>
      <c r="B1485" s="82">
        <f t="shared" si="182"/>
        <v>0</v>
      </c>
      <c r="C1485" s="58">
        <f t="shared" si="178"/>
        <v>156.29037528357509</v>
      </c>
      <c r="D1485" s="83">
        <f t="shared" si="183"/>
        <v>666.66666666666663</v>
      </c>
      <c r="E1485">
        <f t="shared" si="179"/>
        <v>0</v>
      </c>
      <c r="G1485">
        <v>1435</v>
      </c>
      <c r="H1485" s="13">
        <f t="shared" si="184"/>
        <v>-7.7831728503952036E-4</v>
      </c>
      <c r="I1485">
        <f t="shared" si="185"/>
        <v>155.17348997954338</v>
      </c>
      <c r="J1485">
        <f t="shared" si="180"/>
        <v>664.36647500924482</v>
      </c>
      <c r="K1485" s="27">
        <f t="shared" si="181"/>
        <v>-343.53502560253696</v>
      </c>
    </row>
    <row r="1486" spans="1:11">
      <c r="A1486" s="26">
        <v>1436</v>
      </c>
      <c r="B1486" s="82">
        <f t="shared" si="182"/>
        <v>0</v>
      </c>
      <c r="C1486" s="58">
        <f t="shared" si="178"/>
        <v>156.29037528357509</v>
      </c>
      <c r="D1486" s="83">
        <f t="shared" si="183"/>
        <v>666.66666666666663</v>
      </c>
      <c r="E1486">
        <f t="shared" si="179"/>
        <v>0</v>
      </c>
      <c r="G1486">
        <v>1436</v>
      </c>
      <c r="H1486" s="13">
        <f t="shared" si="184"/>
        <v>-7.7831728503952036E-4</v>
      </c>
      <c r="I1486">
        <f t="shared" si="185"/>
        <v>155.17271166225834</v>
      </c>
      <c r="J1486">
        <f t="shared" si="180"/>
        <v>664.3648366691184</v>
      </c>
      <c r="K1486" s="27">
        <f t="shared" si="181"/>
        <v>-343.53333124853697</v>
      </c>
    </row>
    <row r="1487" spans="1:11">
      <c r="A1487" s="26">
        <v>1437</v>
      </c>
      <c r="B1487" s="82">
        <f t="shared" si="182"/>
        <v>0</v>
      </c>
      <c r="C1487" s="58">
        <f t="shared" si="178"/>
        <v>156.29037528357509</v>
      </c>
      <c r="D1487" s="83">
        <f t="shared" si="183"/>
        <v>666.66666666666663</v>
      </c>
      <c r="E1487">
        <f t="shared" si="179"/>
        <v>0</v>
      </c>
      <c r="G1487">
        <v>1437</v>
      </c>
      <c r="H1487" s="13">
        <f t="shared" si="184"/>
        <v>-7.7831728503952036E-4</v>
      </c>
      <c r="I1487">
        <f t="shared" si="185"/>
        <v>155.1719333449733</v>
      </c>
      <c r="J1487">
        <f t="shared" si="180"/>
        <v>664.36319827787679</v>
      </c>
      <c r="K1487" s="27">
        <f t="shared" si="181"/>
        <v>-343.53163684585161</v>
      </c>
    </row>
    <row r="1488" spans="1:11">
      <c r="A1488" s="26">
        <v>1438</v>
      </c>
      <c r="B1488" s="82">
        <f t="shared" si="182"/>
        <v>0</v>
      </c>
      <c r="C1488" s="58">
        <f t="shared" ref="C1488:C1551" si="186">($C$37-$C$36)/2000+C1487</f>
        <v>156.29037528357509</v>
      </c>
      <c r="D1488" s="83">
        <f t="shared" si="183"/>
        <v>666.66666666666663</v>
      </c>
      <c r="E1488">
        <f t="shared" si="179"/>
        <v>0</v>
      </c>
      <c r="G1488">
        <v>1438</v>
      </c>
      <c r="H1488" s="13">
        <f t="shared" si="184"/>
        <v>-7.7831728503952036E-4</v>
      </c>
      <c r="I1488">
        <f t="shared" si="185"/>
        <v>155.17115502768826</v>
      </c>
      <c r="J1488">
        <f t="shared" si="180"/>
        <v>664.36155983551612</v>
      </c>
      <c r="K1488" s="27">
        <f t="shared" si="181"/>
        <v>-343.52994239447713</v>
      </c>
    </row>
    <row r="1489" spans="1:11">
      <c r="A1489" s="26">
        <v>1439</v>
      </c>
      <c r="B1489" s="82">
        <f t="shared" si="182"/>
        <v>0</v>
      </c>
      <c r="C1489" s="58">
        <f t="shared" si="186"/>
        <v>156.29037528357509</v>
      </c>
      <c r="D1489" s="83">
        <f t="shared" si="183"/>
        <v>666.66666666666663</v>
      </c>
      <c r="E1489">
        <f t="shared" si="179"/>
        <v>0</v>
      </c>
      <c r="G1489">
        <v>1439</v>
      </c>
      <c r="H1489" s="13">
        <f t="shared" si="184"/>
        <v>-7.7831728503952036E-4</v>
      </c>
      <c r="I1489">
        <f t="shared" si="185"/>
        <v>155.17037671040322</v>
      </c>
      <c r="J1489">
        <f t="shared" si="180"/>
        <v>664.35992134203241</v>
      </c>
      <c r="K1489" s="27">
        <f t="shared" si="181"/>
        <v>-343.52824789441007</v>
      </c>
    </row>
    <row r="1490" spans="1:11">
      <c r="A1490" s="26">
        <v>1440</v>
      </c>
      <c r="B1490" s="82">
        <f t="shared" si="182"/>
        <v>0</v>
      </c>
      <c r="C1490" s="58">
        <f t="shared" si="186"/>
        <v>156.29037528357509</v>
      </c>
      <c r="D1490" s="83">
        <f t="shared" si="183"/>
        <v>666.66666666666663</v>
      </c>
      <c r="E1490">
        <f t="shared" si="179"/>
        <v>0</v>
      </c>
      <c r="G1490">
        <v>1440</v>
      </c>
      <c r="H1490" s="13">
        <f t="shared" si="184"/>
        <v>-7.7831728503952036E-4</v>
      </c>
      <c r="I1490">
        <f t="shared" si="185"/>
        <v>155.16959839311818</v>
      </c>
      <c r="J1490">
        <f t="shared" si="180"/>
        <v>664.35828279742179</v>
      </c>
      <c r="K1490" s="27">
        <f t="shared" si="181"/>
        <v>-343.52655334564662</v>
      </c>
    </row>
    <row r="1491" spans="1:11">
      <c r="A1491" s="26">
        <v>1441</v>
      </c>
      <c r="B1491" s="82">
        <f t="shared" si="182"/>
        <v>0</v>
      </c>
      <c r="C1491" s="58">
        <f t="shared" si="186"/>
        <v>156.29037528357509</v>
      </c>
      <c r="D1491" s="83">
        <f t="shared" si="183"/>
        <v>666.66666666666663</v>
      </c>
      <c r="E1491">
        <f t="shared" si="179"/>
        <v>0</v>
      </c>
      <c r="G1491">
        <v>1441</v>
      </c>
      <c r="H1491" s="13">
        <f t="shared" si="184"/>
        <v>-7.7831728503952036E-4</v>
      </c>
      <c r="I1491">
        <f t="shared" si="185"/>
        <v>155.16882007583314</v>
      </c>
      <c r="J1491">
        <f t="shared" si="180"/>
        <v>664.35664420168052</v>
      </c>
      <c r="K1491" s="27">
        <f t="shared" si="181"/>
        <v>-343.52485874818331</v>
      </c>
    </row>
    <row r="1492" spans="1:11">
      <c r="A1492" s="26">
        <v>1442</v>
      </c>
      <c r="B1492" s="82">
        <f t="shared" si="182"/>
        <v>0</v>
      </c>
      <c r="C1492" s="58">
        <f t="shared" si="186"/>
        <v>156.29037528357509</v>
      </c>
      <c r="D1492" s="83">
        <f t="shared" si="183"/>
        <v>666.66666666666663</v>
      </c>
      <c r="E1492">
        <f t="shared" si="179"/>
        <v>0</v>
      </c>
      <c r="G1492">
        <v>1442</v>
      </c>
      <c r="H1492" s="13">
        <f t="shared" si="184"/>
        <v>-7.7831728503952036E-4</v>
      </c>
      <c r="I1492">
        <f t="shared" si="185"/>
        <v>155.1680417585481</v>
      </c>
      <c r="J1492">
        <f t="shared" si="180"/>
        <v>664.35500555480439</v>
      </c>
      <c r="K1492" s="27">
        <f t="shared" si="181"/>
        <v>-343.52316410201632</v>
      </c>
    </row>
    <row r="1493" spans="1:11">
      <c r="A1493" s="26">
        <v>1443</v>
      </c>
      <c r="B1493" s="82">
        <f t="shared" si="182"/>
        <v>0</v>
      </c>
      <c r="C1493" s="58">
        <f t="shared" si="186"/>
        <v>156.29037528357509</v>
      </c>
      <c r="D1493" s="83">
        <f t="shared" si="183"/>
        <v>666.66666666666663</v>
      </c>
      <c r="E1493">
        <f t="shared" si="179"/>
        <v>0</v>
      </c>
      <c r="G1493">
        <v>1443</v>
      </c>
      <c r="H1493" s="13">
        <f t="shared" si="184"/>
        <v>-7.7831728503952036E-4</v>
      </c>
      <c r="I1493">
        <f t="shared" si="185"/>
        <v>155.16726344126306</v>
      </c>
      <c r="J1493">
        <f t="shared" si="180"/>
        <v>664.35336685678976</v>
      </c>
      <c r="K1493" s="27">
        <f t="shared" si="181"/>
        <v>-343.52146940714209</v>
      </c>
    </row>
    <row r="1494" spans="1:11">
      <c r="A1494" s="26">
        <v>1444</v>
      </c>
      <c r="B1494" s="82">
        <f t="shared" si="182"/>
        <v>0</v>
      </c>
      <c r="C1494" s="58">
        <f t="shared" si="186"/>
        <v>156.29037528357509</v>
      </c>
      <c r="D1494" s="83">
        <f t="shared" si="183"/>
        <v>666.66666666666663</v>
      </c>
      <c r="E1494">
        <f t="shared" si="179"/>
        <v>0</v>
      </c>
      <c r="G1494">
        <v>1444</v>
      </c>
      <c r="H1494" s="13">
        <f t="shared" si="184"/>
        <v>-7.7831728503952036E-4</v>
      </c>
      <c r="I1494">
        <f t="shared" si="185"/>
        <v>155.16648512397802</v>
      </c>
      <c r="J1494">
        <f t="shared" si="180"/>
        <v>664.35172810763265</v>
      </c>
      <c r="K1494" s="27">
        <f t="shared" si="181"/>
        <v>-343.51977466355692</v>
      </c>
    </row>
    <row r="1495" spans="1:11">
      <c r="A1495" s="26">
        <v>1445</v>
      </c>
      <c r="B1495" s="82">
        <f t="shared" si="182"/>
        <v>0</v>
      </c>
      <c r="C1495" s="58">
        <f t="shared" si="186"/>
        <v>156.29037528357509</v>
      </c>
      <c r="D1495" s="83">
        <f t="shared" si="183"/>
        <v>666.66666666666663</v>
      </c>
      <c r="E1495">
        <f t="shared" si="179"/>
        <v>0</v>
      </c>
      <c r="G1495">
        <v>1445</v>
      </c>
      <c r="H1495" s="13">
        <f t="shared" si="184"/>
        <v>-7.7831728503952036E-4</v>
      </c>
      <c r="I1495">
        <f t="shared" si="185"/>
        <v>155.16570680669298</v>
      </c>
      <c r="J1495">
        <f t="shared" si="180"/>
        <v>664.35008930732909</v>
      </c>
      <c r="K1495" s="27">
        <f t="shared" si="181"/>
        <v>-343.51807987125704</v>
      </c>
    </row>
    <row r="1496" spans="1:11">
      <c r="A1496" s="26">
        <v>1446</v>
      </c>
      <c r="B1496" s="82">
        <f t="shared" si="182"/>
        <v>0</v>
      </c>
      <c r="C1496" s="58">
        <f t="shared" si="186"/>
        <v>156.29037528357509</v>
      </c>
      <c r="D1496" s="83">
        <f t="shared" si="183"/>
        <v>666.66666666666663</v>
      </c>
      <c r="E1496">
        <f t="shared" si="179"/>
        <v>0</v>
      </c>
      <c r="G1496">
        <v>1446</v>
      </c>
      <c r="H1496" s="13">
        <f t="shared" si="184"/>
        <v>-7.7831728503952036E-4</v>
      </c>
      <c r="I1496">
        <f t="shared" si="185"/>
        <v>155.16492848940794</v>
      </c>
      <c r="J1496">
        <f t="shared" si="180"/>
        <v>664.34845045587508</v>
      </c>
      <c r="K1496" s="27">
        <f t="shared" si="181"/>
        <v>-343.51638503023906</v>
      </c>
    </row>
    <row r="1497" spans="1:11">
      <c r="A1497" s="26">
        <v>1447</v>
      </c>
      <c r="B1497" s="82">
        <f t="shared" si="182"/>
        <v>0</v>
      </c>
      <c r="C1497" s="58">
        <f t="shared" si="186"/>
        <v>156.29037528357509</v>
      </c>
      <c r="D1497" s="83">
        <f t="shared" si="183"/>
        <v>666.66666666666663</v>
      </c>
      <c r="E1497">
        <f t="shared" si="179"/>
        <v>0</v>
      </c>
      <c r="G1497">
        <v>1447</v>
      </c>
      <c r="H1497" s="13">
        <f t="shared" si="184"/>
        <v>-7.7831728503952036E-4</v>
      </c>
      <c r="I1497">
        <f t="shared" si="185"/>
        <v>155.1641501721229</v>
      </c>
      <c r="J1497">
        <f t="shared" si="180"/>
        <v>664.346811553267</v>
      </c>
      <c r="K1497" s="27">
        <f t="shared" si="181"/>
        <v>-343.51469014049923</v>
      </c>
    </row>
    <row r="1498" spans="1:11">
      <c r="A1498" s="26">
        <v>1448</v>
      </c>
      <c r="B1498" s="82">
        <f t="shared" si="182"/>
        <v>0</v>
      </c>
      <c r="C1498" s="58">
        <f t="shared" si="186"/>
        <v>156.29037528357509</v>
      </c>
      <c r="D1498" s="83">
        <f t="shared" si="183"/>
        <v>666.66666666666663</v>
      </c>
      <c r="E1498">
        <f t="shared" si="179"/>
        <v>0</v>
      </c>
      <c r="G1498">
        <v>1448</v>
      </c>
      <c r="H1498" s="13">
        <f t="shared" si="184"/>
        <v>-7.7831728503952036E-4</v>
      </c>
      <c r="I1498">
        <f t="shared" si="185"/>
        <v>155.16337185483786</v>
      </c>
      <c r="J1498">
        <f t="shared" si="180"/>
        <v>664.34517259950076</v>
      </c>
      <c r="K1498" s="27">
        <f t="shared" si="181"/>
        <v>-343.51299520203389</v>
      </c>
    </row>
    <row r="1499" spans="1:11">
      <c r="A1499" s="26">
        <v>1449</v>
      </c>
      <c r="B1499" s="82">
        <f t="shared" si="182"/>
        <v>0</v>
      </c>
      <c r="C1499" s="58">
        <f t="shared" si="186"/>
        <v>156.29037528357509</v>
      </c>
      <c r="D1499" s="83">
        <f t="shared" si="183"/>
        <v>666.66666666666663</v>
      </c>
      <c r="E1499">
        <f t="shared" si="179"/>
        <v>0</v>
      </c>
      <c r="G1499">
        <v>1449</v>
      </c>
      <c r="H1499" s="13">
        <f t="shared" si="184"/>
        <v>-7.7831728503952036E-4</v>
      </c>
      <c r="I1499">
        <f t="shared" si="185"/>
        <v>155.16259353755282</v>
      </c>
      <c r="J1499">
        <f t="shared" si="180"/>
        <v>664.34353359457236</v>
      </c>
      <c r="K1499" s="27">
        <f t="shared" si="181"/>
        <v>-343.51130021483937</v>
      </c>
    </row>
    <row r="1500" spans="1:11">
      <c r="A1500" s="26">
        <v>1450</v>
      </c>
      <c r="B1500" s="82">
        <f t="shared" si="182"/>
        <v>0</v>
      </c>
      <c r="C1500" s="58">
        <f t="shared" si="186"/>
        <v>156.29037528357509</v>
      </c>
      <c r="D1500" s="83">
        <f t="shared" si="183"/>
        <v>666.66666666666663</v>
      </c>
      <c r="E1500">
        <f t="shared" si="179"/>
        <v>0</v>
      </c>
      <c r="G1500">
        <v>1450</v>
      </c>
      <c r="H1500" s="13">
        <f t="shared" si="184"/>
        <v>-7.7831728503952036E-4</v>
      </c>
      <c r="I1500">
        <f t="shared" si="185"/>
        <v>155.16181522026778</v>
      </c>
      <c r="J1500">
        <f t="shared" si="180"/>
        <v>664.34189453847807</v>
      </c>
      <c r="K1500" s="27">
        <f t="shared" si="181"/>
        <v>-343.50960517891207</v>
      </c>
    </row>
    <row r="1501" spans="1:11">
      <c r="A1501" s="26">
        <v>1451</v>
      </c>
      <c r="B1501" s="82">
        <f t="shared" si="182"/>
        <v>0</v>
      </c>
      <c r="C1501" s="58">
        <f t="shared" si="186"/>
        <v>156.29037528357509</v>
      </c>
      <c r="D1501" s="83">
        <f t="shared" si="183"/>
        <v>666.66666666666663</v>
      </c>
      <c r="E1501">
        <f t="shared" si="179"/>
        <v>0</v>
      </c>
      <c r="G1501">
        <v>1451</v>
      </c>
      <c r="H1501" s="13">
        <f t="shared" si="184"/>
        <v>-7.7831728503952036E-4</v>
      </c>
      <c r="I1501">
        <f t="shared" si="185"/>
        <v>155.16103690298274</v>
      </c>
      <c r="J1501">
        <f t="shared" si="180"/>
        <v>664.3402554312139</v>
      </c>
      <c r="K1501" s="27">
        <f t="shared" si="181"/>
        <v>-343.50791009424819</v>
      </c>
    </row>
    <row r="1502" spans="1:11">
      <c r="A1502" s="26">
        <v>1452</v>
      </c>
      <c r="B1502" s="82">
        <f t="shared" si="182"/>
        <v>0</v>
      </c>
      <c r="C1502" s="58">
        <f t="shared" si="186"/>
        <v>156.29037528357509</v>
      </c>
      <c r="D1502" s="83">
        <f t="shared" si="183"/>
        <v>666.66666666666663</v>
      </c>
      <c r="E1502">
        <f t="shared" si="179"/>
        <v>0</v>
      </c>
      <c r="G1502">
        <v>1452</v>
      </c>
      <c r="H1502" s="13">
        <f t="shared" si="184"/>
        <v>-7.7831728503952036E-4</v>
      </c>
      <c r="I1502">
        <f t="shared" si="185"/>
        <v>155.1602585856977</v>
      </c>
      <c r="J1502">
        <f t="shared" si="180"/>
        <v>664.33861627277588</v>
      </c>
      <c r="K1502" s="27">
        <f t="shared" si="181"/>
        <v>-343.50621496084409</v>
      </c>
    </row>
    <row r="1503" spans="1:11">
      <c r="A1503" s="26">
        <v>1453</v>
      </c>
      <c r="B1503" s="82">
        <f t="shared" si="182"/>
        <v>0</v>
      </c>
      <c r="C1503" s="58">
        <f t="shared" si="186"/>
        <v>156.29037528357509</v>
      </c>
      <c r="D1503" s="83">
        <f t="shared" si="183"/>
        <v>666.66666666666663</v>
      </c>
      <c r="E1503">
        <f t="shared" si="179"/>
        <v>0</v>
      </c>
      <c r="G1503">
        <v>1453</v>
      </c>
      <c r="H1503" s="13">
        <f t="shared" si="184"/>
        <v>-7.7831728503952036E-4</v>
      </c>
      <c r="I1503">
        <f t="shared" si="185"/>
        <v>155.15948026841266</v>
      </c>
      <c r="J1503">
        <f t="shared" si="180"/>
        <v>664.33697706316025</v>
      </c>
      <c r="K1503" s="27">
        <f t="shared" si="181"/>
        <v>-343.50451977869642</v>
      </c>
    </row>
    <row r="1504" spans="1:11">
      <c r="A1504" s="26">
        <v>1454</v>
      </c>
      <c r="B1504" s="82">
        <f t="shared" si="182"/>
        <v>0</v>
      </c>
      <c r="C1504" s="58">
        <f t="shared" si="186"/>
        <v>156.29037528357509</v>
      </c>
      <c r="D1504" s="83">
        <f t="shared" si="183"/>
        <v>666.66666666666663</v>
      </c>
      <c r="E1504">
        <f t="shared" si="179"/>
        <v>0</v>
      </c>
      <c r="G1504">
        <v>1454</v>
      </c>
      <c r="H1504" s="13">
        <f t="shared" si="184"/>
        <v>-7.7831728503952036E-4</v>
      </c>
      <c r="I1504">
        <f t="shared" si="185"/>
        <v>155.15870195112763</v>
      </c>
      <c r="J1504">
        <f t="shared" si="180"/>
        <v>664.33533780236303</v>
      </c>
      <c r="K1504" s="27">
        <f t="shared" si="181"/>
        <v>-343.50282454780125</v>
      </c>
    </row>
    <row r="1505" spans="1:11">
      <c r="A1505" s="26">
        <v>1455</v>
      </c>
      <c r="B1505" s="82">
        <f t="shared" si="182"/>
        <v>0</v>
      </c>
      <c r="C1505" s="58">
        <f t="shared" si="186"/>
        <v>156.29037528357509</v>
      </c>
      <c r="D1505" s="83">
        <f t="shared" si="183"/>
        <v>666.66666666666663</v>
      </c>
      <c r="E1505">
        <f t="shared" si="179"/>
        <v>0</v>
      </c>
      <c r="G1505">
        <v>1455</v>
      </c>
      <c r="H1505" s="13">
        <f t="shared" si="184"/>
        <v>-7.7831728503952036E-4</v>
      </c>
      <c r="I1505">
        <f t="shared" si="185"/>
        <v>155.15792363384259</v>
      </c>
      <c r="J1505">
        <f t="shared" si="180"/>
        <v>664.33369849038024</v>
      </c>
      <c r="K1505" s="27">
        <f t="shared" si="181"/>
        <v>-343.50112926815495</v>
      </c>
    </row>
    <row r="1506" spans="1:11">
      <c r="A1506" s="26">
        <v>1456</v>
      </c>
      <c r="B1506" s="82">
        <f t="shared" si="182"/>
        <v>0</v>
      </c>
      <c r="C1506" s="58">
        <f t="shared" si="186"/>
        <v>156.29037528357509</v>
      </c>
      <c r="D1506" s="83">
        <f t="shared" si="183"/>
        <v>666.66666666666663</v>
      </c>
      <c r="E1506">
        <f t="shared" si="179"/>
        <v>0</v>
      </c>
      <c r="G1506">
        <v>1456</v>
      </c>
      <c r="H1506" s="13">
        <f t="shared" si="184"/>
        <v>-7.7831728503952036E-4</v>
      </c>
      <c r="I1506">
        <f t="shared" si="185"/>
        <v>155.15714531655755</v>
      </c>
      <c r="J1506">
        <f t="shared" si="180"/>
        <v>664.33205912720803</v>
      </c>
      <c r="K1506" s="27">
        <f t="shared" si="181"/>
        <v>-343.49943393975394</v>
      </c>
    </row>
    <row r="1507" spans="1:11">
      <c r="A1507" s="26">
        <v>1457</v>
      </c>
      <c r="B1507" s="82">
        <f t="shared" si="182"/>
        <v>0</v>
      </c>
      <c r="C1507" s="58">
        <f t="shared" si="186"/>
        <v>156.29037528357509</v>
      </c>
      <c r="D1507" s="83">
        <f t="shared" si="183"/>
        <v>666.66666666666663</v>
      </c>
      <c r="E1507">
        <f t="shared" si="179"/>
        <v>0</v>
      </c>
      <c r="G1507">
        <v>1457</v>
      </c>
      <c r="H1507" s="13">
        <f t="shared" si="184"/>
        <v>-7.7831728503952036E-4</v>
      </c>
      <c r="I1507">
        <f t="shared" si="185"/>
        <v>155.15636699927251</v>
      </c>
      <c r="J1507">
        <f t="shared" si="180"/>
        <v>664.33041971284251</v>
      </c>
      <c r="K1507" s="27">
        <f t="shared" si="181"/>
        <v>-343.49773856259452</v>
      </c>
    </row>
    <row r="1508" spans="1:11">
      <c r="A1508" s="26">
        <v>1458</v>
      </c>
      <c r="B1508" s="82">
        <f t="shared" si="182"/>
        <v>0</v>
      </c>
      <c r="C1508" s="58">
        <f t="shared" si="186"/>
        <v>156.29037528357509</v>
      </c>
      <c r="D1508" s="83">
        <f t="shared" si="183"/>
        <v>666.66666666666663</v>
      </c>
      <c r="E1508">
        <f t="shared" si="179"/>
        <v>0</v>
      </c>
      <c r="G1508">
        <v>1458</v>
      </c>
      <c r="H1508" s="13">
        <f t="shared" si="184"/>
        <v>-7.7831728503952036E-4</v>
      </c>
      <c r="I1508">
        <f t="shared" si="185"/>
        <v>155.15558868198747</v>
      </c>
      <c r="J1508">
        <f t="shared" si="180"/>
        <v>664.32878024727961</v>
      </c>
      <c r="K1508" s="27">
        <f t="shared" si="181"/>
        <v>-343.49604313667299</v>
      </c>
    </row>
    <row r="1509" spans="1:11">
      <c r="A1509" s="26">
        <v>1459</v>
      </c>
      <c r="B1509" s="82">
        <f t="shared" si="182"/>
        <v>0</v>
      </c>
      <c r="C1509" s="58">
        <f t="shared" si="186"/>
        <v>156.29037528357509</v>
      </c>
      <c r="D1509" s="83">
        <f t="shared" si="183"/>
        <v>666.66666666666663</v>
      </c>
      <c r="E1509">
        <f t="shared" si="179"/>
        <v>0</v>
      </c>
      <c r="G1509">
        <v>1459</v>
      </c>
      <c r="H1509" s="13">
        <f t="shared" si="184"/>
        <v>-7.7831728503952036E-4</v>
      </c>
      <c r="I1509">
        <f t="shared" si="185"/>
        <v>155.15481036470243</v>
      </c>
      <c r="J1509">
        <f t="shared" si="180"/>
        <v>664.32714073051568</v>
      </c>
      <c r="K1509" s="27">
        <f t="shared" si="181"/>
        <v>-343.49434766198584</v>
      </c>
    </row>
    <row r="1510" spans="1:11">
      <c r="A1510" s="26">
        <v>1460</v>
      </c>
      <c r="B1510" s="82">
        <f t="shared" si="182"/>
        <v>0</v>
      </c>
      <c r="C1510" s="58">
        <f t="shared" si="186"/>
        <v>156.29037528357509</v>
      </c>
      <c r="D1510" s="83">
        <f t="shared" si="183"/>
        <v>666.66666666666663</v>
      </c>
      <c r="E1510">
        <f t="shared" si="179"/>
        <v>0</v>
      </c>
      <c r="G1510">
        <v>1460</v>
      </c>
      <c r="H1510" s="13">
        <f t="shared" si="184"/>
        <v>-7.7831728503952036E-4</v>
      </c>
      <c r="I1510">
        <f t="shared" si="185"/>
        <v>155.15403204741739</v>
      </c>
      <c r="J1510">
        <f t="shared" si="180"/>
        <v>664.32550116254663</v>
      </c>
      <c r="K1510" s="27">
        <f t="shared" si="181"/>
        <v>-343.49265213852919</v>
      </c>
    </row>
    <row r="1511" spans="1:11">
      <c r="A1511" s="26">
        <v>1461</v>
      </c>
      <c r="B1511" s="82">
        <f t="shared" si="182"/>
        <v>0</v>
      </c>
      <c r="C1511" s="58">
        <f t="shared" si="186"/>
        <v>156.29037528357509</v>
      </c>
      <c r="D1511" s="83">
        <f t="shared" si="183"/>
        <v>666.66666666666663</v>
      </c>
      <c r="E1511">
        <f t="shared" si="179"/>
        <v>0</v>
      </c>
      <c r="G1511">
        <v>1461</v>
      </c>
      <c r="H1511" s="13">
        <f t="shared" si="184"/>
        <v>-7.7831728503952036E-4</v>
      </c>
      <c r="I1511">
        <f t="shared" si="185"/>
        <v>155.15325373013235</v>
      </c>
      <c r="J1511">
        <f t="shared" si="180"/>
        <v>664.32386154336848</v>
      </c>
      <c r="K1511" s="27">
        <f t="shared" si="181"/>
        <v>-343.49095656629953</v>
      </c>
    </row>
    <row r="1512" spans="1:11">
      <c r="A1512" s="26">
        <v>1462</v>
      </c>
      <c r="B1512" s="82">
        <f t="shared" si="182"/>
        <v>0</v>
      </c>
      <c r="C1512" s="58">
        <f t="shared" si="186"/>
        <v>156.29037528357509</v>
      </c>
      <c r="D1512" s="83">
        <f t="shared" si="183"/>
        <v>666.66666666666663</v>
      </c>
      <c r="E1512">
        <f t="shared" si="179"/>
        <v>0</v>
      </c>
      <c r="G1512">
        <v>1462</v>
      </c>
      <c r="H1512" s="13">
        <f t="shared" si="184"/>
        <v>-7.7831728503952036E-4</v>
      </c>
      <c r="I1512">
        <f t="shared" si="185"/>
        <v>155.15247541284731</v>
      </c>
      <c r="J1512">
        <f t="shared" si="180"/>
        <v>664.32222187297748</v>
      </c>
      <c r="K1512" s="27">
        <f t="shared" si="181"/>
        <v>-343.48926094529332</v>
      </c>
    </row>
    <row r="1513" spans="1:11">
      <c r="A1513" s="26">
        <v>1463</v>
      </c>
      <c r="B1513" s="82">
        <f t="shared" si="182"/>
        <v>0</v>
      </c>
      <c r="C1513" s="58">
        <f t="shared" si="186"/>
        <v>156.29037528357509</v>
      </c>
      <c r="D1513" s="83">
        <f t="shared" si="183"/>
        <v>666.66666666666663</v>
      </c>
      <c r="E1513">
        <f t="shared" si="179"/>
        <v>0</v>
      </c>
      <c r="G1513">
        <v>1463</v>
      </c>
      <c r="H1513" s="13">
        <f t="shared" si="184"/>
        <v>-7.7831728503952036E-4</v>
      </c>
      <c r="I1513">
        <f t="shared" si="185"/>
        <v>155.15169709556227</v>
      </c>
      <c r="J1513">
        <f t="shared" si="180"/>
        <v>664.32058215136965</v>
      </c>
      <c r="K1513" s="27">
        <f t="shared" si="181"/>
        <v>-343.48756527550677</v>
      </c>
    </row>
    <row r="1514" spans="1:11">
      <c r="A1514" s="26">
        <v>1464</v>
      </c>
      <c r="B1514" s="82">
        <f t="shared" si="182"/>
        <v>0</v>
      </c>
      <c r="C1514" s="58">
        <f t="shared" si="186"/>
        <v>156.29037528357509</v>
      </c>
      <c r="D1514" s="83">
        <f t="shared" si="183"/>
        <v>666.66666666666663</v>
      </c>
      <c r="E1514">
        <f t="shared" si="179"/>
        <v>0</v>
      </c>
      <c r="G1514">
        <v>1464</v>
      </c>
      <c r="H1514" s="13">
        <f t="shared" si="184"/>
        <v>-7.7831728503952036E-4</v>
      </c>
      <c r="I1514">
        <f t="shared" si="185"/>
        <v>155.15091877827723</v>
      </c>
      <c r="J1514">
        <f t="shared" si="180"/>
        <v>664.31894237854112</v>
      </c>
      <c r="K1514" s="27">
        <f t="shared" si="181"/>
        <v>-343.48586955693617</v>
      </c>
    </row>
    <row r="1515" spans="1:11">
      <c r="A1515" s="26">
        <v>1465</v>
      </c>
      <c r="B1515" s="82">
        <f t="shared" si="182"/>
        <v>0</v>
      </c>
      <c r="C1515" s="58">
        <f t="shared" si="186"/>
        <v>156.29037528357509</v>
      </c>
      <c r="D1515" s="83">
        <f t="shared" si="183"/>
        <v>666.66666666666663</v>
      </c>
      <c r="E1515">
        <f t="shared" si="179"/>
        <v>0</v>
      </c>
      <c r="G1515">
        <v>1465</v>
      </c>
      <c r="H1515" s="13">
        <f t="shared" si="184"/>
        <v>-7.7831728503952036E-4</v>
      </c>
      <c r="I1515">
        <f t="shared" si="185"/>
        <v>155.15014046099219</v>
      </c>
      <c r="J1515">
        <f t="shared" si="180"/>
        <v>664.31730255448781</v>
      </c>
      <c r="K1515" s="27">
        <f t="shared" si="181"/>
        <v>-343.48417378957782</v>
      </c>
    </row>
    <row r="1516" spans="1:11">
      <c r="A1516" s="26">
        <v>1466</v>
      </c>
      <c r="B1516" s="82">
        <f t="shared" si="182"/>
        <v>0</v>
      </c>
      <c r="C1516" s="58">
        <f t="shared" si="186"/>
        <v>156.29037528357509</v>
      </c>
      <c r="D1516" s="83">
        <f t="shared" si="183"/>
        <v>666.66666666666663</v>
      </c>
      <c r="E1516">
        <f t="shared" si="179"/>
        <v>0</v>
      </c>
      <c r="G1516">
        <v>1466</v>
      </c>
      <c r="H1516" s="13">
        <f t="shared" si="184"/>
        <v>-7.7831728503952036E-4</v>
      </c>
      <c r="I1516">
        <f t="shared" si="185"/>
        <v>155.14936214370715</v>
      </c>
      <c r="J1516">
        <f t="shared" si="180"/>
        <v>664.31566267920596</v>
      </c>
      <c r="K1516" s="27">
        <f t="shared" si="181"/>
        <v>-343.48247797342827</v>
      </c>
    </row>
    <row r="1517" spans="1:11">
      <c r="A1517" s="26">
        <v>1467</v>
      </c>
      <c r="B1517" s="82">
        <f t="shared" si="182"/>
        <v>0</v>
      </c>
      <c r="C1517" s="58">
        <f t="shared" si="186"/>
        <v>156.29037528357509</v>
      </c>
      <c r="D1517" s="83">
        <f t="shared" si="183"/>
        <v>666.66666666666663</v>
      </c>
      <c r="E1517">
        <f t="shared" si="179"/>
        <v>0</v>
      </c>
      <c r="G1517">
        <v>1467</v>
      </c>
      <c r="H1517" s="13">
        <f t="shared" si="184"/>
        <v>-7.7831728503952036E-4</v>
      </c>
      <c r="I1517">
        <f t="shared" si="185"/>
        <v>155.14858382642211</v>
      </c>
      <c r="J1517">
        <f t="shared" si="180"/>
        <v>664.31402275269159</v>
      </c>
      <c r="K1517" s="27">
        <f t="shared" si="181"/>
        <v>-343.48078210848365</v>
      </c>
    </row>
    <row r="1518" spans="1:11">
      <c r="A1518" s="26">
        <v>1468</v>
      </c>
      <c r="B1518" s="82">
        <f t="shared" si="182"/>
        <v>0</v>
      </c>
      <c r="C1518" s="58">
        <f t="shared" si="186"/>
        <v>156.29037528357509</v>
      </c>
      <c r="D1518" s="83">
        <f t="shared" si="183"/>
        <v>666.66666666666663</v>
      </c>
      <c r="E1518">
        <f t="shared" si="179"/>
        <v>0</v>
      </c>
      <c r="G1518">
        <v>1468</v>
      </c>
      <c r="H1518" s="13">
        <f t="shared" si="184"/>
        <v>-7.7831728503952036E-4</v>
      </c>
      <c r="I1518">
        <f t="shared" si="185"/>
        <v>155.14780550913707</v>
      </c>
      <c r="J1518">
        <f t="shared" si="180"/>
        <v>664.31238277494083</v>
      </c>
      <c r="K1518" s="27">
        <f t="shared" si="181"/>
        <v>-343.47908619474043</v>
      </c>
    </row>
    <row r="1519" spans="1:11">
      <c r="A1519" s="26">
        <v>1469</v>
      </c>
      <c r="B1519" s="82">
        <f t="shared" si="182"/>
        <v>0</v>
      </c>
      <c r="C1519" s="58">
        <f t="shared" si="186"/>
        <v>156.29037528357509</v>
      </c>
      <c r="D1519" s="83">
        <f t="shared" si="183"/>
        <v>666.66666666666663</v>
      </c>
      <c r="E1519">
        <f t="shared" si="179"/>
        <v>0</v>
      </c>
      <c r="G1519">
        <v>1469</v>
      </c>
      <c r="H1519" s="13">
        <f t="shared" si="184"/>
        <v>-7.7831728503952036E-4</v>
      </c>
      <c r="I1519">
        <f t="shared" si="185"/>
        <v>155.14702719185203</v>
      </c>
      <c r="J1519">
        <f t="shared" si="180"/>
        <v>664.31074274594971</v>
      </c>
      <c r="K1519" s="27">
        <f t="shared" si="181"/>
        <v>-343.47739023219492</v>
      </c>
    </row>
    <row r="1520" spans="1:11">
      <c r="A1520" s="26">
        <v>1470</v>
      </c>
      <c r="B1520" s="82">
        <f t="shared" si="182"/>
        <v>0</v>
      </c>
      <c r="C1520" s="58">
        <f t="shared" si="186"/>
        <v>156.29037528357509</v>
      </c>
      <c r="D1520" s="83">
        <f t="shared" si="183"/>
        <v>666.66666666666663</v>
      </c>
      <c r="E1520">
        <f t="shared" si="179"/>
        <v>0</v>
      </c>
      <c r="G1520">
        <v>1470</v>
      </c>
      <c r="H1520" s="13">
        <f t="shared" si="184"/>
        <v>-7.7831728503952036E-4</v>
      </c>
      <c r="I1520">
        <f t="shared" si="185"/>
        <v>155.14624887456699</v>
      </c>
      <c r="J1520">
        <f t="shared" si="180"/>
        <v>664.30910266571425</v>
      </c>
      <c r="K1520" s="27">
        <f t="shared" si="181"/>
        <v>-343.47569422084331</v>
      </c>
    </row>
    <row r="1521" spans="1:11">
      <c r="A1521" s="26">
        <v>1471</v>
      </c>
      <c r="B1521" s="82">
        <f t="shared" si="182"/>
        <v>0</v>
      </c>
      <c r="C1521" s="58">
        <f t="shared" si="186"/>
        <v>156.29037528357509</v>
      </c>
      <c r="D1521" s="83">
        <f t="shared" si="183"/>
        <v>666.66666666666663</v>
      </c>
      <c r="E1521">
        <f t="shared" si="179"/>
        <v>0</v>
      </c>
      <c r="G1521">
        <v>1471</v>
      </c>
      <c r="H1521" s="13">
        <f t="shared" si="184"/>
        <v>-7.7831728503952036E-4</v>
      </c>
      <c r="I1521">
        <f t="shared" si="185"/>
        <v>155.14547055728195</v>
      </c>
      <c r="J1521">
        <f t="shared" si="180"/>
        <v>664.30746253423058</v>
      </c>
      <c r="K1521" s="27">
        <f t="shared" si="181"/>
        <v>-343.47399816068224</v>
      </c>
    </row>
    <row r="1522" spans="1:11">
      <c r="A1522" s="26">
        <v>1472</v>
      </c>
      <c r="B1522" s="82">
        <f t="shared" si="182"/>
        <v>0</v>
      </c>
      <c r="C1522" s="58">
        <f t="shared" si="186"/>
        <v>156.29037528357509</v>
      </c>
      <c r="D1522" s="83">
        <f t="shared" si="183"/>
        <v>666.66666666666663</v>
      </c>
      <c r="E1522">
        <f t="shared" si="179"/>
        <v>0</v>
      </c>
      <c r="G1522">
        <v>1472</v>
      </c>
      <c r="H1522" s="13">
        <f t="shared" si="184"/>
        <v>-7.7831728503952036E-4</v>
      </c>
      <c r="I1522">
        <f t="shared" si="185"/>
        <v>155.14469223999691</v>
      </c>
      <c r="J1522">
        <f t="shared" si="180"/>
        <v>664.30582235149495</v>
      </c>
      <c r="K1522" s="27">
        <f t="shared" si="181"/>
        <v>-343.4723020517078</v>
      </c>
    </row>
    <row r="1523" spans="1:11">
      <c r="A1523" s="26">
        <v>1473</v>
      </c>
      <c r="B1523" s="82">
        <f t="shared" si="182"/>
        <v>0</v>
      </c>
      <c r="C1523" s="58">
        <f t="shared" si="186"/>
        <v>156.29037528357509</v>
      </c>
      <c r="D1523" s="83">
        <f t="shared" si="183"/>
        <v>666.66666666666663</v>
      </c>
      <c r="E1523">
        <f t="shared" ref="E1523:E1586" si="187">((D1523^2)+(D1523*D1524)+(D1524^2))*B1524/3</f>
        <v>0</v>
      </c>
      <c r="G1523">
        <v>1473</v>
      </c>
      <c r="H1523" s="13">
        <f t="shared" si="184"/>
        <v>-7.7831728503952036E-4</v>
      </c>
      <c r="I1523">
        <f t="shared" si="185"/>
        <v>155.14391392271187</v>
      </c>
      <c r="J1523">
        <f t="shared" ref="J1523:J1586" si="188">IF($G$28&lt;$C$14,0,((($C$11^2)-((I1523-$C$13)^2))^0.5)+$C$16)</f>
        <v>664.30418211750316</v>
      </c>
      <c r="K1523" s="27">
        <f t="shared" ref="K1523:K1586" si="189">((J1523^2)+(J1523*J1524)+(J1524^2))*H1524/3</f>
        <v>-343.47060589391646</v>
      </c>
    </row>
    <row r="1524" spans="1:11">
      <c r="A1524" s="26">
        <v>1474</v>
      </c>
      <c r="B1524" s="82">
        <f t="shared" ref="B1524:B1587" si="190">C1524-C1523</f>
        <v>0</v>
      </c>
      <c r="C1524" s="58">
        <f t="shared" si="186"/>
        <v>156.29037528357509</v>
      </c>
      <c r="D1524" s="83">
        <f t="shared" ref="D1524:D1587" si="191">IF($G$28&lt;$C$14,0,((($C$11^2)-((C1524-$C$13)^2))^0.5)+$C$16)</f>
        <v>666.66666666666663</v>
      </c>
      <c r="E1524">
        <f t="shared" si="187"/>
        <v>0</v>
      </c>
      <c r="G1524">
        <v>1474</v>
      </c>
      <c r="H1524" s="13">
        <f t="shared" ref="H1524:H1587" si="192">I1524-I1523</f>
        <v>-7.7831728503952036E-4</v>
      </c>
      <c r="I1524">
        <f t="shared" ref="I1524:I1587" si="193">($G$27-$C$14)/2000+I1523</f>
        <v>155.14313560542683</v>
      </c>
      <c r="J1524">
        <f t="shared" si="188"/>
        <v>664.30254183225156</v>
      </c>
      <c r="K1524" s="27">
        <f t="shared" si="189"/>
        <v>-343.46890968730446</v>
      </c>
    </row>
    <row r="1525" spans="1:11">
      <c r="A1525" s="26">
        <v>1475</v>
      </c>
      <c r="B1525" s="82">
        <f t="shared" si="190"/>
        <v>0</v>
      </c>
      <c r="C1525" s="58">
        <f t="shared" si="186"/>
        <v>156.29037528357509</v>
      </c>
      <c r="D1525" s="83">
        <f t="shared" si="191"/>
        <v>666.66666666666663</v>
      </c>
      <c r="E1525">
        <f t="shared" si="187"/>
        <v>0</v>
      </c>
      <c r="G1525">
        <v>1475</v>
      </c>
      <c r="H1525" s="13">
        <f t="shared" si="192"/>
        <v>-7.7831728503952036E-4</v>
      </c>
      <c r="I1525">
        <f t="shared" si="193"/>
        <v>155.1423572881418</v>
      </c>
      <c r="J1525">
        <f t="shared" si="188"/>
        <v>664.30090149573596</v>
      </c>
      <c r="K1525" s="27">
        <f t="shared" si="189"/>
        <v>-343.46721343186817</v>
      </c>
    </row>
    <row r="1526" spans="1:11">
      <c r="A1526" s="26">
        <v>1476</v>
      </c>
      <c r="B1526" s="82">
        <f t="shared" si="190"/>
        <v>0</v>
      </c>
      <c r="C1526" s="58">
        <f t="shared" si="186"/>
        <v>156.29037528357509</v>
      </c>
      <c r="D1526" s="83">
        <f t="shared" si="191"/>
        <v>666.66666666666663</v>
      </c>
      <c r="E1526">
        <f t="shared" si="187"/>
        <v>0</v>
      </c>
      <c r="G1526">
        <v>1476</v>
      </c>
      <c r="H1526" s="13">
        <f t="shared" si="192"/>
        <v>-7.7831728503952036E-4</v>
      </c>
      <c r="I1526">
        <f t="shared" si="193"/>
        <v>155.14157897085676</v>
      </c>
      <c r="J1526">
        <f t="shared" si="188"/>
        <v>664.29926110795259</v>
      </c>
      <c r="K1526" s="27">
        <f t="shared" si="189"/>
        <v>-343.46551712760396</v>
      </c>
    </row>
    <row r="1527" spans="1:11">
      <c r="A1527" s="26">
        <v>1477</v>
      </c>
      <c r="B1527" s="82">
        <f t="shared" si="190"/>
        <v>0</v>
      </c>
      <c r="C1527" s="58">
        <f t="shared" si="186"/>
        <v>156.29037528357509</v>
      </c>
      <c r="D1527" s="83">
        <f t="shared" si="191"/>
        <v>666.66666666666663</v>
      </c>
      <c r="E1527">
        <f t="shared" si="187"/>
        <v>0</v>
      </c>
      <c r="G1527">
        <v>1477</v>
      </c>
      <c r="H1527" s="13">
        <f t="shared" si="192"/>
        <v>-7.7831728503952036E-4</v>
      </c>
      <c r="I1527">
        <f t="shared" si="193"/>
        <v>155.14080065357172</v>
      </c>
      <c r="J1527">
        <f t="shared" si="188"/>
        <v>664.29762066889748</v>
      </c>
      <c r="K1527" s="27">
        <f t="shared" si="189"/>
        <v>-343.46382077450812</v>
      </c>
    </row>
    <row r="1528" spans="1:11">
      <c r="A1528" s="26">
        <v>1478</v>
      </c>
      <c r="B1528" s="82">
        <f t="shared" si="190"/>
        <v>0</v>
      </c>
      <c r="C1528" s="58">
        <f t="shared" si="186"/>
        <v>156.29037528357509</v>
      </c>
      <c r="D1528" s="83">
        <f t="shared" si="191"/>
        <v>666.66666666666663</v>
      </c>
      <c r="E1528">
        <f t="shared" si="187"/>
        <v>0</v>
      </c>
      <c r="G1528">
        <v>1478</v>
      </c>
      <c r="H1528" s="13">
        <f t="shared" si="192"/>
        <v>-7.7831728503952036E-4</v>
      </c>
      <c r="I1528">
        <f t="shared" si="193"/>
        <v>155.14002233628668</v>
      </c>
      <c r="J1528">
        <f t="shared" si="188"/>
        <v>664.29598017856665</v>
      </c>
      <c r="K1528" s="27">
        <f t="shared" si="189"/>
        <v>-343.46212437257697</v>
      </c>
    </row>
    <row r="1529" spans="1:11">
      <c r="A1529" s="26">
        <v>1479</v>
      </c>
      <c r="B1529" s="82">
        <f t="shared" si="190"/>
        <v>0</v>
      </c>
      <c r="C1529" s="58">
        <f t="shared" si="186"/>
        <v>156.29037528357509</v>
      </c>
      <c r="D1529" s="83">
        <f t="shared" si="191"/>
        <v>666.66666666666663</v>
      </c>
      <c r="E1529">
        <f t="shared" si="187"/>
        <v>0</v>
      </c>
      <c r="G1529">
        <v>1479</v>
      </c>
      <c r="H1529" s="13">
        <f t="shared" si="192"/>
        <v>-7.7831728503952036E-4</v>
      </c>
      <c r="I1529">
        <f t="shared" si="193"/>
        <v>155.13924401900164</v>
      </c>
      <c r="J1529">
        <f t="shared" si="188"/>
        <v>664.29433963695635</v>
      </c>
      <c r="K1529" s="27">
        <f t="shared" si="189"/>
        <v>-343.46042792180697</v>
      </c>
    </row>
    <row r="1530" spans="1:11">
      <c r="A1530" s="26">
        <v>1480</v>
      </c>
      <c r="B1530" s="82">
        <f t="shared" si="190"/>
        <v>0</v>
      </c>
      <c r="C1530" s="58">
        <f t="shared" si="186"/>
        <v>156.29037528357509</v>
      </c>
      <c r="D1530" s="83">
        <f t="shared" si="191"/>
        <v>666.66666666666663</v>
      </c>
      <c r="E1530">
        <f t="shared" si="187"/>
        <v>0</v>
      </c>
      <c r="G1530">
        <v>1480</v>
      </c>
      <c r="H1530" s="13">
        <f t="shared" si="192"/>
        <v>-7.7831728503952036E-4</v>
      </c>
      <c r="I1530">
        <f t="shared" si="193"/>
        <v>155.1384657017166</v>
      </c>
      <c r="J1530">
        <f t="shared" si="188"/>
        <v>664.2926990440626</v>
      </c>
      <c r="K1530" s="27">
        <f t="shared" si="189"/>
        <v>-343.45873142219426</v>
      </c>
    </row>
    <row r="1531" spans="1:11">
      <c r="A1531" s="26">
        <v>1481</v>
      </c>
      <c r="B1531" s="82">
        <f t="shared" si="190"/>
        <v>0</v>
      </c>
      <c r="C1531" s="58">
        <f t="shared" si="186"/>
        <v>156.29037528357509</v>
      </c>
      <c r="D1531" s="83">
        <f t="shared" si="191"/>
        <v>666.66666666666663</v>
      </c>
      <c r="E1531">
        <f t="shared" si="187"/>
        <v>0</v>
      </c>
      <c r="G1531">
        <v>1481</v>
      </c>
      <c r="H1531" s="13">
        <f t="shared" si="192"/>
        <v>-7.7831728503952036E-4</v>
      </c>
      <c r="I1531">
        <f t="shared" si="193"/>
        <v>155.13768738443156</v>
      </c>
      <c r="J1531">
        <f t="shared" si="188"/>
        <v>664.29105839988131</v>
      </c>
      <c r="K1531" s="27">
        <f t="shared" si="189"/>
        <v>-343.45703487373538</v>
      </c>
    </row>
    <row r="1532" spans="1:11">
      <c r="A1532" s="26">
        <v>1482</v>
      </c>
      <c r="B1532" s="82">
        <f t="shared" si="190"/>
        <v>0</v>
      </c>
      <c r="C1532" s="58">
        <f t="shared" si="186"/>
        <v>156.29037528357509</v>
      </c>
      <c r="D1532" s="83">
        <f t="shared" si="191"/>
        <v>666.66666666666663</v>
      </c>
      <c r="E1532">
        <f t="shared" si="187"/>
        <v>0</v>
      </c>
      <c r="G1532">
        <v>1482</v>
      </c>
      <c r="H1532" s="13">
        <f t="shared" si="192"/>
        <v>-7.7831728503952036E-4</v>
      </c>
      <c r="I1532">
        <f t="shared" si="193"/>
        <v>155.13690906714652</v>
      </c>
      <c r="J1532">
        <f t="shared" si="188"/>
        <v>664.28941770440872</v>
      </c>
      <c r="K1532" s="27">
        <f t="shared" si="189"/>
        <v>-343.45533827642652</v>
      </c>
    </row>
    <row r="1533" spans="1:11">
      <c r="A1533" s="26">
        <v>1483</v>
      </c>
      <c r="B1533" s="82">
        <f t="shared" si="190"/>
        <v>0</v>
      </c>
      <c r="C1533" s="58">
        <f t="shared" si="186"/>
        <v>156.29037528357509</v>
      </c>
      <c r="D1533" s="83">
        <f t="shared" si="191"/>
        <v>666.66666666666663</v>
      </c>
      <c r="E1533">
        <f t="shared" si="187"/>
        <v>0</v>
      </c>
      <c r="G1533">
        <v>1483</v>
      </c>
      <c r="H1533" s="13">
        <f t="shared" si="192"/>
        <v>-7.7831728503952036E-4</v>
      </c>
      <c r="I1533">
        <f t="shared" si="193"/>
        <v>155.13613074986148</v>
      </c>
      <c r="J1533">
        <f t="shared" si="188"/>
        <v>664.28777695764086</v>
      </c>
      <c r="K1533" s="27">
        <f t="shared" si="189"/>
        <v>-343.45364163026403</v>
      </c>
    </row>
    <row r="1534" spans="1:11">
      <c r="A1534" s="26">
        <v>1484</v>
      </c>
      <c r="B1534" s="82">
        <f t="shared" si="190"/>
        <v>0</v>
      </c>
      <c r="C1534" s="58">
        <f t="shared" si="186"/>
        <v>156.29037528357509</v>
      </c>
      <c r="D1534" s="83">
        <f t="shared" si="191"/>
        <v>666.66666666666663</v>
      </c>
      <c r="E1534">
        <f t="shared" si="187"/>
        <v>0</v>
      </c>
      <c r="G1534">
        <v>1484</v>
      </c>
      <c r="H1534" s="13">
        <f t="shared" si="192"/>
        <v>-7.7831728503952036E-4</v>
      </c>
      <c r="I1534">
        <f t="shared" si="193"/>
        <v>155.13535243257644</v>
      </c>
      <c r="J1534">
        <f t="shared" si="188"/>
        <v>664.28613615957374</v>
      </c>
      <c r="K1534" s="27">
        <f t="shared" si="189"/>
        <v>-343.45194493524428</v>
      </c>
    </row>
    <row r="1535" spans="1:11">
      <c r="A1535" s="26">
        <v>1485</v>
      </c>
      <c r="B1535" s="82">
        <f t="shared" si="190"/>
        <v>0</v>
      </c>
      <c r="C1535" s="58">
        <f t="shared" si="186"/>
        <v>156.29037528357509</v>
      </c>
      <c r="D1535" s="83">
        <f t="shared" si="191"/>
        <v>666.66666666666663</v>
      </c>
      <c r="E1535">
        <f t="shared" si="187"/>
        <v>0</v>
      </c>
      <c r="G1535">
        <v>1485</v>
      </c>
      <c r="H1535" s="13">
        <f t="shared" si="192"/>
        <v>-7.7831728503952036E-4</v>
      </c>
      <c r="I1535">
        <f t="shared" si="193"/>
        <v>155.1345741152914</v>
      </c>
      <c r="J1535">
        <f t="shared" si="188"/>
        <v>664.28449531020362</v>
      </c>
      <c r="K1535" s="27">
        <f t="shared" si="189"/>
        <v>-343.45024819136364</v>
      </c>
    </row>
    <row r="1536" spans="1:11">
      <c r="A1536" s="26">
        <v>1486</v>
      </c>
      <c r="B1536" s="82">
        <f t="shared" si="190"/>
        <v>0</v>
      </c>
      <c r="C1536" s="58">
        <f t="shared" si="186"/>
        <v>156.29037528357509</v>
      </c>
      <c r="D1536" s="83">
        <f t="shared" si="191"/>
        <v>666.66666666666663</v>
      </c>
      <c r="E1536">
        <f t="shared" si="187"/>
        <v>0</v>
      </c>
      <c r="G1536">
        <v>1486</v>
      </c>
      <c r="H1536" s="13">
        <f t="shared" si="192"/>
        <v>-7.7831728503952036E-4</v>
      </c>
      <c r="I1536">
        <f t="shared" si="193"/>
        <v>155.13379579800636</v>
      </c>
      <c r="J1536">
        <f t="shared" si="188"/>
        <v>664.28285440952629</v>
      </c>
      <c r="K1536" s="27">
        <f t="shared" si="189"/>
        <v>-343.44855139861824</v>
      </c>
    </row>
    <row r="1537" spans="1:11">
      <c r="A1537" s="26">
        <v>1487</v>
      </c>
      <c r="B1537" s="82">
        <f t="shared" si="190"/>
        <v>0</v>
      </c>
      <c r="C1537" s="58">
        <f t="shared" si="186"/>
        <v>156.29037528357509</v>
      </c>
      <c r="D1537" s="83">
        <f t="shared" si="191"/>
        <v>666.66666666666663</v>
      </c>
      <c r="E1537">
        <f t="shared" si="187"/>
        <v>0</v>
      </c>
      <c r="G1537">
        <v>1487</v>
      </c>
      <c r="H1537" s="13">
        <f t="shared" si="192"/>
        <v>-7.7831728503952036E-4</v>
      </c>
      <c r="I1537">
        <f t="shared" si="193"/>
        <v>155.13301748072132</v>
      </c>
      <c r="J1537">
        <f t="shared" si="188"/>
        <v>664.281213457538</v>
      </c>
      <c r="K1537" s="27">
        <f t="shared" si="189"/>
        <v>-343.4468545570046</v>
      </c>
    </row>
    <row r="1538" spans="1:11">
      <c r="A1538" s="26">
        <v>1488</v>
      </c>
      <c r="B1538" s="82">
        <f t="shared" si="190"/>
        <v>0</v>
      </c>
      <c r="C1538" s="58">
        <f t="shared" si="186"/>
        <v>156.29037528357509</v>
      </c>
      <c r="D1538" s="83">
        <f t="shared" si="191"/>
        <v>666.66666666666663</v>
      </c>
      <c r="E1538">
        <f t="shared" si="187"/>
        <v>0</v>
      </c>
      <c r="G1538">
        <v>1488</v>
      </c>
      <c r="H1538" s="13">
        <f t="shared" si="192"/>
        <v>-7.7831728503952036E-4</v>
      </c>
      <c r="I1538">
        <f t="shared" si="193"/>
        <v>155.13223916343628</v>
      </c>
      <c r="J1538">
        <f t="shared" si="188"/>
        <v>664.27957245423488</v>
      </c>
      <c r="K1538" s="27">
        <f t="shared" si="189"/>
        <v>-343.44515766651915</v>
      </c>
    </row>
    <row r="1539" spans="1:11">
      <c r="A1539" s="26">
        <v>1489</v>
      </c>
      <c r="B1539" s="82">
        <f t="shared" si="190"/>
        <v>0</v>
      </c>
      <c r="C1539" s="58">
        <f t="shared" si="186"/>
        <v>156.29037528357509</v>
      </c>
      <c r="D1539" s="83">
        <f t="shared" si="191"/>
        <v>666.66666666666663</v>
      </c>
      <c r="E1539">
        <f t="shared" si="187"/>
        <v>0</v>
      </c>
      <c r="G1539">
        <v>1489</v>
      </c>
      <c r="H1539" s="13">
        <f t="shared" si="192"/>
        <v>-7.7831728503952036E-4</v>
      </c>
      <c r="I1539">
        <f t="shared" si="193"/>
        <v>155.13146084615124</v>
      </c>
      <c r="J1539">
        <f t="shared" si="188"/>
        <v>664.27793139961284</v>
      </c>
      <c r="K1539" s="27">
        <f t="shared" si="189"/>
        <v>-343.4434607271578</v>
      </c>
    </row>
    <row r="1540" spans="1:11">
      <c r="A1540" s="26">
        <v>1490</v>
      </c>
      <c r="B1540" s="82">
        <f t="shared" si="190"/>
        <v>0</v>
      </c>
      <c r="C1540" s="58">
        <f t="shared" si="186"/>
        <v>156.29037528357509</v>
      </c>
      <c r="D1540" s="83">
        <f t="shared" si="191"/>
        <v>666.66666666666663</v>
      </c>
      <c r="E1540">
        <f t="shared" si="187"/>
        <v>0</v>
      </c>
      <c r="G1540">
        <v>1490</v>
      </c>
      <c r="H1540" s="13">
        <f t="shared" si="192"/>
        <v>-7.7831728503952036E-4</v>
      </c>
      <c r="I1540">
        <f t="shared" si="193"/>
        <v>155.1306825288662</v>
      </c>
      <c r="J1540">
        <f t="shared" si="188"/>
        <v>664.2762902936679</v>
      </c>
      <c r="K1540" s="27">
        <f t="shared" si="189"/>
        <v>-343.44176373891725</v>
      </c>
    </row>
    <row r="1541" spans="1:11">
      <c r="A1541" s="26">
        <v>1491</v>
      </c>
      <c r="B1541" s="82">
        <f t="shared" si="190"/>
        <v>0</v>
      </c>
      <c r="C1541" s="58">
        <f t="shared" si="186"/>
        <v>156.29037528357509</v>
      </c>
      <c r="D1541" s="83">
        <f t="shared" si="191"/>
        <v>666.66666666666663</v>
      </c>
      <c r="E1541">
        <f t="shared" si="187"/>
        <v>0</v>
      </c>
      <c r="G1541">
        <v>1491</v>
      </c>
      <c r="H1541" s="13">
        <f t="shared" si="192"/>
        <v>-7.7831728503952036E-4</v>
      </c>
      <c r="I1541">
        <f t="shared" si="193"/>
        <v>155.12990421158116</v>
      </c>
      <c r="J1541">
        <f t="shared" si="188"/>
        <v>664.27464913639642</v>
      </c>
      <c r="K1541" s="27">
        <f t="shared" si="189"/>
        <v>-343.44006670179391</v>
      </c>
    </row>
    <row r="1542" spans="1:11">
      <c r="A1542" s="26">
        <v>1492</v>
      </c>
      <c r="B1542" s="82">
        <f t="shared" si="190"/>
        <v>0</v>
      </c>
      <c r="C1542" s="58">
        <f t="shared" si="186"/>
        <v>156.29037528357509</v>
      </c>
      <c r="D1542" s="83">
        <f t="shared" si="191"/>
        <v>666.66666666666663</v>
      </c>
      <c r="E1542">
        <f t="shared" si="187"/>
        <v>0</v>
      </c>
      <c r="G1542">
        <v>1492</v>
      </c>
      <c r="H1542" s="13">
        <f t="shared" si="192"/>
        <v>-7.7831728503952036E-4</v>
      </c>
      <c r="I1542">
        <f t="shared" si="193"/>
        <v>155.12912589429612</v>
      </c>
      <c r="J1542">
        <f t="shared" si="188"/>
        <v>664.27300792779431</v>
      </c>
      <c r="K1542" s="27">
        <f t="shared" si="189"/>
        <v>-343.43836961578376</v>
      </c>
    </row>
    <row r="1543" spans="1:11">
      <c r="A1543" s="26">
        <v>1493</v>
      </c>
      <c r="B1543" s="82">
        <f t="shared" si="190"/>
        <v>0</v>
      </c>
      <c r="C1543" s="58">
        <f t="shared" si="186"/>
        <v>156.29037528357509</v>
      </c>
      <c r="D1543" s="83">
        <f t="shared" si="191"/>
        <v>666.66666666666663</v>
      </c>
      <c r="E1543">
        <f t="shared" si="187"/>
        <v>0</v>
      </c>
      <c r="G1543">
        <v>1493</v>
      </c>
      <c r="H1543" s="13">
        <f t="shared" si="192"/>
        <v>-7.7831728503952036E-4</v>
      </c>
      <c r="I1543">
        <f t="shared" si="193"/>
        <v>155.12834757701108</v>
      </c>
      <c r="J1543">
        <f t="shared" si="188"/>
        <v>664.27136666785748</v>
      </c>
      <c r="K1543" s="27">
        <f t="shared" si="189"/>
        <v>-343.43667248088332</v>
      </c>
    </row>
    <row r="1544" spans="1:11">
      <c r="A1544" s="26">
        <v>1494</v>
      </c>
      <c r="B1544" s="82">
        <f t="shared" si="190"/>
        <v>0</v>
      </c>
      <c r="C1544" s="58">
        <f t="shared" si="186"/>
        <v>156.29037528357509</v>
      </c>
      <c r="D1544" s="83">
        <f t="shared" si="191"/>
        <v>666.66666666666663</v>
      </c>
      <c r="E1544">
        <f t="shared" si="187"/>
        <v>0</v>
      </c>
      <c r="G1544">
        <v>1494</v>
      </c>
      <c r="H1544" s="13">
        <f t="shared" si="192"/>
        <v>-7.7831728503952036E-4</v>
      </c>
      <c r="I1544">
        <f t="shared" si="193"/>
        <v>155.12756925972604</v>
      </c>
      <c r="J1544">
        <f t="shared" si="188"/>
        <v>664.26972535658228</v>
      </c>
      <c r="K1544" s="27">
        <f t="shared" si="189"/>
        <v>-343.43497529708884</v>
      </c>
    </row>
    <row r="1545" spans="1:11">
      <c r="A1545" s="26">
        <v>1495</v>
      </c>
      <c r="B1545" s="82">
        <f t="shared" si="190"/>
        <v>0</v>
      </c>
      <c r="C1545" s="58">
        <f t="shared" si="186"/>
        <v>156.29037528357509</v>
      </c>
      <c r="D1545" s="83">
        <f t="shared" si="191"/>
        <v>666.66666666666663</v>
      </c>
      <c r="E1545">
        <f t="shared" si="187"/>
        <v>0</v>
      </c>
      <c r="G1545">
        <v>1495</v>
      </c>
      <c r="H1545" s="13">
        <f t="shared" si="192"/>
        <v>-7.7831728503952036E-4</v>
      </c>
      <c r="I1545">
        <f t="shared" si="193"/>
        <v>155.126790942441</v>
      </c>
      <c r="J1545">
        <f t="shared" si="188"/>
        <v>664.26808399396452</v>
      </c>
      <c r="K1545" s="27">
        <f t="shared" si="189"/>
        <v>-343.4332780643968</v>
      </c>
    </row>
    <row r="1546" spans="1:11">
      <c r="A1546" s="26">
        <v>1496</v>
      </c>
      <c r="B1546" s="82">
        <f t="shared" si="190"/>
        <v>0</v>
      </c>
      <c r="C1546" s="58">
        <f t="shared" si="186"/>
        <v>156.29037528357509</v>
      </c>
      <c r="D1546" s="83">
        <f t="shared" si="191"/>
        <v>666.66666666666663</v>
      </c>
      <c r="E1546">
        <f t="shared" si="187"/>
        <v>0</v>
      </c>
      <c r="G1546">
        <v>1496</v>
      </c>
      <c r="H1546" s="13">
        <f t="shared" si="192"/>
        <v>-7.7831728503952036E-4</v>
      </c>
      <c r="I1546">
        <f t="shared" si="193"/>
        <v>155.12601262515597</v>
      </c>
      <c r="J1546">
        <f t="shared" si="188"/>
        <v>664.26644258000044</v>
      </c>
      <c r="K1546" s="27">
        <f t="shared" si="189"/>
        <v>-343.43158078280322</v>
      </c>
    </row>
    <row r="1547" spans="1:11">
      <c r="A1547" s="26">
        <v>1497</v>
      </c>
      <c r="B1547" s="82">
        <f t="shared" si="190"/>
        <v>0</v>
      </c>
      <c r="C1547" s="58">
        <f t="shared" si="186"/>
        <v>156.29037528357509</v>
      </c>
      <c r="D1547" s="83">
        <f t="shared" si="191"/>
        <v>666.66666666666663</v>
      </c>
      <c r="E1547">
        <f t="shared" si="187"/>
        <v>0</v>
      </c>
      <c r="G1547">
        <v>1497</v>
      </c>
      <c r="H1547" s="13">
        <f t="shared" si="192"/>
        <v>-7.7831728503952036E-4</v>
      </c>
      <c r="I1547">
        <f t="shared" si="193"/>
        <v>155.12523430787093</v>
      </c>
      <c r="J1547">
        <f t="shared" si="188"/>
        <v>664.26480111468595</v>
      </c>
      <c r="K1547" s="27">
        <f t="shared" si="189"/>
        <v>-343.42988345230475</v>
      </c>
    </row>
    <row r="1548" spans="1:11">
      <c r="A1548" s="26">
        <v>1498</v>
      </c>
      <c r="B1548" s="82">
        <f t="shared" si="190"/>
        <v>0</v>
      </c>
      <c r="C1548" s="58">
        <f t="shared" si="186"/>
        <v>156.29037528357509</v>
      </c>
      <c r="D1548" s="83">
        <f t="shared" si="191"/>
        <v>666.66666666666663</v>
      </c>
      <c r="E1548">
        <f t="shared" si="187"/>
        <v>0</v>
      </c>
      <c r="G1548">
        <v>1498</v>
      </c>
      <c r="H1548" s="13">
        <f t="shared" si="192"/>
        <v>-7.7831728503952036E-4</v>
      </c>
      <c r="I1548">
        <f t="shared" si="193"/>
        <v>155.12445599058589</v>
      </c>
      <c r="J1548">
        <f t="shared" si="188"/>
        <v>664.26315959801741</v>
      </c>
      <c r="K1548" s="27">
        <f t="shared" si="189"/>
        <v>-343.42818607289769</v>
      </c>
    </row>
    <row r="1549" spans="1:11">
      <c r="A1549" s="26">
        <v>1499</v>
      </c>
      <c r="B1549" s="82">
        <f t="shared" si="190"/>
        <v>0</v>
      </c>
      <c r="C1549" s="58">
        <f t="shared" si="186"/>
        <v>156.29037528357509</v>
      </c>
      <c r="D1549" s="83">
        <f t="shared" si="191"/>
        <v>666.66666666666663</v>
      </c>
      <c r="E1549">
        <f t="shared" si="187"/>
        <v>0</v>
      </c>
      <c r="G1549">
        <v>1499</v>
      </c>
      <c r="H1549" s="13">
        <f t="shared" si="192"/>
        <v>-7.7831728503952036E-4</v>
      </c>
      <c r="I1549">
        <f t="shared" si="193"/>
        <v>155.12367767330085</v>
      </c>
      <c r="J1549">
        <f t="shared" si="188"/>
        <v>664.2615180299905</v>
      </c>
      <c r="K1549" s="27">
        <f t="shared" si="189"/>
        <v>-343.42648864457823</v>
      </c>
    </row>
    <row r="1550" spans="1:11">
      <c r="A1550" s="26">
        <v>1500</v>
      </c>
      <c r="B1550" s="82">
        <f t="shared" si="190"/>
        <v>0</v>
      </c>
      <c r="C1550" s="58">
        <f t="shared" si="186"/>
        <v>156.29037528357509</v>
      </c>
      <c r="D1550" s="83">
        <f t="shared" si="191"/>
        <v>666.66666666666663</v>
      </c>
      <c r="E1550">
        <f t="shared" si="187"/>
        <v>0</v>
      </c>
      <c r="G1550">
        <v>1500</v>
      </c>
      <c r="H1550" s="13">
        <f t="shared" si="192"/>
        <v>-7.7831728503952036E-4</v>
      </c>
      <c r="I1550">
        <f t="shared" si="193"/>
        <v>155.12289935601581</v>
      </c>
      <c r="J1550">
        <f t="shared" si="188"/>
        <v>664.25987641060158</v>
      </c>
      <c r="K1550" s="27">
        <f t="shared" si="189"/>
        <v>-343.42479116734262</v>
      </c>
    </row>
    <row r="1551" spans="1:11">
      <c r="A1551" s="26">
        <v>1501</v>
      </c>
      <c r="B1551" s="82">
        <f t="shared" si="190"/>
        <v>0</v>
      </c>
      <c r="C1551" s="58">
        <f t="shared" si="186"/>
        <v>156.29037528357509</v>
      </c>
      <c r="D1551" s="83">
        <f t="shared" si="191"/>
        <v>666.66666666666663</v>
      </c>
      <c r="E1551">
        <f t="shared" si="187"/>
        <v>0</v>
      </c>
      <c r="G1551">
        <v>1501</v>
      </c>
      <c r="H1551" s="13">
        <f t="shared" si="192"/>
        <v>-7.7831728503952036E-4</v>
      </c>
      <c r="I1551">
        <f t="shared" si="193"/>
        <v>155.12212103873077</v>
      </c>
      <c r="J1551">
        <f t="shared" si="188"/>
        <v>664.25823473984656</v>
      </c>
      <c r="K1551" s="27">
        <f t="shared" si="189"/>
        <v>-343.42309364118734</v>
      </c>
    </row>
    <row r="1552" spans="1:11">
      <c r="A1552" s="26">
        <v>1502</v>
      </c>
      <c r="B1552" s="82">
        <f t="shared" si="190"/>
        <v>0</v>
      </c>
      <c r="C1552" s="58">
        <f t="shared" ref="C1552:C1615" si="194">($C$37-$C$36)/2000+C1551</f>
        <v>156.29037528357509</v>
      </c>
      <c r="D1552" s="83">
        <f t="shared" si="191"/>
        <v>666.66666666666663</v>
      </c>
      <c r="E1552">
        <f t="shared" si="187"/>
        <v>0</v>
      </c>
      <c r="G1552">
        <v>1502</v>
      </c>
      <c r="H1552" s="13">
        <f t="shared" si="192"/>
        <v>-7.7831728503952036E-4</v>
      </c>
      <c r="I1552">
        <f t="shared" si="193"/>
        <v>155.12134272144573</v>
      </c>
      <c r="J1552">
        <f t="shared" si="188"/>
        <v>664.25659301772157</v>
      </c>
      <c r="K1552" s="27">
        <f t="shared" si="189"/>
        <v>-343.42139606610868</v>
      </c>
    </row>
    <row r="1553" spans="1:11">
      <c r="A1553" s="26">
        <v>1503</v>
      </c>
      <c r="B1553" s="82">
        <f t="shared" si="190"/>
        <v>0</v>
      </c>
      <c r="C1553" s="58">
        <f t="shared" si="194"/>
        <v>156.29037528357509</v>
      </c>
      <c r="D1553" s="83">
        <f t="shared" si="191"/>
        <v>666.66666666666663</v>
      </c>
      <c r="E1553">
        <f t="shared" si="187"/>
        <v>0</v>
      </c>
      <c r="G1553">
        <v>1503</v>
      </c>
      <c r="H1553" s="13">
        <f t="shared" si="192"/>
        <v>-7.7831728503952036E-4</v>
      </c>
      <c r="I1553">
        <f t="shared" si="193"/>
        <v>155.12056440416069</v>
      </c>
      <c r="J1553">
        <f t="shared" si="188"/>
        <v>664.25495124422264</v>
      </c>
      <c r="K1553" s="27">
        <f t="shared" si="189"/>
        <v>-343.41969844210297</v>
      </c>
    </row>
    <row r="1554" spans="1:11">
      <c r="A1554" s="26">
        <v>1504</v>
      </c>
      <c r="B1554" s="82">
        <f t="shared" si="190"/>
        <v>0</v>
      </c>
      <c r="C1554" s="58">
        <f t="shared" si="194"/>
        <v>156.29037528357509</v>
      </c>
      <c r="D1554" s="83">
        <f t="shared" si="191"/>
        <v>666.66666666666663</v>
      </c>
      <c r="E1554">
        <f t="shared" si="187"/>
        <v>0</v>
      </c>
      <c r="G1554">
        <v>1504</v>
      </c>
      <c r="H1554" s="13">
        <f t="shared" si="192"/>
        <v>-7.7831728503952036E-4</v>
      </c>
      <c r="I1554">
        <f t="shared" si="193"/>
        <v>155.11978608687565</v>
      </c>
      <c r="J1554">
        <f t="shared" si="188"/>
        <v>664.2533094193459</v>
      </c>
      <c r="K1554" s="27">
        <f t="shared" si="189"/>
        <v>-343.41800076916655</v>
      </c>
    </row>
    <row r="1555" spans="1:11">
      <c r="A1555" s="26">
        <v>1505</v>
      </c>
      <c r="B1555" s="82">
        <f t="shared" si="190"/>
        <v>0</v>
      </c>
      <c r="C1555" s="58">
        <f t="shared" si="194"/>
        <v>156.29037528357509</v>
      </c>
      <c r="D1555" s="83">
        <f t="shared" si="191"/>
        <v>666.66666666666663</v>
      </c>
      <c r="E1555">
        <f t="shared" si="187"/>
        <v>0</v>
      </c>
      <c r="G1555">
        <v>1505</v>
      </c>
      <c r="H1555" s="13">
        <f t="shared" si="192"/>
        <v>-7.7831728503952036E-4</v>
      </c>
      <c r="I1555">
        <f t="shared" si="193"/>
        <v>155.11900776959061</v>
      </c>
      <c r="J1555">
        <f t="shared" si="188"/>
        <v>664.25166754308725</v>
      </c>
      <c r="K1555" s="27">
        <f t="shared" si="189"/>
        <v>-343.41630304729551</v>
      </c>
    </row>
    <row r="1556" spans="1:11">
      <c r="A1556" s="26">
        <v>1506</v>
      </c>
      <c r="B1556" s="82">
        <f t="shared" si="190"/>
        <v>0</v>
      </c>
      <c r="C1556" s="58">
        <f t="shared" si="194"/>
        <v>156.29037528357509</v>
      </c>
      <c r="D1556" s="83">
        <f t="shared" si="191"/>
        <v>666.66666666666663</v>
      </c>
      <c r="E1556">
        <f t="shared" si="187"/>
        <v>0</v>
      </c>
      <c r="G1556">
        <v>1506</v>
      </c>
      <c r="H1556" s="13">
        <f t="shared" si="192"/>
        <v>-7.7831728503952036E-4</v>
      </c>
      <c r="I1556">
        <f t="shared" si="193"/>
        <v>155.11822945230557</v>
      </c>
      <c r="J1556">
        <f t="shared" si="188"/>
        <v>664.25002561544284</v>
      </c>
      <c r="K1556" s="27">
        <f t="shared" si="189"/>
        <v>-343.4146052764865</v>
      </c>
    </row>
    <row r="1557" spans="1:11">
      <c r="A1557" s="26">
        <v>1507</v>
      </c>
      <c r="B1557" s="82">
        <f t="shared" si="190"/>
        <v>0</v>
      </c>
      <c r="C1557" s="58">
        <f t="shared" si="194"/>
        <v>156.29037528357509</v>
      </c>
      <c r="D1557" s="83">
        <f t="shared" si="191"/>
        <v>666.66666666666663</v>
      </c>
      <c r="E1557">
        <f t="shared" si="187"/>
        <v>0</v>
      </c>
      <c r="G1557">
        <v>1507</v>
      </c>
      <c r="H1557" s="13">
        <f t="shared" si="192"/>
        <v>-7.7831728503952036E-4</v>
      </c>
      <c r="I1557">
        <f t="shared" si="193"/>
        <v>155.11745113502053</v>
      </c>
      <c r="J1557">
        <f t="shared" si="188"/>
        <v>664.2483836364089</v>
      </c>
      <c r="K1557" s="27">
        <f t="shared" si="189"/>
        <v>-343.4129074567357</v>
      </c>
    </row>
    <row r="1558" spans="1:11">
      <c r="A1558" s="26">
        <v>1508</v>
      </c>
      <c r="B1558" s="82">
        <f t="shared" si="190"/>
        <v>0</v>
      </c>
      <c r="C1558" s="58">
        <f t="shared" si="194"/>
        <v>156.29037528357509</v>
      </c>
      <c r="D1558" s="83">
        <f t="shared" si="191"/>
        <v>666.66666666666663</v>
      </c>
      <c r="E1558">
        <f t="shared" si="187"/>
        <v>0</v>
      </c>
      <c r="G1558">
        <v>1508</v>
      </c>
      <c r="H1558" s="13">
        <f t="shared" si="192"/>
        <v>-7.7831728503952036E-4</v>
      </c>
      <c r="I1558">
        <f t="shared" si="193"/>
        <v>155.11667281773549</v>
      </c>
      <c r="J1558">
        <f t="shared" si="188"/>
        <v>664.24674160598124</v>
      </c>
      <c r="K1558" s="27">
        <f t="shared" si="189"/>
        <v>-343.41120958803941</v>
      </c>
    </row>
    <row r="1559" spans="1:11">
      <c r="A1559" s="26">
        <v>1509</v>
      </c>
      <c r="B1559" s="82">
        <f t="shared" si="190"/>
        <v>0</v>
      </c>
      <c r="C1559" s="58">
        <f t="shared" si="194"/>
        <v>156.29037528357509</v>
      </c>
      <c r="D1559" s="83">
        <f t="shared" si="191"/>
        <v>666.66666666666663</v>
      </c>
      <c r="E1559">
        <f t="shared" si="187"/>
        <v>0</v>
      </c>
      <c r="G1559">
        <v>1509</v>
      </c>
      <c r="H1559" s="13">
        <f t="shared" si="192"/>
        <v>-7.7831728503952036E-4</v>
      </c>
      <c r="I1559">
        <f t="shared" si="193"/>
        <v>155.11589450045045</v>
      </c>
      <c r="J1559">
        <f t="shared" si="188"/>
        <v>664.24509952415599</v>
      </c>
      <c r="K1559" s="27">
        <f t="shared" si="189"/>
        <v>-343.4095116703939</v>
      </c>
    </row>
    <row r="1560" spans="1:11">
      <c r="A1560" s="26">
        <v>1510</v>
      </c>
      <c r="B1560" s="82">
        <f t="shared" si="190"/>
        <v>0</v>
      </c>
      <c r="C1560" s="58">
        <f t="shared" si="194"/>
        <v>156.29037528357509</v>
      </c>
      <c r="D1560" s="83">
        <f t="shared" si="191"/>
        <v>666.66666666666663</v>
      </c>
      <c r="E1560">
        <f t="shared" si="187"/>
        <v>0</v>
      </c>
      <c r="G1560">
        <v>1510</v>
      </c>
      <c r="H1560" s="13">
        <f t="shared" si="192"/>
        <v>-7.7831728503952036E-4</v>
      </c>
      <c r="I1560">
        <f t="shared" si="193"/>
        <v>155.11511618316541</v>
      </c>
      <c r="J1560">
        <f t="shared" si="188"/>
        <v>664.24345739092928</v>
      </c>
      <c r="K1560" s="27">
        <f t="shared" si="189"/>
        <v>-343.40781370379568</v>
      </c>
    </row>
    <row r="1561" spans="1:11">
      <c r="A1561" s="26">
        <v>1511</v>
      </c>
      <c r="B1561" s="82">
        <f t="shared" si="190"/>
        <v>0</v>
      </c>
      <c r="C1561" s="58">
        <f t="shared" si="194"/>
        <v>156.29037528357509</v>
      </c>
      <c r="D1561" s="83">
        <f t="shared" si="191"/>
        <v>666.66666666666663</v>
      </c>
      <c r="E1561">
        <f t="shared" si="187"/>
        <v>0</v>
      </c>
      <c r="G1561">
        <v>1511</v>
      </c>
      <c r="H1561" s="13">
        <f t="shared" si="192"/>
        <v>-7.7831728503952036E-4</v>
      </c>
      <c r="I1561">
        <f t="shared" si="193"/>
        <v>155.11433786588037</v>
      </c>
      <c r="J1561">
        <f t="shared" si="188"/>
        <v>664.24181520629713</v>
      </c>
      <c r="K1561" s="27">
        <f t="shared" si="189"/>
        <v>-343.40611568824079</v>
      </c>
    </row>
    <row r="1562" spans="1:11">
      <c r="A1562" s="26">
        <v>1512</v>
      </c>
      <c r="B1562" s="82">
        <f t="shared" si="190"/>
        <v>0</v>
      </c>
      <c r="C1562" s="58">
        <f t="shared" si="194"/>
        <v>156.29037528357509</v>
      </c>
      <c r="D1562" s="83">
        <f t="shared" si="191"/>
        <v>666.66666666666663</v>
      </c>
      <c r="E1562">
        <f t="shared" si="187"/>
        <v>0</v>
      </c>
      <c r="G1562">
        <v>1512</v>
      </c>
      <c r="H1562" s="13">
        <f t="shared" si="192"/>
        <v>-7.7831728503952036E-4</v>
      </c>
      <c r="I1562">
        <f t="shared" si="193"/>
        <v>155.11355954859533</v>
      </c>
      <c r="J1562">
        <f t="shared" si="188"/>
        <v>664.24017297025546</v>
      </c>
      <c r="K1562" s="27">
        <f t="shared" si="189"/>
        <v>-343.40441762372581</v>
      </c>
    </row>
    <row r="1563" spans="1:11">
      <c r="A1563" s="26">
        <v>1513</v>
      </c>
      <c r="B1563" s="82">
        <f t="shared" si="190"/>
        <v>0</v>
      </c>
      <c r="C1563" s="58">
        <f t="shared" si="194"/>
        <v>156.29037528357509</v>
      </c>
      <c r="D1563" s="83">
        <f t="shared" si="191"/>
        <v>666.66666666666663</v>
      </c>
      <c r="E1563">
        <f t="shared" si="187"/>
        <v>0</v>
      </c>
      <c r="G1563">
        <v>1513</v>
      </c>
      <c r="H1563" s="13">
        <f t="shared" si="192"/>
        <v>-7.7831728503952036E-4</v>
      </c>
      <c r="I1563">
        <f t="shared" si="193"/>
        <v>155.11278123131029</v>
      </c>
      <c r="J1563">
        <f t="shared" si="188"/>
        <v>664.23853068280062</v>
      </c>
      <c r="K1563" s="27">
        <f t="shared" si="189"/>
        <v>-343.40271951024692</v>
      </c>
    </row>
    <row r="1564" spans="1:11">
      <c r="A1564" s="26">
        <v>1514</v>
      </c>
      <c r="B1564" s="82">
        <f t="shared" si="190"/>
        <v>0</v>
      </c>
      <c r="C1564" s="58">
        <f t="shared" si="194"/>
        <v>156.29037528357509</v>
      </c>
      <c r="D1564" s="83">
        <f t="shared" si="191"/>
        <v>666.66666666666663</v>
      </c>
      <c r="E1564">
        <f t="shared" si="187"/>
        <v>0</v>
      </c>
      <c r="G1564">
        <v>1514</v>
      </c>
      <c r="H1564" s="13">
        <f t="shared" si="192"/>
        <v>-7.7831728503952036E-4</v>
      </c>
      <c r="I1564">
        <f t="shared" si="193"/>
        <v>155.11200291402525</v>
      </c>
      <c r="J1564">
        <f t="shared" si="188"/>
        <v>664.2368883439284</v>
      </c>
      <c r="K1564" s="27">
        <f t="shared" si="189"/>
        <v>-343.40102134780051</v>
      </c>
    </row>
    <row r="1565" spans="1:11">
      <c r="A1565" s="26">
        <v>1515</v>
      </c>
      <c r="B1565" s="82">
        <f t="shared" si="190"/>
        <v>0</v>
      </c>
      <c r="C1565" s="58">
        <f t="shared" si="194"/>
        <v>156.29037528357509</v>
      </c>
      <c r="D1565" s="83">
        <f t="shared" si="191"/>
        <v>666.66666666666663</v>
      </c>
      <c r="E1565">
        <f t="shared" si="187"/>
        <v>0</v>
      </c>
      <c r="G1565">
        <v>1515</v>
      </c>
      <c r="H1565" s="13">
        <f t="shared" si="192"/>
        <v>-7.7831728503952036E-4</v>
      </c>
      <c r="I1565">
        <f t="shared" si="193"/>
        <v>155.11122459674021</v>
      </c>
      <c r="J1565">
        <f t="shared" si="188"/>
        <v>664.23524595363506</v>
      </c>
      <c r="K1565" s="27">
        <f t="shared" si="189"/>
        <v>-343.39932313638286</v>
      </c>
    </row>
    <row r="1566" spans="1:11">
      <c r="A1566" s="26">
        <v>1516</v>
      </c>
      <c r="B1566" s="82">
        <f t="shared" si="190"/>
        <v>0</v>
      </c>
      <c r="C1566" s="58">
        <f t="shared" si="194"/>
        <v>156.29037528357509</v>
      </c>
      <c r="D1566" s="83">
        <f t="shared" si="191"/>
        <v>666.66666666666663</v>
      </c>
      <c r="E1566">
        <f t="shared" si="187"/>
        <v>0</v>
      </c>
      <c r="G1566">
        <v>1516</v>
      </c>
      <c r="H1566" s="13">
        <f t="shared" si="192"/>
        <v>-7.7831728503952036E-4</v>
      </c>
      <c r="I1566">
        <f t="shared" si="193"/>
        <v>155.11044627945518</v>
      </c>
      <c r="J1566">
        <f t="shared" si="188"/>
        <v>664.2336035119165</v>
      </c>
      <c r="K1566" s="27">
        <f t="shared" si="189"/>
        <v>-343.39762487599023</v>
      </c>
    </row>
    <row r="1567" spans="1:11">
      <c r="A1567" s="26">
        <v>1517</v>
      </c>
      <c r="B1567" s="82">
        <f t="shared" si="190"/>
        <v>0</v>
      </c>
      <c r="C1567" s="58">
        <f t="shared" si="194"/>
        <v>156.29037528357509</v>
      </c>
      <c r="D1567" s="83">
        <f t="shared" si="191"/>
        <v>666.66666666666663</v>
      </c>
      <c r="E1567">
        <f t="shared" si="187"/>
        <v>0</v>
      </c>
      <c r="G1567">
        <v>1517</v>
      </c>
      <c r="H1567" s="13">
        <f t="shared" si="192"/>
        <v>-7.7831728503952036E-4</v>
      </c>
      <c r="I1567">
        <f t="shared" si="193"/>
        <v>155.10966796217014</v>
      </c>
      <c r="J1567">
        <f t="shared" si="188"/>
        <v>664.23196101876874</v>
      </c>
      <c r="K1567" s="27">
        <f t="shared" si="189"/>
        <v>-343.39592656661898</v>
      </c>
    </row>
    <row r="1568" spans="1:11">
      <c r="A1568" s="26">
        <v>1518</v>
      </c>
      <c r="B1568" s="82">
        <f t="shared" si="190"/>
        <v>0</v>
      </c>
      <c r="C1568" s="58">
        <f t="shared" si="194"/>
        <v>156.29037528357509</v>
      </c>
      <c r="D1568" s="83">
        <f t="shared" si="191"/>
        <v>666.66666666666663</v>
      </c>
      <c r="E1568">
        <f t="shared" si="187"/>
        <v>0</v>
      </c>
      <c r="G1568">
        <v>1518</v>
      </c>
      <c r="H1568" s="13">
        <f t="shared" si="192"/>
        <v>-7.7831728503952036E-4</v>
      </c>
      <c r="I1568">
        <f t="shared" si="193"/>
        <v>155.1088896448851</v>
      </c>
      <c r="J1568">
        <f t="shared" si="188"/>
        <v>664.23031847418804</v>
      </c>
      <c r="K1568" s="27">
        <f t="shared" si="189"/>
        <v>-343.39422820826536</v>
      </c>
    </row>
    <row r="1569" spans="1:11">
      <c r="A1569" s="26">
        <v>1519</v>
      </c>
      <c r="B1569" s="82">
        <f t="shared" si="190"/>
        <v>0</v>
      </c>
      <c r="C1569" s="58">
        <f t="shared" si="194"/>
        <v>156.29037528357509</v>
      </c>
      <c r="D1569" s="83">
        <f t="shared" si="191"/>
        <v>666.66666666666663</v>
      </c>
      <c r="E1569">
        <f t="shared" si="187"/>
        <v>0</v>
      </c>
      <c r="G1569">
        <v>1519</v>
      </c>
      <c r="H1569" s="13">
        <f t="shared" si="192"/>
        <v>-7.7831728503952036E-4</v>
      </c>
      <c r="I1569">
        <f t="shared" si="193"/>
        <v>155.10811132760006</v>
      </c>
      <c r="J1569">
        <f t="shared" si="188"/>
        <v>664.22867587817029</v>
      </c>
      <c r="K1569" s="27">
        <f t="shared" si="189"/>
        <v>-343.39252980092584</v>
      </c>
    </row>
    <row r="1570" spans="1:11">
      <c r="A1570" s="26">
        <v>1520</v>
      </c>
      <c r="B1570" s="82">
        <f t="shared" si="190"/>
        <v>0</v>
      </c>
      <c r="C1570" s="58">
        <f t="shared" si="194"/>
        <v>156.29037528357509</v>
      </c>
      <c r="D1570" s="83">
        <f t="shared" si="191"/>
        <v>666.66666666666663</v>
      </c>
      <c r="E1570">
        <f t="shared" si="187"/>
        <v>0</v>
      </c>
      <c r="G1570">
        <v>1520</v>
      </c>
      <c r="H1570" s="13">
        <f t="shared" si="192"/>
        <v>-7.7831728503952036E-4</v>
      </c>
      <c r="I1570">
        <f t="shared" si="193"/>
        <v>155.10733301031502</v>
      </c>
      <c r="J1570">
        <f t="shared" si="188"/>
        <v>664.22703323071164</v>
      </c>
      <c r="K1570" s="27">
        <f t="shared" si="189"/>
        <v>-343.39083134459673</v>
      </c>
    </row>
    <row r="1571" spans="1:11">
      <c r="A1571" s="26">
        <v>1521</v>
      </c>
      <c r="B1571" s="82">
        <f t="shared" si="190"/>
        <v>0</v>
      </c>
      <c r="C1571" s="58">
        <f t="shared" si="194"/>
        <v>156.29037528357509</v>
      </c>
      <c r="D1571" s="83">
        <f t="shared" si="191"/>
        <v>666.66666666666663</v>
      </c>
      <c r="E1571">
        <f t="shared" si="187"/>
        <v>0</v>
      </c>
      <c r="G1571">
        <v>1521</v>
      </c>
      <c r="H1571" s="13">
        <f t="shared" si="192"/>
        <v>-7.7831728503952036E-4</v>
      </c>
      <c r="I1571">
        <f t="shared" si="193"/>
        <v>155.10655469302998</v>
      </c>
      <c r="J1571">
        <f t="shared" si="188"/>
        <v>664.22539053180799</v>
      </c>
      <c r="K1571" s="27">
        <f t="shared" si="189"/>
        <v>-343.38913283927417</v>
      </c>
    </row>
    <row r="1572" spans="1:11">
      <c r="A1572" s="26">
        <v>1522</v>
      </c>
      <c r="B1572" s="82">
        <f t="shared" si="190"/>
        <v>0</v>
      </c>
      <c r="C1572" s="58">
        <f t="shared" si="194"/>
        <v>156.29037528357509</v>
      </c>
      <c r="D1572" s="83">
        <f t="shared" si="191"/>
        <v>666.66666666666663</v>
      </c>
      <c r="E1572">
        <f t="shared" si="187"/>
        <v>0</v>
      </c>
      <c r="G1572">
        <v>1522</v>
      </c>
      <c r="H1572" s="13">
        <f t="shared" si="192"/>
        <v>-7.7831728503952036E-4</v>
      </c>
      <c r="I1572">
        <f t="shared" si="193"/>
        <v>155.10577637574494</v>
      </c>
      <c r="J1572">
        <f t="shared" si="188"/>
        <v>664.22374778145559</v>
      </c>
      <c r="K1572" s="27">
        <f t="shared" si="189"/>
        <v>-343.38743428495451</v>
      </c>
    </row>
    <row r="1573" spans="1:11">
      <c r="A1573" s="26">
        <v>1523</v>
      </c>
      <c r="B1573" s="82">
        <f t="shared" si="190"/>
        <v>0</v>
      </c>
      <c r="C1573" s="58">
        <f t="shared" si="194"/>
        <v>156.29037528357509</v>
      </c>
      <c r="D1573" s="83">
        <f t="shared" si="191"/>
        <v>666.66666666666663</v>
      </c>
      <c r="E1573">
        <f t="shared" si="187"/>
        <v>0</v>
      </c>
      <c r="G1573">
        <v>1523</v>
      </c>
      <c r="H1573" s="13">
        <f t="shared" si="192"/>
        <v>-7.7831728503952036E-4</v>
      </c>
      <c r="I1573">
        <f t="shared" si="193"/>
        <v>155.1049980584599</v>
      </c>
      <c r="J1573">
        <f t="shared" si="188"/>
        <v>664.22210497965045</v>
      </c>
      <c r="K1573" s="27">
        <f t="shared" si="189"/>
        <v>-343.38573568163423</v>
      </c>
    </row>
    <row r="1574" spans="1:11">
      <c r="A1574" s="26">
        <v>1524</v>
      </c>
      <c r="B1574" s="82">
        <f t="shared" si="190"/>
        <v>0</v>
      </c>
      <c r="C1574" s="58">
        <f t="shared" si="194"/>
        <v>156.29037528357509</v>
      </c>
      <c r="D1574" s="83">
        <f t="shared" si="191"/>
        <v>666.66666666666663</v>
      </c>
      <c r="E1574">
        <f t="shared" si="187"/>
        <v>0</v>
      </c>
      <c r="G1574">
        <v>1524</v>
      </c>
      <c r="H1574" s="13">
        <f t="shared" si="192"/>
        <v>-7.7831728503952036E-4</v>
      </c>
      <c r="I1574">
        <f t="shared" si="193"/>
        <v>155.10421974117486</v>
      </c>
      <c r="J1574">
        <f t="shared" si="188"/>
        <v>664.2204621263885</v>
      </c>
      <c r="K1574" s="27">
        <f t="shared" si="189"/>
        <v>-343.38403702930958</v>
      </c>
    </row>
    <row r="1575" spans="1:11">
      <c r="A1575" s="26">
        <v>1525</v>
      </c>
      <c r="B1575" s="82">
        <f t="shared" si="190"/>
        <v>0</v>
      </c>
      <c r="C1575" s="58">
        <f t="shared" si="194"/>
        <v>156.29037528357509</v>
      </c>
      <c r="D1575" s="83">
        <f t="shared" si="191"/>
        <v>666.66666666666663</v>
      </c>
      <c r="E1575">
        <f t="shared" si="187"/>
        <v>0</v>
      </c>
      <c r="G1575">
        <v>1525</v>
      </c>
      <c r="H1575" s="13">
        <f t="shared" si="192"/>
        <v>-7.7831728503952036E-4</v>
      </c>
      <c r="I1575">
        <f t="shared" si="193"/>
        <v>155.10344142388982</v>
      </c>
      <c r="J1575">
        <f t="shared" si="188"/>
        <v>664.21881922166585</v>
      </c>
      <c r="K1575" s="27">
        <f t="shared" si="189"/>
        <v>-343.38233832797664</v>
      </c>
    </row>
    <row r="1576" spans="1:11">
      <c r="A1576" s="26">
        <v>1526</v>
      </c>
      <c r="B1576" s="82">
        <f t="shared" si="190"/>
        <v>0</v>
      </c>
      <c r="C1576" s="58">
        <f t="shared" si="194"/>
        <v>156.29037528357509</v>
      </c>
      <c r="D1576" s="83">
        <f t="shared" si="191"/>
        <v>666.66666666666663</v>
      </c>
      <c r="E1576">
        <f t="shared" si="187"/>
        <v>0</v>
      </c>
      <c r="G1576">
        <v>1526</v>
      </c>
      <c r="H1576" s="13">
        <f t="shared" si="192"/>
        <v>-7.7831728503952036E-4</v>
      </c>
      <c r="I1576">
        <f t="shared" si="193"/>
        <v>155.10266310660478</v>
      </c>
      <c r="J1576">
        <f t="shared" si="188"/>
        <v>664.21717626547854</v>
      </c>
      <c r="K1576" s="27">
        <f t="shared" si="189"/>
        <v>-343.38063957763194</v>
      </c>
    </row>
    <row r="1577" spans="1:11">
      <c r="A1577" s="26">
        <v>1527</v>
      </c>
      <c r="B1577" s="82">
        <f t="shared" si="190"/>
        <v>0</v>
      </c>
      <c r="C1577" s="58">
        <f t="shared" si="194"/>
        <v>156.29037528357509</v>
      </c>
      <c r="D1577" s="83">
        <f t="shared" si="191"/>
        <v>666.66666666666663</v>
      </c>
      <c r="E1577">
        <f t="shared" si="187"/>
        <v>0</v>
      </c>
      <c r="G1577">
        <v>1527</v>
      </c>
      <c r="H1577" s="13">
        <f t="shared" si="192"/>
        <v>-7.7831728503952036E-4</v>
      </c>
      <c r="I1577">
        <f t="shared" si="193"/>
        <v>155.10188478931974</v>
      </c>
      <c r="J1577">
        <f t="shared" si="188"/>
        <v>664.2155332578227</v>
      </c>
      <c r="K1577" s="27">
        <f t="shared" si="189"/>
        <v>-343.3789407782719</v>
      </c>
    </row>
    <row r="1578" spans="1:11">
      <c r="A1578" s="26">
        <v>1528</v>
      </c>
      <c r="B1578" s="82">
        <f t="shared" si="190"/>
        <v>0</v>
      </c>
      <c r="C1578" s="58">
        <f t="shared" si="194"/>
        <v>156.29037528357509</v>
      </c>
      <c r="D1578" s="83">
        <f t="shared" si="191"/>
        <v>666.66666666666663</v>
      </c>
      <c r="E1578">
        <f t="shared" si="187"/>
        <v>0</v>
      </c>
      <c r="G1578">
        <v>1528</v>
      </c>
      <c r="H1578" s="13">
        <f t="shared" si="192"/>
        <v>-7.7831728503952036E-4</v>
      </c>
      <c r="I1578">
        <f t="shared" si="193"/>
        <v>155.1011064720347</v>
      </c>
      <c r="J1578">
        <f t="shared" si="188"/>
        <v>664.21389019869434</v>
      </c>
      <c r="K1578" s="27">
        <f t="shared" si="189"/>
        <v>-343.37724192989248</v>
      </c>
    </row>
    <row r="1579" spans="1:11">
      <c r="A1579" s="26">
        <v>1529</v>
      </c>
      <c r="B1579" s="82">
        <f t="shared" si="190"/>
        <v>0</v>
      </c>
      <c r="C1579" s="58">
        <f t="shared" si="194"/>
        <v>156.29037528357509</v>
      </c>
      <c r="D1579" s="83">
        <f t="shared" si="191"/>
        <v>666.66666666666663</v>
      </c>
      <c r="E1579">
        <f t="shared" si="187"/>
        <v>0</v>
      </c>
      <c r="G1579">
        <v>1529</v>
      </c>
      <c r="H1579" s="13">
        <f t="shared" si="192"/>
        <v>-7.7831728503952036E-4</v>
      </c>
      <c r="I1579">
        <f t="shared" si="193"/>
        <v>155.10032815474966</v>
      </c>
      <c r="J1579">
        <f t="shared" si="188"/>
        <v>664.21224708808938</v>
      </c>
      <c r="K1579" s="27">
        <f t="shared" si="189"/>
        <v>-343.37554303249021</v>
      </c>
    </row>
    <row r="1580" spans="1:11">
      <c r="A1580" s="26">
        <v>1530</v>
      </c>
      <c r="B1580" s="82">
        <f t="shared" si="190"/>
        <v>0</v>
      </c>
      <c r="C1580" s="58">
        <f t="shared" si="194"/>
        <v>156.29037528357509</v>
      </c>
      <c r="D1580" s="83">
        <f t="shared" si="191"/>
        <v>666.66666666666663</v>
      </c>
      <c r="E1580">
        <f t="shared" si="187"/>
        <v>0</v>
      </c>
      <c r="G1580">
        <v>1530</v>
      </c>
      <c r="H1580" s="13">
        <f t="shared" si="192"/>
        <v>-7.7831728503952036E-4</v>
      </c>
      <c r="I1580">
        <f t="shared" si="193"/>
        <v>155.09954983746462</v>
      </c>
      <c r="J1580">
        <f t="shared" si="188"/>
        <v>664.21060392600407</v>
      </c>
      <c r="K1580" s="27">
        <f t="shared" si="189"/>
        <v>-343.37384408606141</v>
      </c>
    </row>
    <row r="1581" spans="1:11">
      <c r="A1581" s="26">
        <v>1531</v>
      </c>
      <c r="B1581" s="82">
        <f t="shared" si="190"/>
        <v>0</v>
      </c>
      <c r="C1581" s="58">
        <f t="shared" si="194"/>
        <v>156.29037528357509</v>
      </c>
      <c r="D1581" s="83">
        <f t="shared" si="191"/>
        <v>666.66666666666663</v>
      </c>
      <c r="E1581">
        <f t="shared" si="187"/>
        <v>0</v>
      </c>
      <c r="G1581">
        <v>1531</v>
      </c>
      <c r="H1581" s="13">
        <f t="shared" si="192"/>
        <v>-7.7831728503952036E-4</v>
      </c>
      <c r="I1581">
        <f t="shared" si="193"/>
        <v>155.09877152017958</v>
      </c>
      <c r="J1581">
        <f t="shared" si="188"/>
        <v>664.2089607124343</v>
      </c>
      <c r="K1581" s="27">
        <f t="shared" si="189"/>
        <v>-343.37214509060237</v>
      </c>
    </row>
    <row r="1582" spans="1:11">
      <c r="A1582" s="26">
        <v>1532</v>
      </c>
      <c r="B1582" s="82">
        <f t="shared" si="190"/>
        <v>0</v>
      </c>
      <c r="C1582" s="58">
        <f t="shared" si="194"/>
        <v>156.29037528357509</v>
      </c>
      <c r="D1582" s="83">
        <f t="shared" si="191"/>
        <v>666.66666666666663</v>
      </c>
      <c r="E1582">
        <f t="shared" si="187"/>
        <v>0</v>
      </c>
      <c r="G1582">
        <v>1532</v>
      </c>
      <c r="H1582" s="13">
        <f t="shared" si="192"/>
        <v>-7.7831728503952036E-4</v>
      </c>
      <c r="I1582">
        <f t="shared" si="193"/>
        <v>155.09799320289454</v>
      </c>
      <c r="J1582">
        <f t="shared" si="188"/>
        <v>664.20731744737623</v>
      </c>
      <c r="K1582" s="27">
        <f t="shared" si="189"/>
        <v>-343.37044604610946</v>
      </c>
    </row>
    <row r="1583" spans="1:11">
      <c r="A1583" s="26">
        <v>1533</v>
      </c>
      <c r="B1583" s="82">
        <f t="shared" si="190"/>
        <v>0</v>
      </c>
      <c r="C1583" s="58">
        <f t="shared" si="194"/>
        <v>156.29037528357509</v>
      </c>
      <c r="D1583" s="83">
        <f t="shared" si="191"/>
        <v>666.66666666666663</v>
      </c>
      <c r="E1583">
        <f t="shared" si="187"/>
        <v>0</v>
      </c>
      <c r="G1583">
        <v>1533</v>
      </c>
      <c r="H1583" s="13">
        <f t="shared" si="192"/>
        <v>-7.7831728503952036E-4</v>
      </c>
      <c r="I1583">
        <f t="shared" si="193"/>
        <v>155.0972148856095</v>
      </c>
      <c r="J1583">
        <f t="shared" si="188"/>
        <v>664.20567413082586</v>
      </c>
      <c r="K1583" s="27">
        <f t="shared" si="189"/>
        <v>-343.36874695257887</v>
      </c>
    </row>
    <row r="1584" spans="1:11">
      <c r="A1584" s="26">
        <v>1534</v>
      </c>
      <c r="B1584" s="82">
        <f t="shared" si="190"/>
        <v>0</v>
      </c>
      <c r="C1584" s="58">
        <f t="shared" si="194"/>
        <v>156.29037528357509</v>
      </c>
      <c r="D1584" s="83">
        <f t="shared" si="191"/>
        <v>666.66666666666663</v>
      </c>
      <c r="E1584">
        <f t="shared" si="187"/>
        <v>0</v>
      </c>
      <c r="G1584">
        <v>1534</v>
      </c>
      <c r="H1584" s="13">
        <f t="shared" si="192"/>
        <v>-7.7831728503952036E-4</v>
      </c>
      <c r="I1584">
        <f t="shared" si="193"/>
        <v>155.09643656832446</v>
      </c>
      <c r="J1584">
        <f t="shared" si="188"/>
        <v>664.20403076277921</v>
      </c>
      <c r="K1584" s="27">
        <f t="shared" si="189"/>
        <v>-343.36704781000691</v>
      </c>
    </row>
    <row r="1585" spans="1:11">
      <c r="A1585" s="26">
        <v>1535</v>
      </c>
      <c r="B1585" s="82">
        <f t="shared" si="190"/>
        <v>0</v>
      </c>
      <c r="C1585" s="58">
        <f t="shared" si="194"/>
        <v>156.29037528357509</v>
      </c>
      <c r="D1585" s="83">
        <f t="shared" si="191"/>
        <v>666.66666666666663</v>
      </c>
      <c r="E1585">
        <f t="shared" si="187"/>
        <v>0</v>
      </c>
      <c r="G1585">
        <v>1535</v>
      </c>
      <c r="H1585" s="13">
        <f t="shared" si="192"/>
        <v>-7.7831728503952036E-4</v>
      </c>
      <c r="I1585">
        <f t="shared" si="193"/>
        <v>155.09565825103942</v>
      </c>
      <c r="J1585">
        <f t="shared" si="188"/>
        <v>664.20238734323243</v>
      </c>
      <c r="K1585" s="27">
        <f t="shared" si="189"/>
        <v>-343.36534861839004</v>
      </c>
    </row>
    <row r="1586" spans="1:11">
      <c r="A1586" s="26">
        <v>1536</v>
      </c>
      <c r="B1586" s="82">
        <f t="shared" si="190"/>
        <v>0</v>
      </c>
      <c r="C1586" s="58">
        <f t="shared" si="194"/>
        <v>156.29037528357509</v>
      </c>
      <c r="D1586" s="83">
        <f t="shared" si="191"/>
        <v>666.66666666666663</v>
      </c>
      <c r="E1586">
        <f t="shared" si="187"/>
        <v>0</v>
      </c>
      <c r="G1586">
        <v>1536</v>
      </c>
      <c r="H1586" s="13">
        <f t="shared" si="192"/>
        <v>-7.7831728503952036E-4</v>
      </c>
      <c r="I1586">
        <f t="shared" si="193"/>
        <v>155.09487993375438</v>
      </c>
      <c r="J1586">
        <f t="shared" si="188"/>
        <v>664.20074387218142</v>
      </c>
      <c r="K1586" s="27">
        <f t="shared" si="189"/>
        <v>-343.36364937772424</v>
      </c>
    </row>
    <row r="1587" spans="1:11">
      <c r="A1587" s="26">
        <v>1537</v>
      </c>
      <c r="B1587" s="82">
        <f t="shared" si="190"/>
        <v>0</v>
      </c>
      <c r="C1587" s="58">
        <f t="shared" si="194"/>
        <v>156.29037528357509</v>
      </c>
      <c r="D1587" s="83">
        <f t="shared" si="191"/>
        <v>666.66666666666663</v>
      </c>
      <c r="E1587">
        <f t="shared" ref="E1587:E1650" si="195">((D1587^2)+(D1587*D1588)+(D1588^2))*B1588/3</f>
        <v>0</v>
      </c>
      <c r="G1587">
        <v>1537</v>
      </c>
      <c r="H1587" s="13">
        <f t="shared" si="192"/>
        <v>-7.7831728503952036E-4</v>
      </c>
      <c r="I1587">
        <f t="shared" si="193"/>
        <v>155.09410161646935</v>
      </c>
      <c r="J1587">
        <f t="shared" ref="J1587:J1650" si="196">IF($G$28&lt;$C$14,0,((($C$11^2)-((I1587-$C$13)^2))^0.5)+$C$16)</f>
        <v>664.19910034962231</v>
      </c>
      <c r="K1587" s="27">
        <f t="shared" ref="K1587:K1650" si="197">((J1587^2)+(J1587*J1588)+(J1588^2))*H1588/3</f>
        <v>-343.36195008800627</v>
      </c>
    </row>
    <row r="1588" spans="1:11">
      <c r="A1588" s="26">
        <v>1538</v>
      </c>
      <c r="B1588" s="82">
        <f t="shared" ref="B1588:B1651" si="198">C1588-C1587</f>
        <v>0</v>
      </c>
      <c r="C1588" s="58">
        <f t="shared" si="194"/>
        <v>156.29037528357509</v>
      </c>
      <c r="D1588" s="83">
        <f t="shared" ref="D1588:D1651" si="199">IF($G$28&lt;$C$14,0,((($C$11^2)-((C1588-$C$13)^2))^0.5)+$C$16)</f>
        <v>666.66666666666663</v>
      </c>
      <c r="E1588">
        <f t="shared" si="195"/>
        <v>0</v>
      </c>
      <c r="G1588">
        <v>1538</v>
      </c>
      <c r="H1588" s="13">
        <f t="shared" ref="H1588:H1651" si="200">I1588-I1587</f>
        <v>-7.7831728503952036E-4</v>
      </c>
      <c r="I1588">
        <f t="shared" ref="I1588:I1651" si="201">($G$27-$C$14)/2000+I1587</f>
        <v>155.09332329918431</v>
      </c>
      <c r="J1588">
        <f t="shared" si="196"/>
        <v>664.19745677555113</v>
      </c>
      <c r="K1588" s="27">
        <f t="shared" si="197"/>
        <v>-343.36025074923208</v>
      </c>
    </row>
    <row r="1589" spans="1:11">
      <c r="A1589" s="26">
        <v>1539</v>
      </c>
      <c r="B1589" s="82">
        <f t="shared" si="198"/>
        <v>0</v>
      </c>
      <c r="C1589" s="58">
        <f t="shared" si="194"/>
        <v>156.29037528357509</v>
      </c>
      <c r="D1589" s="83">
        <f t="shared" si="199"/>
        <v>666.66666666666663</v>
      </c>
      <c r="E1589">
        <f t="shared" si="195"/>
        <v>0</v>
      </c>
      <c r="G1589">
        <v>1539</v>
      </c>
      <c r="H1589" s="13">
        <f t="shared" si="200"/>
        <v>-7.7831728503952036E-4</v>
      </c>
      <c r="I1589">
        <f t="shared" si="201"/>
        <v>155.09254498189927</v>
      </c>
      <c r="J1589">
        <f t="shared" si="196"/>
        <v>664.1958131499639</v>
      </c>
      <c r="K1589" s="27">
        <f t="shared" si="197"/>
        <v>-343.35855136139804</v>
      </c>
    </row>
    <row r="1590" spans="1:11">
      <c r="A1590" s="26">
        <v>1540</v>
      </c>
      <c r="B1590" s="82">
        <f t="shared" si="198"/>
        <v>0</v>
      </c>
      <c r="C1590" s="58">
        <f t="shared" si="194"/>
        <v>156.29037528357509</v>
      </c>
      <c r="D1590" s="83">
        <f t="shared" si="199"/>
        <v>666.66666666666663</v>
      </c>
      <c r="E1590">
        <f t="shared" si="195"/>
        <v>0</v>
      </c>
      <c r="G1590">
        <v>1540</v>
      </c>
      <c r="H1590" s="13">
        <f t="shared" si="200"/>
        <v>-7.7831728503952036E-4</v>
      </c>
      <c r="I1590">
        <f t="shared" si="201"/>
        <v>155.09176666461423</v>
      </c>
      <c r="J1590">
        <f t="shared" si="196"/>
        <v>664.19416947285663</v>
      </c>
      <c r="K1590" s="27">
        <f t="shared" si="197"/>
        <v>-343.35685192450052</v>
      </c>
    </row>
    <row r="1591" spans="1:11">
      <c r="A1591" s="26">
        <v>1541</v>
      </c>
      <c r="B1591" s="82">
        <f t="shared" si="198"/>
        <v>0</v>
      </c>
      <c r="C1591" s="58">
        <f t="shared" si="194"/>
        <v>156.29037528357509</v>
      </c>
      <c r="D1591" s="83">
        <f t="shared" si="199"/>
        <v>666.66666666666663</v>
      </c>
      <c r="E1591">
        <f t="shared" si="195"/>
        <v>0</v>
      </c>
      <c r="G1591">
        <v>1541</v>
      </c>
      <c r="H1591" s="13">
        <f t="shared" si="200"/>
        <v>-7.7831728503952036E-4</v>
      </c>
      <c r="I1591">
        <f t="shared" si="201"/>
        <v>155.09098834732919</v>
      </c>
      <c r="J1591">
        <f t="shared" si="196"/>
        <v>664.19252574422558</v>
      </c>
      <c r="K1591" s="27">
        <f t="shared" si="197"/>
        <v>-343.35515243853587</v>
      </c>
    </row>
    <row r="1592" spans="1:11">
      <c r="A1592" s="26">
        <v>1542</v>
      </c>
      <c r="B1592" s="82">
        <f t="shared" si="198"/>
        <v>0</v>
      </c>
      <c r="C1592" s="58">
        <f t="shared" si="194"/>
        <v>156.29037528357509</v>
      </c>
      <c r="D1592" s="83">
        <f t="shared" si="199"/>
        <v>666.66666666666663</v>
      </c>
      <c r="E1592">
        <f t="shared" si="195"/>
        <v>0</v>
      </c>
      <c r="G1592">
        <v>1542</v>
      </c>
      <c r="H1592" s="13">
        <f t="shared" si="200"/>
        <v>-7.7831728503952036E-4</v>
      </c>
      <c r="I1592">
        <f t="shared" si="201"/>
        <v>155.09021003004415</v>
      </c>
      <c r="J1592">
        <f t="shared" si="196"/>
        <v>664.19088196406642</v>
      </c>
      <c r="K1592" s="27">
        <f t="shared" si="197"/>
        <v>-343.35345290350023</v>
      </c>
    </row>
    <row r="1593" spans="1:11">
      <c r="A1593" s="26">
        <v>1543</v>
      </c>
      <c r="B1593" s="82">
        <f t="shared" si="198"/>
        <v>0</v>
      </c>
      <c r="C1593" s="58">
        <f t="shared" si="194"/>
        <v>156.29037528357509</v>
      </c>
      <c r="D1593" s="83">
        <f t="shared" si="199"/>
        <v>666.66666666666663</v>
      </c>
      <c r="E1593">
        <f t="shared" si="195"/>
        <v>0</v>
      </c>
      <c r="G1593">
        <v>1543</v>
      </c>
      <c r="H1593" s="13">
        <f t="shared" si="200"/>
        <v>-7.7831728503952036E-4</v>
      </c>
      <c r="I1593">
        <f t="shared" si="201"/>
        <v>155.08943171275911</v>
      </c>
      <c r="J1593">
        <f t="shared" si="196"/>
        <v>664.18923813237552</v>
      </c>
      <c r="K1593" s="27">
        <f t="shared" si="197"/>
        <v>-343.35175331939007</v>
      </c>
    </row>
    <row r="1594" spans="1:11">
      <c r="A1594" s="26">
        <v>1544</v>
      </c>
      <c r="B1594" s="82">
        <f t="shared" si="198"/>
        <v>0</v>
      </c>
      <c r="C1594" s="58">
        <f t="shared" si="194"/>
        <v>156.29037528357509</v>
      </c>
      <c r="D1594" s="83">
        <f t="shared" si="199"/>
        <v>666.66666666666663</v>
      </c>
      <c r="E1594">
        <f t="shared" si="195"/>
        <v>0</v>
      </c>
      <c r="G1594">
        <v>1544</v>
      </c>
      <c r="H1594" s="13">
        <f t="shared" si="200"/>
        <v>-7.7831728503952036E-4</v>
      </c>
      <c r="I1594">
        <f t="shared" si="201"/>
        <v>155.08865339547407</v>
      </c>
      <c r="J1594">
        <f t="shared" si="196"/>
        <v>664.18759424914879</v>
      </c>
      <c r="K1594" s="27">
        <f t="shared" si="197"/>
        <v>-343.35005368620153</v>
      </c>
    </row>
    <row r="1595" spans="1:11">
      <c r="A1595" s="26">
        <v>1545</v>
      </c>
      <c r="B1595" s="82">
        <f t="shared" si="198"/>
        <v>0</v>
      </c>
      <c r="C1595" s="58">
        <f t="shared" si="194"/>
        <v>156.29037528357509</v>
      </c>
      <c r="D1595" s="83">
        <f t="shared" si="199"/>
        <v>666.66666666666663</v>
      </c>
      <c r="E1595">
        <f t="shared" si="195"/>
        <v>0</v>
      </c>
      <c r="G1595">
        <v>1545</v>
      </c>
      <c r="H1595" s="13">
        <f t="shared" si="200"/>
        <v>-7.7831728503952036E-4</v>
      </c>
      <c r="I1595">
        <f t="shared" si="201"/>
        <v>155.08787507818903</v>
      </c>
      <c r="J1595">
        <f t="shared" si="196"/>
        <v>664.18595031438224</v>
      </c>
      <c r="K1595" s="27">
        <f t="shared" si="197"/>
        <v>-343.34835400393121</v>
      </c>
    </row>
    <row r="1596" spans="1:11">
      <c r="A1596" s="26">
        <v>1546</v>
      </c>
      <c r="B1596" s="82">
        <f t="shared" si="198"/>
        <v>0</v>
      </c>
      <c r="C1596" s="58">
        <f t="shared" si="194"/>
        <v>156.29037528357509</v>
      </c>
      <c r="D1596" s="83">
        <f t="shared" si="199"/>
        <v>666.66666666666663</v>
      </c>
      <c r="E1596">
        <f t="shared" si="195"/>
        <v>0</v>
      </c>
      <c r="G1596">
        <v>1546</v>
      </c>
      <c r="H1596" s="13">
        <f t="shared" si="200"/>
        <v>-7.7831728503952036E-4</v>
      </c>
      <c r="I1596">
        <f t="shared" si="201"/>
        <v>155.08709676090399</v>
      </c>
      <c r="J1596">
        <f t="shared" si="196"/>
        <v>664.18430632807201</v>
      </c>
      <c r="K1596" s="27">
        <f t="shared" si="197"/>
        <v>-343.34665427257499</v>
      </c>
    </row>
    <row r="1597" spans="1:11">
      <c r="A1597" s="26">
        <v>1547</v>
      </c>
      <c r="B1597" s="82">
        <f t="shared" si="198"/>
        <v>0</v>
      </c>
      <c r="C1597" s="58">
        <f t="shared" si="194"/>
        <v>156.29037528357509</v>
      </c>
      <c r="D1597" s="83">
        <f t="shared" si="199"/>
        <v>666.66666666666663</v>
      </c>
      <c r="E1597">
        <f t="shared" si="195"/>
        <v>0</v>
      </c>
      <c r="G1597">
        <v>1547</v>
      </c>
      <c r="H1597" s="13">
        <f t="shared" si="200"/>
        <v>-7.7831728503952036E-4</v>
      </c>
      <c r="I1597">
        <f t="shared" si="201"/>
        <v>155.08631844361895</v>
      </c>
      <c r="J1597">
        <f t="shared" si="196"/>
        <v>664.18266229021401</v>
      </c>
      <c r="K1597" s="27">
        <f t="shared" si="197"/>
        <v>-343.34495449212949</v>
      </c>
    </row>
    <row r="1598" spans="1:11">
      <c r="A1598" s="26">
        <v>1548</v>
      </c>
      <c r="B1598" s="82">
        <f t="shared" si="198"/>
        <v>0</v>
      </c>
      <c r="C1598" s="58">
        <f t="shared" si="194"/>
        <v>156.29037528357509</v>
      </c>
      <c r="D1598" s="83">
        <f t="shared" si="199"/>
        <v>666.66666666666663</v>
      </c>
      <c r="E1598">
        <f t="shared" si="195"/>
        <v>0</v>
      </c>
      <c r="G1598">
        <v>1548</v>
      </c>
      <c r="H1598" s="13">
        <f t="shared" si="200"/>
        <v>-7.7831728503952036E-4</v>
      </c>
      <c r="I1598">
        <f t="shared" si="201"/>
        <v>155.08554012633391</v>
      </c>
      <c r="J1598">
        <f t="shared" si="196"/>
        <v>664.18101820080437</v>
      </c>
      <c r="K1598" s="27">
        <f t="shared" si="197"/>
        <v>-343.34325466259088</v>
      </c>
    </row>
    <row r="1599" spans="1:11">
      <c r="A1599" s="26">
        <v>1549</v>
      </c>
      <c r="B1599" s="82">
        <f t="shared" si="198"/>
        <v>0</v>
      </c>
      <c r="C1599" s="58">
        <f t="shared" si="194"/>
        <v>156.29037528357509</v>
      </c>
      <c r="D1599" s="83">
        <f t="shared" si="199"/>
        <v>666.66666666666663</v>
      </c>
      <c r="E1599">
        <f t="shared" si="195"/>
        <v>0</v>
      </c>
      <c r="G1599">
        <v>1549</v>
      </c>
      <c r="H1599" s="13">
        <f t="shared" si="200"/>
        <v>-7.7831728503952036E-4</v>
      </c>
      <c r="I1599">
        <f t="shared" si="201"/>
        <v>155.08476180904887</v>
      </c>
      <c r="J1599">
        <f t="shared" si="196"/>
        <v>664.17937405983912</v>
      </c>
      <c r="K1599" s="27">
        <f t="shared" si="197"/>
        <v>-343.34155478395542</v>
      </c>
    </row>
    <row r="1600" spans="1:11">
      <c r="A1600" s="26">
        <v>1550</v>
      </c>
      <c r="B1600" s="82">
        <f t="shared" si="198"/>
        <v>0</v>
      </c>
      <c r="C1600" s="58">
        <f t="shared" si="194"/>
        <v>156.29037528357509</v>
      </c>
      <c r="D1600" s="83">
        <f t="shared" si="199"/>
        <v>666.66666666666663</v>
      </c>
      <c r="E1600">
        <f t="shared" si="195"/>
        <v>0</v>
      </c>
      <c r="G1600">
        <v>1550</v>
      </c>
      <c r="H1600" s="13">
        <f t="shared" si="200"/>
        <v>-7.7831728503952036E-4</v>
      </c>
      <c r="I1600">
        <f t="shared" si="201"/>
        <v>155.08398349176383</v>
      </c>
      <c r="J1600">
        <f t="shared" si="196"/>
        <v>664.17772986731427</v>
      </c>
      <c r="K1600" s="27">
        <f t="shared" si="197"/>
        <v>-343.33985485621952</v>
      </c>
    </row>
    <row r="1601" spans="1:11">
      <c r="A1601" s="26">
        <v>1551</v>
      </c>
      <c r="B1601" s="82">
        <f t="shared" si="198"/>
        <v>0</v>
      </c>
      <c r="C1601" s="58">
        <f t="shared" si="194"/>
        <v>156.29037528357509</v>
      </c>
      <c r="D1601" s="83">
        <f t="shared" si="199"/>
        <v>666.66666666666663</v>
      </c>
      <c r="E1601">
        <f t="shared" si="195"/>
        <v>0</v>
      </c>
      <c r="G1601">
        <v>1551</v>
      </c>
      <c r="H1601" s="13">
        <f t="shared" si="200"/>
        <v>-7.7831728503952036E-4</v>
      </c>
      <c r="I1601">
        <f t="shared" si="201"/>
        <v>155.08320517447879</v>
      </c>
      <c r="J1601">
        <f t="shared" si="196"/>
        <v>664.17608562322584</v>
      </c>
      <c r="K1601" s="27">
        <f t="shared" si="197"/>
        <v>-343.33815487937949</v>
      </c>
    </row>
    <row r="1602" spans="1:11">
      <c r="A1602" s="26">
        <v>1552</v>
      </c>
      <c r="B1602" s="82">
        <f t="shared" si="198"/>
        <v>0</v>
      </c>
      <c r="C1602" s="58">
        <f t="shared" si="194"/>
        <v>156.29037528357509</v>
      </c>
      <c r="D1602" s="83">
        <f t="shared" si="199"/>
        <v>666.66666666666663</v>
      </c>
      <c r="E1602">
        <f t="shared" si="195"/>
        <v>0</v>
      </c>
      <c r="G1602">
        <v>1552</v>
      </c>
      <c r="H1602" s="13">
        <f t="shared" si="200"/>
        <v>-7.7831728503952036E-4</v>
      </c>
      <c r="I1602">
        <f t="shared" si="201"/>
        <v>155.08242685719375</v>
      </c>
      <c r="J1602">
        <f t="shared" si="196"/>
        <v>664.17444132756998</v>
      </c>
      <c r="K1602" s="27">
        <f t="shared" si="197"/>
        <v>-343.33645485343158</v>
      </c>
    </row>
    <row r="1603" spans="1:11">
      <c r="A1603" s="26">
        <v>1553</v>
      </c>
      <c r="B1603" s="82">
        <f t="shared" si="198"/>
        <v>0</v>
      </c>
      <c r="C1603" s="58">
        <f t="shared" si="194"/>
        <v>156.29037528357509</v>
      </c>
      <c r="D1603" s="83">
        <f t="shared" si="199"/>
        <v>666.66666666666663</v>
      </c>
      <c r="E1603">
        <f t="shared" si="195"/>
        <v>0</v>
      </c>
      <c r="G1603">
        <v>1553</v>
      </c>
      <c r="H1603" s="13">
        <f t="shared" si="200"/>
        <v>-7.7831728503952036E-4</v>
      </c>
      <c r="I1603">
        <f t="shared" si="201"/>
        <v>155.08164853990871</v>
      </c>
      <c r="J1603">
        <f t="shared" si="196"/>
        <v>664.17279698034258</v>
      </c>
      <c r="K1603" s="27">
        <f t="shared" si="197"/>
        <v>-343.33475477837197</v>
      </c>
    </row>
    <row r="1604" spans="1:11">
      <c r="A1604" s="26">
        <v>1554</v>
      </c>
      <c r="B1604" s="82">
        <f t="shared" si="198"/>
        <v>0</v>
      </c>
      <c r="C1604" s="58">
        <f t="shared" si="194"/>
        <v>156.29037528357509</v>
      </c>
      <c r="D1604" s="83">
        <f t="shared" si="199"/>
        <v>666.66666666666663</v>
      </c>
      <c r="E1604">
        <f t="shared" si="195"/>
        <v>0</v>
      </c>
      <c r="G1604">
        <v>1554</v>
      </c>
      <c r="H1604" s="13">
        <f t="shared" si="200"/>
        <v>-7.7831728503952036E-4</v>
      </c>
      <c r="I1604">
        <f t="shared" si="201"/>
        <v>155.08087022262367</v>
      </c>
      <c r="J1604">
        <f t="shared" si="196"/>
        <v>664.17115258153967</v>
      </c>
      <c r="K1604" s="27">
        <f t="shared" si="197"/>
        <v>-343.33305465419704</v>
      </c>
    </row>
    <row r="1605" spans="1:11">
      <c r="A1605" s="26">
        <v>1555</v>
      </c>
      <c r="B1605" s="82">
        <f t="shared" si="198"/>
        <v>0</v>
      </c>
      <c r="C1605" s="58">
        <f t="shared" si="194"/>
        <v>156.29037528357509</v>
      </c>
      <c r="D1605" s="83">
        <f t="shared" si="199"/>
        <v>666.66666666666663</v>
      </c>
      <c r="E1605">
        <f t="shared" si="195"/>
        <v>0</v>
      </c>
      <c r="G1605">
        <v>1555</v>
      </c>
      <c r="H1605" s="13">
        <f t="shared" si="200"/>
        <v>-7.7831728503952036E-4</v>
      </c>
      <c r="I1605">
        <f t="shared" si="201"/>
        <v>155.08009190533863</v>
      </c>
      <c r="J1605">
        <f t="shared" si="196"/>
        <v>664.1695081311575</v>
      </c>
      <c r="K1605" s="27">
        <f t="shared" si="197"/>
        <v>-343.3313544809032</v>
      </c>
    </row>
    <row r="1606" spans="1:11">
      <c r="A1606" s="26">
        <v>1556</v>
      </c>
      <c r="B1606" s="82">
        <f t="shared" si="198"/>
        <v>0</v>
      </c>
      <c r="C1606" s="58">
        <f t="shared" si="194"/>
        <v>156.29037528357509</v>
      </c>
      <c r="D1606" s="83">
        <f t="shared" si="199"/>
        <v>666.66666666666663</v>
      </c>
      <c r="E1606">
        <f t="shared" si="195"/>
        <v>0</v>
      </c>
      <c r="G1606">
        <v>1556</v>
      </c>
      <c r="H1606" s="13">
        <f t="shared" si="200"/>
        <v>-7.7831728503952036E-4</v>
      </c>
      <c r="I1606">
        <f t="shared" si="201"/>
        <v>155.07931358805359</v>
      </c>
      <c r="J1606">
        <f t="shared" si="196"/>
        <v>664.16786362919186</v>
      </c>
      <c r="K1606" s="27">
        <f t="shared" si="197"/>
        <v>-343.32965425848664</v>
      </c>
    </row>
    <row r="1607" spans="1:11">
      <c r="A1607" s="26">
        <v>1557</v>
      </c>
      <c r="B1607" s="82">
        <f t="shared" si="198"/>
        <v>0</v>
      </c>
      <c r="C1607" s="58">
        <f t="shared" si="194"/>
        <v>156.29037528357509</v>
      </c>
      <c r="D1607" s="83">
        <f t="shared" si="199"/>
        <v>666.66666666666663</v>
      </c>
      <c r="E1607">
        <f t="shared" si="195"/>
        <v>0</v>
      </c>
      <c r="G1607">
        <v>1557</v>
      </c>
      <c r="H1607" s="13">
        <f t="shared" si="200"/>
        <v>-7.7831728503952036E-4</v>
      </c>
      <c r="I1607">
        <f t="shared" si="201"/>
        <v>155.07853527076855</v>
      </c>
      <c r="J1607">
        <f t="shared" si="196"/>
        <v>664.16621907563888</v>
      </c>
      <c r="K1607" s="27">
        <f t="shared" si="197"/>
        <v>-343.32795398694361</v>
      </c>
    </row>
    <row r="1608" spans="1:11">
      <c r="A1608" s="26">
        <v>1558</v>
      </c>
      <c r="B1608" s="82">
        <f t="shared" si="198"/>
        <v>0</v>
      </c>
      <c r="C1608" s="58">
        <f t="shared" si="194"/>
        <v>156.29037528357509</v>
      </c>
      <c r="D1608" s="83">
        <f t="shared" si="199"/>
        <v>666.66666666666663</v>
      </c>
      <c r="E1608">
        <f t="shared" si="195"/>
        <v>0</v>
      </c>
      <c r="G1608">
        <v>1558</v>
      </c>
      <c r="H1608" s="13">
        <f t="shared" si="200"/>
        <v>-7.7831728503952036E-4</v>
      </c>
      <c r="I1608">
        <f t="shared" si="201"/>
        <v>155.07775695348352</v>
      </c>
      <c r="J1608">
        <f t="shared" si="196"/>
        <v>664.16457447049459</v>
      </c>
      <c r="K1608" s="27">
        <f t="shared" si="197"/>
        <v>-343.32625366627059</v>
      </c>
    </row>
    <row r="1609" spans="1:11">
      <c r="A1609" s="26">
        <v>1559</v>
      </c>
      <c r="B1609" s="82">
        <f t="shared" si="198"/>
        <v>0</v>
      </c>
      <c r="C1609" s="58">
        <f t="shared" si="194"/>
        <v>156.29037528357509</v>
      </c>
      <c r="D1609" s="83">
        <f t="shared" si="199"/>
        <v>666.66666666666663</v>
      </c>
      <c r="E1609">
        <f t="shared" si="195"/>
        <v>0</v>
      </c>
      <c r="G1609">
        <v>1559</v>
      </c>
      <c r="H1609" s="13">
        <f t="shared" si="200"/>
        <v>-7.7831728503952036E-4</v>
      </c>
      <c r="I1609">
        <f t="shared" si="201"/>
        <v>155.07697863619848</v>
      </c>
      <c r="J1609">
        <f t="shared" si="196"/>
        <v>664.16292981375511</v>
      </c>
      <c r="K1609" s="27">
        <f t="shared" si="197"/>
        <v>-343.32455329646376</v>
      </c>
    </row>
    <row r="1610" spans="1:11">
      <c r="A1610" s="26">
        <v>1560</v>
      </c>
      <c r="B1610" s="82">
        <f t="shared" si="198"/>
        <v>0</v>
      </c>
      <c r="C1610" s="58">
        <f t="shared" si="194"/>
        <v>156.29037528357509</v>
      </c>
      <c r="D1610" s="83">
        <f t="shared" si="199"/>
        <v>666.66666666666663</v>
      </c>
      <c r="E1610">
        <f t="shared" si="195"/>
        <v>0</v>
      </c>
      <c r="G1610">
        <v>1560</v>
      </c>
      <c r="H1610" s="13">
        <f t="shared" si="200"/>
        <v>-7.7831728503952036E-4</v>
      </c>
      <c r="I1610">
        <f t="shared" si="201"/>
        <v>155.07620031891344</v>
      </c>
      <c r="J1610">
        <f t="shared" si="196"/>
        <v>664.16128510541637</v>
      </c>
      <c r="K1610" s="27">
        <f t="shared" si="197"/>
        <v>-343.32285287751932</v>
      </c>
    </row>
    <row r="1611" spans="1:11">
      <c r="A1611" s="26">
        <v>1561</v>
      </c>
      <c r="B1611" s="82">
        <f t="shared" si="198"/>
        <v>0</v>
      </c>
      <c r="C1611" s="58">
        <f t="shared" si="194"/>
        <v>156.29037528357509</v>
      </c>
      <c r="D1611" s="83">
        <f t="shared" si="199"/>
        <v>666.66666666666663</v>
      </c>
      <c r="E1611">
        <f t="shared" si="195"/>
        <v>0</v>
      </c>
      <c r="G1611">
        <v>1561</v>
      </c>
      <c r="H1611" s="13">
        <f t="shared" si="200"/>
        <v>-7.7831728503952036E-4</v>
      </c>
      <c r="I1611">
        <f t="shared" si="201"/>
        <v>155.0754220016284</v>
      </c>
      <c r="J1611">
        <f t="shared" si="196"/>
        <v>664.15964034547437</v>
      </c>
      <c r="K1611" s="27">
        <f t="shared" si="197"/>
        <v>-343.32115240943358</v>
      </c>
    </row>
    <row r="1612" spans="1:11">
      <c r="A1612" s="26">
        <v>1562</v>
      </c>
      <c r="B1612" s="82">
        <f t="shared" si="198"/>
        <v>0</v>
      </c>
      <c r="C1612" s="58">
        <f t="shared" si="194"/>
        <v>156.29037528357509</v>
      </c>
      <c r="D1612" s="83">
        <f t="shared" si="199"/>
        <v>666.66666666666663</v>
      </c>
      <c r="E1612">
        <f t="shared" si="195"/>
        <v>0</v>
      </c>
      <c r="G1612">
        <v>1562</v>
      </c>
      <c r="H1612" s="13">
        <f t="shared" si="200"/>
        <v>-7.7831728503952036E-4</v>
      </c>
      <c r="I1612">
        <f t="shared" si="201"/>
        <v>155.07464368434336</v>
      </c>
      <c r="J1612">
        <f t="shared" si="196"/>
        <v>664.15799553392515</v>
      </c>
      <c r="K1612" s="27">
        <f t="shared" si="197"/>
        <v>-343.31945189220301</v>
      </c>
    </row>
    <row r="1613" spans="1:11">
      <c r="A1613" s="26">
        <v>1563</v>
      </c>
      <c r="B1613" s="82">
        <f t="shared" si="198"/>
        <v>0</v>
      </c>
      <c r="C1613" s="58">
        <f t="shared" si="194"/>
        <v>156.29037528357509</v>
      </c>
      <c r="D1613" s="83">
        <f t="shared" si="199"/>
        <v>666.66666666666663</v>
      </c>
      <c r="E1613">
        <f t="shared" si="195"/>
        <v>0</v>
      </c>
      <c r="G1613">
        <v>1563</v>
      </c>
      <c r="H1613" s="13">
        <f t="shared" si="200"/>
        <v>-7.7831728503952036E-4</v>
      </c>
      <c r="I1613">
        <f t="shared" si="201"/>
        <v>155.07386536705832</v>
      </c>
      <c r="J1613">
        <f t="shared" si="196"/>
        <v>664.15635067076482</v>
      </c>
      <c r="K1613" s="27">
        <f t="shared" si="197"/>
        <v>-343.31775132582374</v>
      </c>
    </row>
    <row r="1614" spans="1:11">
      <c r="A1614" s="26">
        <v>1564</v>
      </c>
      <c r="B1614" s="82">
        <f t="shared" si="198"/>
        <v>0</v>
      </c>
      <c r="C1614" s="58">
        <f t="shared" si="194"/>
        <v>156.29037528357509</v>
      </c>
      <c r="D1614" s="83">
        <f t="shared" si="199"/>
        <v>666.66666666666663</v>
      </c>
      <c r="E1614">
        <f t="shared" si="195"/>
        <v>0</v>
      </c>
      <c r="G1614">
        <v>1564</v>
      </c>
      <c r="H1614" s="13">
        <f t="shared" si="200"/>
        <v>-7.7831728503952036E-4</v>
      </c>
      <c r="I1614">
        <f t="shared" si="201"/>
        <v>155.07308704977328</v>
      </c>
      <c r="J1614">
        <f t="shared" si="196"/>
        <v>664.15470575598943</v>
      </c>
      <c r="K1614" s="27">
        <f t="shared" si="197"/>
        <v>-343.31605071029213</v>
      </c>
    </row>
    <row r="1615" spans="1:11">
      <c r="A1615" s="26">
        <v>1565</v>
      </c>
      <c r="B1615" s="82">
        <f t="shared" si="198"/>
        <v>0</v>
      </c>
      <c r="C1615" s="58">
        <f t="shared" si="194"/>
        <v>156.29037528357509</v>
      </c>
      <c r="D1615" s="83">
        <f t="shared" si="199"/>
        <v>666.66666666666663</v>
      </c>
      <c r="E1615">
        <f t="shared" si="195"/>
        <v>0</v>
      </c>
      <c r="G1615">
        <v>1565</v>
      </c>
      <c r="H1615" s="13">
        <f t="shared" si="200"/>
        <v>-7.7831728503952036E-4</v>
      </c>
      <c r="I1615">
        <f t="shared" si="201"/>
        <v>155.07230873248824</v>
      </c>
      <c r="J1615">
        <f t="shared" si="196"/>
        <v>664.15306078959497</v>
      </c>
      <c r="K1615" s="27">
        <f t="shared" si="197"/>
        <v>-343.3143500456045</v>
      </c>
    </row>
    <row r="1616" spans="1:11">
      <c r="A1616" s="26">
        <v>1566</v>
      </c>
      <c r="B1616" s="82">
        <f t="shared" si="198"/>
        <v>0</v>
      </c>
      <c r="C1616" s="58">
        <f t="shared" ref="C1616:C1679" si="202">($C$37-$C$36)/2000+C1615</f>
        <v>156.29037528357509</v>
      </c>
      <c r="D1616" s="83">
        <f t="shared" si="199"/>
        <v>666.66666666666663</v>
      </c>
      <c r="E1616">
        <f t="shared" si="195"/>
        <v>0</v>
      </c>
      <c r="G1616">
        <v>1566</v>
      </c>
      <c r="H1616" s="13">
        <f t="shared" si="200"/>
        <v>-7.7831728503952036E-4</v>
      </c>
      <c r="I1616">
        <f t="shared" si="201"/>
        <v>155.0715304152032</v>
      </c>
      <c r="J1616">
        <f t="shared" si="196"/>
        <v>664.15141577157738</v>
      </c>
      <c r="K1616" s="27">
        <f t="shared" si="197"/>
        <v>-343.31264933175709</v>
      </c>
    </row>
    <row r="1617" spans="1:11">
      <c r="A1617" s="26">
        <v>1567</v>
      </c>
      <c r="B1617" s="82">
        <f t="shared" si="198"/>
        <v>0</v>
      </c>
      <c r="C1617" s="58">
        <f t="shared" si="202"/>
        <v>156.29037528357509</v>
      </c>
      <c r="D1617" s="83">
        <f t="shared" si="199"/>
        <v>666.66666666666663</v>
      </c>
      <c r="E1617">
        <f t="shared" si="195"/>
        <v>0</v>
      </c>
      <c r="G1617">
        <v>1567</v>
      </c>
      <c r="H1617" s="13">
        <f t="shared" si="200"/>
        <v>-7.7831728503952036E-4</v>
      </c>
      <c r="I1617">
        <f t="shared" si="201"/>
        <v>155.07075209791816</v>
      </c>
      <c r="J1617">
        <f t="shared" si="196"/>
        <v>664.14977070193277</v>
      </c>
      <c r="K1617" s="27">
        <f t="shared" si="197"/>
        <v>-343.31094856874614</v>
      </c>
    </row>
    <row r="1618" spans="1:11">
      <c r="A1618" s="26">
        <v>1568</v>
      </c>
      <c r="B1618" s="82">
        <f t="shared" si="198"/>
        <v>0</v>
      </c>
      <c r="C1618" s="58">
        <f t="shared" si="202"/>
        <v>156.29037528357509</v>
      </c>
      <c r="D1618" s="83">
        <f t="shared" si="199"/>
        <v>666.66666666666663</v>
      </c>
      <c r="E1618">
        <f t="shared" si="195"/>
        <v>0</v>
      </c>
      <c r="G1618">
        <v>1568</v>
      </c>
      <c r="H1618" s="13">
        <f t="shared" si="200"/>
        <v>-7.7831728503952036E-4</v>
      </c>
      <c r="I1618">
        <f t="shared" si="201"/>
        <v>155.06997378063312</v>
      </c>
      <c r="J1618">
        <f t="shared" si="196"/>
        <v>664.14812558065717</v>
      </c>
      <c r="K1618" s="27">
        <f t="shared" si="197"/>
        <v>-343.30924775656808</v>
      </c>
    </row>
    <row r="1619" spans="1:11">
      <c r="A1619" s="26">
        <v>1569</v>
      </c>
      <c r="B1619" s="82">
        <f t="shared" si="198"/>
        <v>0</v>
      </c>
      <c r="C1619" s="58">
        <f t="shared" si="202"/>
        <v>156.29037528357509</v>
      </c>
      <c r="D1619" s="83">
        <f t="shared" si="199"/>
        <v>666.66666666666663</v>
      </c>
      <c r="E1619">
        <f t="shared" si="195"/>
        <v>0</v>
      </c>
      <c r="G1619">
        <v>1569</v>
      </c>
      <c r="H1619" s="13">
        <f t="shared" si="200"/>
        <v>-7.7831728503952036E-4</v>
      </c>
      <c r="I1619">
        <f t="shared" si="201"/>
        <v>155.06919546334808</v>
      </c>
      <c r="J1619">
        <f t="shared" si="196"/>
        <v>664.14648040774659</v>
      </c>
      <c r="K1619" s="27">
        <f t="shared" si="197"/>
        <v>-343.30754689521905</v>
      </c>
    </row>
    <row r="1620" spans="1:11">
      <c r="A1620" s="26">
        <v>1570</v>
      </c>
      <c r="B1620" s="82">
        <f t="shared" si="198"/>
        <v>0</v>
      </c>
      <c r="C1620" s="58">
        <f t="shared" si="202"/>
        <v>156.29037528357509</v>
      </c>
      <c r="D1620" s="83">
        <f t="shared" si="199"/>
        <v>666.66666666666663</v>
      </c>
      <c r="E1620">
        <f t="shared" si="195"/>
        <v>0</v>
      </c>
      <c r="G1620">
        <v>1570</v>
      </c>
      <c r="H1620" s="13">
        <f t="shared" si="200"/>
        <v>-7.7831728503952036E-4</v>
      </c>
      <c r="I1620">
        <f t="shared" si="201"/>
        <v>155.06841714606304</v>
      </c>
      <c r="J1620">
        <f t="shared" si="196"/>
        <v>664.14483518319707</v>
      </c>
      <c r="K1620" s="27">
        <f t="shared" si="197"/>
        <v>-343.30584598469545</v>
      </c>
    </row>
    <row r="1621" spans="1:11">
      <c r="A1621" s="26">
        <v>1571</v>
      </c>
      <c r="B1621" s="82">
        <f t="shared" si="198"/>
        <v>0</v>
      </c>
      <c r="C1621" s="58">
        <f t="shared" si="202"/>
        <v>156.29037528357509</v>
      </c>
      <c r="D1621" s="83">
        <f t="shared" si="199"/>
        <v>666.66666666666663</v>
      </c>
      <c r="E1621">
        <f t="shared" si="195"/>
        <v>0</v>
      </c>
      <c r="G1621">
        <v>1571</v>
      </c>
      <c r="H1621" s="13">
        <f t="shared" si="200"/>
        <v>-7.7831728503952036E-4</v>
      </c>
      <c r="I1621">
        <f t="shared" si="201"/>
        <v>155.067638828778</v>
      </c>
      <c r="J1621">
        <f t="shared" si="196"/>
        <v>664.14318990700463</v>
      </c>
      <c r="K1621" s="27">
        <f t="shared" si="197"/>
        <v>-343.30414502499343</v>
      </c>
    </row>
    <row r="1622" spans="1:11">
      <c r="A1622" s="26">
        <v>1572</v>
      </c>
      <c r="B1622" s="82">
        <f t="shared" si="198"/>
        <v>0</v>
      </c>
      <c r="C1622" s="58">
        <f t="shared" si="202"/>
        <v>156.29037528357509</v>
      </c>
      <c r="D1622" s="83">
        <f t="shared" si="199"/>
        <v>666.66666666666663</v>
      </c>
      <c r="E1622">
        <f t="shared" si="195"/>
        <v>0</v>
      </c>
      <c r="G1622">
        <v>1572</v>
      </c>
      <c r="H1622" s="13">
        <f t="shared" si="200"/>
        <v>-7.7831728503952036E-4</v>
      </c>
      <c r="I1622">
        <f t="shared" si="201"/>
        <v>155.06686051149296</v>
      </c>
      <c r="J1622">
        <f t="shared" si="196"/>
        <v>664.14154457916527</v>
      </c>
      <c r="K1622" s="27">
        <f t="shared" si="197"/>
        <v>-343.30244401610952</v>
      </c>
    </row>
    <row r="1623" spans="1:11">
      <c r="A1623" s="26">
        <v>1573</v>
      </c>
      <c r="B1623" s="82">
        <f t="shared" si="198"/>
        <v>0</v>
      </c>
      <c r="C1623" s="58">
        <f t="shared" si="202"/>
        <v>156.29037528357509</v>
      </c>
      <c r="D1623" s="83">
        <f t="shared" si="199"/>
        <v>666.66666666666663</v>
      </c>
      <c r="E1623">
        <f t="shared" si="195"/>
        <v>0</v>
      </c>
      <c r="G1623">
        <v>1573</v>
      </c>
      <c r="H1623" s="13">
        <f t="shared" si="200"/>
        <v>-7.7831728503952036E-4</v>
      </c>
      <c r="I1623">
        <f t="shared" si="201"/>
        <v>155.06608219420792</v>
      </c>
      <c r="J1623">
        <f t="shared" si="196"/>
        <v>664.13989919967503</v>
      </c>
      <c r="K1623" s="27">
        <f t="shared" si="197"/>
        <v>-343.30074295803973</v>
      </c>
    </row>
    <row r="1624" spans="1:11">
      <c r="A1624" s="26">
        <v>1574</v>
      </c>
      <c r="B1624" s="82">
        <f t="shared" si="198"/>
        <v>0</v>
      </c>
      <c r="C1624" s="58">
        <f t="shared" si="202"/>
        <v>156.29037528357509</v>
      </c>
      <c r="D1624" s="83">
        <f t="shared" si="199"/>
        <v>666.66666666666663</v>
      </c>
      <c r="E1624">
        <f t="shared" si="195"/>
        <v>0</v>
      </c>
      <c r="G1624">
        <v>1574</v>
      </c>
      <c r="H1624" s="13">
        <f t="shared" si="200"/>
        <v>-7.7831728503952036E-4</v>
      </c>
      <c r="I1624">
        <f t="shared" si="201"/>
        <v>155.06530387692288</v>
      </c>
      <c r="J1624">
        <f t="shared" si="196"/>
        <v>664.13825376853003</v>
      </c>
      <c r="K1624" s="27">
        <f t="shared" si="197"/>
        <v>-343.29904185078061</v>
      </c>
    </row>
    <row r="1625" spans="1:11">
      <c r="A1625" s="26">
        <v>1575</v>
      </c>
      <c r="B1625" s="82">
        <f t="shared" si="198"/>
        <v>0</v>
      </c>
      <c r="C1625" s="58">
        <f t="shared" si="202"/>
        <v>156.29037528357509</v>
      </c>
      <c r="D1625" s="83">
        <f t="shared" si="199"/>
        <v>666.66666666666663</v>
      </c>
      <c r="E1625">
        <f t="shared" si="195"/>
        <v>0</v>
      </c>
      <c r="G1625">
        <v>1575</v>
      </c>
      <c r="H1625" s="13">
        <f t="shared" si="200"/>
        <v>-7.7831728503952036E-4</v>
      </c>
      <c r="I1625">
        <f t="shared" si="201"/>
        <v>155.06452555963784</v>
      </c>
      <c r="J1625">
        <f t="shared" si="196"/>
        <v>664.1366082857262</v>
      </c>
      <c r="K1625" s="27">
        <f t="shared" si="197"/>
        <v>-343.29734069432828</v>
      </c>
    </row>
    <row r="1626" spans="1:11">
      <c r="A1626" s="26">
        <v>1576</v>
      </c>
      <c r="B1626" s="82">
        <f t="shared" si="198"/>
        <v>0</v>
      </c>
      <c r="C1626" s="58">
        <f t="shared" si="202"/>
        <v>156.29037528357509</v>
      </c>
      <c r="D1626" s="83">
        <f t="shared" si="199"/>
        <v>666.66666666666663</v>
      </c>
      <c r="E1626">
        <f t="shared" si="195"/>
        <v>0</v>
      </c>
      <c r="G1626">
        <v>1576</v>
      </c>
      <c r="H1626" s="13">
        <f t="shared" si="200"/>
        <v>-7.7831728503952036E-4</v>
      </c>
      <c r="I1626">
        <f t="shared" si="201"/>
        <v>155.0637472423528</v>
      </c>
      <c r="J1626">
        <f t="shared" si="196"/>
        <v>664.13496275125954</v>
      </c>
      <c r="K1626" s="27">
        <f t="shared" si="197"/>
        <v>-343.295639488679</v>
      </c>
    </row>
    <row r="1627" spans="1:11">
      <c r="A1627" s="26">
        <v>1577</v>
      </c>
      <c r="B1627" s="82">
        <f t="shared" si="198"/>
        <v>0</v>
      </c>
      <c r="C1627" s="58">
        <f t="shared" si="202"/>
        <v>156.29037528357509</v>
      </c>
      <c r="D1627" s="83">
        <f t="shared" si="199"/>
        <v>666.66666666666663</v>
      </c>
      <c r="E1627">
        <f t="shared" si="195"/>
        <v>0</v>
      </c>
      <c r="G1627">
        <v>1577</v>
      </c>
      <c r="H1627" s="13">
        <f t="shared" si="200"/>
        <v>-7.7831728503952036E-4</v>
      </c>
      <c r="I1627">
        <f t="shared" si="201"/>
        <v>155.06296892506776</v>
      </c>
      <c r="J1627">
        <f t="shared" si="196"/>
        <v>664.13331716512607</v>
      </c>
      <c r="K1627" s="27">
        <f t="shared" si="197"/>
        <v>-343.29393823382912</v>
      </c>
    </row>
    <row r="1628" spans="1:11">
      <c r="A1628" s="26">
        <v>1578</v>
      </c>
      <c r="B1628" s="82">
        <f t="shared" si="198"/>
        <v>0</v>
      </c>
      <c r="C1628" s="58">
        <f t="shared" si="202"/>
        <v>156.29037528357509</v>
      </c>
      <c r="D1628" s="83">
        <f t="shared" si="199"/>
        <v>666.66666666666663</v>
      </c>
      <c r="E1628">
        <f t="shared" si="195"/>
        <v>0</v>
      </c>
      <c r="G1628">
        <v>1578</v>
      </c>
      <c r="H1628" s="13">
        <f t="shared" si="200"/>
        <v>-7.7831728503952036E-4</v>
      </c>
      <c r="I1628">
        <f t="shared" si="201"/>
        <v>155.06219060778272</v>
      </c>
      <c r="J1628">
        <f t="shared" si="196"/>
        <v>664.13167152732194</v>
      </c>
      <c r="K1628" s="27">
        <f t="shared" si="197"/>
        <v>-343.29223692977507</v>
      </c>
    </row>
    <row r="1629" spans="1:11">
      <c r="A1629" s="26">
        <v>1579</v>
      </c>
      <c r="B1629" s="82">
        <f t="shared" si="198"/>
        <v>0</v>
      </c>
      <c r="C1629" s="58">
        <f t="shared" si="202"/>
        <v>156.29037528357509</v>
      </c>
      <c r="D1629" s="83">
        <f t="shared" si="199"/>
        <v>666.66666666666663</v>
      </c>
      <c r="E1629">
        <f t="shared" si="195"/>
        <v>0</v>
      </c>
      <c r="G1629">
        <v>1579</v>
      </c>
      <c r="H1629" s="13">
        <f t="shared" si="200"/>
        <v>-7.7831728503952036E-4</v>
      </c>
      <c r="I1629">
        <f t="shared" si="201"/>
        <v>155.06141229049769</v>
      </c>
      <c r="J1629">
        <f t="shared" si="196"/>
        <v>664.13002583784305</v>
      </c>
      <c r="K1629" s="27">
        <f t="shared" si="197"/>
        <v>-343.29053557651287</v>
      </c>
    </row>
    <row r="1630" spans="1:11">
      <c r="A1630" s="26">
        <v>1580</v>
      </c>
      <c r="B1630" s="82">
        <f t="shared" si="198"/>
        <v>0</v>
      </c>
      <c r="C1630" s="58">
        <f t="shared" si="202"/>
        <v>156.29037528357509</v>
      </c>
      <c r="D1630" s="83">
        <f t="shared" si="199"/>
        <v>666.66666666666663</v>
      </c>
      <c r="E1630">
        <f t="shared" si="195"/>
        <v>0</v>
      </c>
      <c r="G1630">
        <v>1580</v>
      </c>
      <c r="H1630" s="13">
        <f t="shared" si="200"/>
        <v>-7.7831728503952036E-4</v>
      </c>
      <c r="I1630">
        <f t="shared" si="201"/>
        <v>155.06063397321265</v>
      </c>
      <c r="J1630">
        <f t="shared" si="196"/>
        <v>664.12838009668542</v>
      </c>
      <c r="K1630" s="27">
        <f t="shared" si="197"/>
        <v>-343.28883417403887</v>
      </c>
    </row>
    <row r="1631" spans="1:11">
      <c r="A1631" s="26">
        <v>1581</v>
      </c>
      <c r="B1631" s="82">
        <f t="shared" si="198"/>
        <v>0</v>
      </c>
      <c r="C1631" s="58">
        <f t="shared" si="202"/>
        <v>156.29037528357509</v>
      </c>
      <c r="D1631" s="83">
        <f t="shared" si="199"/>
        <v>666.66666666666663</v>
      </c>
      <c r="E1631">
        <f t="shared" si="195"/>
        <v>0</v>
      </c>
      <c r="G1631">
        <v>1581</v>
      </c>
      <c r="H1631" s="13">
        <f t="shared" si="200"/>
        <v>-7.7831728503952036E-4</v>
      </c>
      <c r="I1631">
        <f t="shared" si="201"/>
        <v>155.05985565592761</v>
      </c>
      <c r="J1631">
        <f t="shared" si="196"/>
        <v>664.12673430384507</v>
      </c>
      <c r="K1631" s="27">
        <f t="shared" si="197"/>
        <v>-343.2871327223495</v>
      </c>
    </row>
    <row r="1632" spans="1:11">
      <c r="A1632" s="26">
        <v>1582</v>
      </c>
      <c r="B1632" s="82">
        <f t="shared" si="198"/>
        <v>0</v>
      </c>
      <c r="C1632" s="58">
        <f t="shared" si="202"/>
        <v>156.29037528357509</v>
      </c>
      <c r="D1632" s="83">
        <f t="shared" si="199"/>
        <v>666.66666666666663</v>
      </c>
      <c r="E1632">
        <f t="shared" si="195"/>
        <v>0</v>
      </c>
      <c r="G1632">
        <v>1582</v>
      </c>
      <c r="H1632" s="13">
        <f t="shared" si="200"/>
        <v>-7.7831728503952036E-4</v>
      </c>
      <c r="I1632">
        <f t="shared" si="201"/>
        <v>155.05907733864257</v>
      </c>
      <c r="J1632">
        <f t="shared" si="196"/>
        <v>664.12508845931814</v>
      </c>
      <c r="K1632" s="27">
        <f t="shared" si="197"/>
        <v>-343.28543122144083</v>
      </c>
    </row>
    <row r="1633" spans="1:11">
      <c r="A1633" s="26">
        <v>1583</v>
      </c>
      <c r="B1633" s="82">
        <f t="shared" si="198"/>
        <v>0</v>
      </c>
      <c r="C1633" s="58">
        <f t="shared" si="202"/>
        <v>156.29037528357509</v>
      </c>
      <c r="D1633" s="83">
        <f t="shared" si="199"/>
        <v>666.66666666666663</v>
      </c>
      <c r="E1633">
        <f t="shared" si="195"/>
        <v>0</v>
      </c>
      <c r="G1633">
        <v>1583</v>
      </c>
      <c r="H1633" s="13">
        <f t="shared" si="200"/>
        <v>-7.7831728503952036E-4</v>
      </c>
      <c r="I1633">
        <f t="shared" si="201"/>
        <v>155.05829902135753</v>
      </c>
      <c r="J1633">
        <f t="shared" si="196"/>
        <v>664.12344256310053</v>
      </c>
      <c r="K1633" s="27">
        <f t="shared" si="197"/>
        <v>-343.28372967130935</v>
      </c>
    </row>
    <row r="1634" spans="1:11">
      <c r="A1634" s="26">
        <v>1584</v>
      </c>
      <c r="B1634" s="82">
        <f t="shared" si="198"/>
        <v>0</v>
      </c>
      <c r="C1634" s="58">
        <f t="shared" si="202"/>
        <v>156.29037528357509</v>
      </c>
      <c r="D1634" s="83">
        <f t="shared" si="199"/>
        <v>666.66666666666663</v>
      </c>
      <c r="E1634">
        <f t="shared" si="195"/>
        <v>0</v>
      </c>
      <c r="G1634">
        <v>1584</v>
      </c>
      <c r="H1634" s="13">
        <f t="shared" si="200"/>
        <v>-7.7831728503952036E-4</v>
      </c>
      <c r="I1634">
        <f t="shared" si="201"/>
        <v>155.05752070407249</v>
      </c>
      <c r="J1634">
        <f t="shared" si="196"/>
        <v>664.12179661518826</v>
      </c>
      <c r="K1634" s="27">
        <f t="shared" si="197"/>
        <v>-343.28202807195129</v>
      </c>
    </row>
    <row r="1635" spans="1:11">
      <c r="A1635" s="26">
        <v>1585</v>
      </c>
      <c r="B1635" s="82">
        <f t="shared" si="198"/>
        <v>0</v>
      </c>
      <c r="C1635" s="58">
        <f t="shared" si="202"/>
        <v>156.29037528357509</v>
      </c>
      <c r="D1635" s="83">
        <f t="shared" si="199"/>
        <v>666.66666666666663</v>
      </c>
      <c r="E1635">
        <f t="shared" si="195"/>
        <v>0</v>
      </c>
      <c r="G1635">
        <v>1585</v>
      </c>
      <c r="H1635" s="13">
        <f t="shared" si="200"/>
        <v>-7.7831728503952036E-4</v>
      </c>
      <c r="I1635">
        <f t="shared" si="201"/>
        <v>155.05674238678745</v>
      </c>
      <c r="J1635">
        <f t="shared" si="196"/>
        <v>664.12015061557747</v>
      </c>
      <c r="K1635" s="27">
        <f t="shared" si="197"/>
        <v>-343.28032642336285</v>
      </c>
    </row>
    <row r="1636" spans="1:11">
      <c r="A1636" s="26">
        <v>1586</v>
      </c>
      <c r="B1636" s="82">
        <f t="shared" si="198"/>
        <v>0</v>
      </c>
      <c r="C1636" s="58">
        <f t="shared" si="202"/>
        <v>156.29037528357509</v>
      </c>
      <c r="D1636" s="83">
        <f t="shared" si="199"/>
        <v>666.66666666666663</v>
      </c>
      <c r="E1636">
        <f t="shared" si="195"/>
        <v>0</v>
      </c>
      <c r="G1636">
        <v>1586</v>
      </c>
      <c r="H1636" s="13">
        <f t="shared" si="200"/>
        <v>-7.7831728503952036E-4</v>
      </c>
      <c r="I1636">
        <f t="shared" si="201"/>
        <v>155.05596406950241</v>
      </c>
      <c r="J1636">
        <f t="shared" si="196"/>
        <v>664.11850456426407</v>
      </c>
      <c r="K1636" s="27">
        <f t="shared" si="197"/>
        <v>-343.2786247255404</v>
      </c>
    </row>
    <row r="1637" spans="1:11">
      <c r="A1637" s="26">
        <v>1587</v>
      </c>
      <c r="B1637" s="82">
        <f t="shared" si="198"/>
        <v>0</v>
      </c>
      <c r="C1637" s="58">
        <f t="shared" si="202"/>
        <v>156.29037528357509</v>
      </c>
      <c r="D1637" s="83">
        <f t="shared" si="199"/>
        <v>666.66666666666663</v>
      </c>
      <c r="E1637">
        <f t="shared" si="195"/>
        <v>0</v>
      </c>
      <c r="G1637">
        <v>1587</v>
      </c>
      <c r="H1637" s="13">
        <f t="shared" si="200"/>
        <v>-7.7831728503952036E-4</v>
      </c>
      <c r="I1637">
        <f t="shared" si="201"/>
        <v>155.05518575221737</v>
      </c>
      <c r="J1637">
        <f t="shared" si="196"/>
        <v>664.11685846124408</v>
      </c>
      <c r="K1637" s="27">
        <f t="shared" si="197"/>
        <v>-343.27692297848006</v>
      </c>
    </row>
    <row r="1638" spans="1:11">
      <c r="A1638" s="26">
        <v>1588</v>
      </c>
      <c r="B1638" s="82">
        <f t="shared" si="198"/>
        <v>0</v>
      </c>
      <c r="C1638" s="58">
        <f t="shared" si="202"/>
        <v>156.29037528357509</v>
      </c>
      <c r="D1638" s="83">
        <f t="shared" si="199"/>
        <v>666.66666666666663</v>
      </c>
      <c r="E1638">
        <f t="shared" si="195"/>
        <v>0</v>
      </c>
      <c r="G1638">
        <v>1588</v>
      </c>
      <c r="H1638" s="13">
        <f t="shared" si="200"/>
        <v>-7.7831728503952036E-4</v>
      </c>
      <c r="I1638">
        <f t="shared" si="201"/>
        <v>155.05440743493233</v>
      </c>
      <c r="J1638">
        <f t="shared" si="196"/>
        <v>664.11521230651351</v>
      </c>
      <c r="K1638" s="27">
        <f t="shared" si="197"/>
        <v>-343.27522118217831</v>
      </c>
    </row>
    <row r="1639" spans="1:11">
      <c r="A1639" s="26">
        <v>1589</v>
      </c>
      <c r="B1639" s="82">
        <f t="shared" si="198"/>
        <v>0</v>
      </c>
      <c r="C1639" s="58">
        <f t="shared" si="202"/>
        <v>156.29037528357509</v>
      </c>
      <c r="D1639" s="83">
        <f t="shared" si="199"/>
        <v>666.66666666666663</v>
      </c>
      <c r="E1639">
        <f t="shared" si="195"/>
        <v>0</v>
      </c>
      <c r="G1639">
        <v>1589</v>
      </c>
      <c r="H1639" s="13">
        <f t="shared" si="200"/>
        <v>-7.7831728503952036E-4</v>
      </c>
      <c r="I1639">
        <f t="shared" si="201"/>
        <v>155.05362911764729</v>
      </c>
      <c r="J1639">
        <f t="shared" si="196"/>
        <v>664.1135661000684</v>
      </c>
      <c r="K1639" s="27">
        <f t="shared" si="197"/>
        <v>-343.27351933663135</v>
      </c>
    </row>
    <row r="1640" spans="1:11">
      <c r="A1640" s="26">
        <v>1590</v>
      </c>
      <c r="B1640" s="82">
        <f t="shared" si="198"/>
        <v>0</v>
      </c>
      <c r="C1640" s="58">
        <f t="shared" si="202"/>
        <v>156.29037528357509</v>
      </c>
      <c r="D1640" s="83">
        <f t="shared" si="199"/>
        <v>666.66666666666663</v>
      </c>
      <c r="E1640">
        <f t="shared" si="195"/>
        <v>0</v>
      </c>
      <c r="G1640">
        <v>1590</v>
      </c>
      <c r="H1640" s="13">
        <f t="shared" si="200"/>
        <v>-7.7831728503952036E-4</v>
      </c>
      <c r="I1640">
        <f t="shared" si="201"/>
        <v>155.05285080036225</v>
      </c>
      <c r="J1640">
        <f t="shared" si="196"/>
        <v>664.11191984190486</v>
      </c>
      <c r="K1640" s="27">
        <f t="shared" si="197"/>
        <v>-343.27181744183537</v>
      </c>
    </row>
    <row r="1641" spans="1:11">
      <c r="A1641" s="26">
        <v>1591</v>
      </c>
      <c r="B1641" s="82">
        <f t="shared" si="198"/>
        <v>0</v>
      </c>
      <c r="C1641" s="58">
        <f t="shared" si="202"/>
        <v>156.29037528357509</v>
      </c>
      <c r="D1641" s="83">
        <f t="shared" si="199"/>
        <v>666.66666666666663</v>
      </c>
      <c r="E1641">
        <f t="shared" si="195"/>
        <v>0</v>
      </c>
      <c r="G1641">
        <v>1591</v>
      </c>
      <c r="H1641" s="13">
        <f t="shared" si="200"/>
        <v>-7.7831728503952036E-4</v>
      </c>
      <c r="I1641">
        <f t="shared" si="201"/>
        <v>155.05207248307721</v>
      </c>
      <c r="J1641">
        <f t="shared" si="196"/>
        <v>664.11027353201871</v>
      </c>
      <c r="K1641" s="27">
        <f t="shared" si="197"/>
        <v>-343.27011549778689</v>
      </c>
    </row>
    <row r="1642" spans="1:11">
      <c r="A1642" s="26">
        <v>1592</v>
      </c>
      <c r="B1642" s="82">
        <f t="shared" si="198"/>
        <v>0</v>
      </c>
      <c r="C1642" s="58">
        <f t="shared" si="202"/>
        <v>156.29037528357509</v>
      </c>
      <c r="D1642" s="83">
        <f t="shared" si="199"/>
        <v>666.66666666666663</v>
      </c>
      <c r="E1642">
        <f t="shared" si="195"/>
        <v>0</v>
      </c>
      <c r="G1642">
        <v>1592</v>
      </c>
      <c r="H1642" s="13">
        <f t="shared" si="200"/>
        <v>-7.7831728503952036E-4</v>
      </c>
      <c r="I1642">
        <f t="shared" si="201"/>
        <v>155.05129416579217</v>
      </c>
      <c r="J1642">
        <f t="shared" si="196"/>
        <v>664.10862717040618</v>
      </c>
      <c r="K1642" s="27">
        <f t="shared" si="197"/>
        <v>-343.26841350448194</v>
      </c>
    </row>
    <row r="1643" spans="1:11">
      <c r="A1643" s="26">
        <v>1593</v>
      </c>
      <c r="B1643" s="82">
        <f t="shared" si="198"/>
        <v>0</v>
      </c>
      <c r="C1643" s="58">
        <f t="shared" si="202"/>
        <v>156.29037528357509</v>
      </c>
      <c r="D1643" s="83">
        <f t="shared" si="199"/>
        <v>666.66666666666663</v>
      </c>
      <c r="E1643">
        <f t="shared" si="195"/>
        <v>0</v>
      </c>
      <c r="G1643">
        <v>1593</v>
      </c>
      <c r="H1643" s="13">
        <f t="shared" si="200"/>
        <v>-7.7831728503952036E-4</v>
      </c>
      <c r="I1643">
        <f t="shared" si="201"/>
        <v>155.05051584850713</v>
      </c>
      <c r="J1643">
        <f t="shared" si="196"/>
        <v>664.10698075706318</v>
      </c>
      <c r="K1643" s="27">
        <f t="shared" si="197"/>
        <v>-343.26671146191688</v>
      </c>
    </row>
    <row r="1644" spans="1:11">
      <c r="A1644" s="26">
        <v>1594</v>
      </c>
      <c r="B1644" s="82">
        <f t="shared" si="198"/>
        <v>0</v>
      </c>
      <c r="C1644" s="58">
        <f t="shared" si="202"/>
        <v>156.29037528357509</v>
      </c>
      <c r="D1644" s="83">
        <f t="shared" si="199"/>
        <v>666.66666666666663</v>
      </c>
      <c r="E1644">
        <f t="shared" si="195"/>
        <v>0</v>
      </c>
      <c r="G1644">
        <v>1594</v>
      </c>
      <c r="H1644" s="13">
        <f t="shared" si="200"/>
        <v>-7.7831728503952036E-4</v>
      </c>
      <c r="I1644">
        <f t="shared" si="201"/>
        <v>155.04973753122209</v>
      </c>
      <c r="J1644">
        <f t="shared" si="196"/>
        <v>664.10533429198563</v>
      </c>
      <c r="K1644" s="27">
        <f t="shared" si="197"/>
        <v>-343.26500937008797</v>
      </c>
    </row>
    <row r="1645" spans="1:11">
      <c r="A1645" s="26">
        <v>1595</v>
      </c>
      <c r="B1645" s="82">
        <f t="shared" si="198"/>
        <v>0</v>
      </c>
      <c r="C1645" s="58">
        <f t="shared" si="202"/>
        <v>156.29037528357509</v>
      </c>
      <c r="D1645" s="83">
        <f t="shared" si="199"/>
        <v>666.66666666666663</v>
      </c>
      <c r="E1645">
        <f t="shared" si="195"/>
        <v>0</v>
      </c>
      <c r="G1645">
        <v>1595</v>
      </c>
      <c r="H1645" s="13">
        <f t="shared" si="200"/>
        <v>-7.7831728503952036E-4</v>
      </c>
      <c r="I1645">
        <f t="shared" si="201"/>
        <v>155.04895921393705</v>
      </c>
      <c r="J1645">
        <f t="shared" si="196"/>
        <v>664.10368777516965</v>
      </c>
      <c r="K1645" s="27">
        <f t="shared" si="197"/>
        <v>-343.26330722899161</v>
      </c>
    </row>
    <row r="1646" spans="1:11">
      <c r="A1646" s="26">
        <v>1596</v>
      </c>
      <c r="B1646" s="82">
        <f t="shared" si="198"/>
        <v>0</v>
      </c>
      <c r="C1646" s="58">
        <f t="shared" si="202"/>
        <v>156.29037528357509</v>
      </c>
      <c r="D1646" s="83">
        <f t="shared" si="199"/>
        <v>666.66666666666663</v>
      </c>
      <c r="E1646">
        <f t="shared" si="195"/>
        <v>0</v>
      </c>
      <c r="G1646">
        <v>1596</v>
      </c>
      <c r="H1646" s="13">
        <f t="shared" si="200"/>
        <v>-7.7831728503952036E-4</v>
      </c>
      <c r="I1646">
        <f t="shared" si="201"/>
        <v>155.04818089665201</v>
      </c>
      <c r="J1646">
        <f t="shared" si="196"/>
        <v>664.10204120661126</v>
      </c>
      <c r="K1646" s="27">
        <f t="shared" si="197"/>
        <v>-343.26160503862388</v>
      </c>
    </row>
    <row r="1647" spans="1:11">
      <c r="A1647" s="26">
        <v>1597</v>
      </c>
      <c r="B1647" s="82">
        <f t="shared" si="198"/>
        <v>0</v>
      </c>
      <c r="C1647" s="58">
        <f t="shared" si="202"/>
        <v>156.29037528357509</v>
      </c>
      <c r="D1647" s="83">
        <f t="shared" si="199"/>
        <v>666.66666666666663</v>
      </c>
      <c r="E1647">
        <f t="shared" si="195"/>
        <v>0</v>
      </c>
      <c r="G1647">
        <v>1597</v>
      </c>
      <c r="H1647" s="13">
        <f t="shared" si="200"/>
        <v>-7.7831728503952036E-4</v>
      </c>
      <c r="I1647">
        <f t="shared" si="201"/>
        <v>155.04740257936697</v>
      </c>
      <c r="J1647">
        <f t="shared" si="196"/>
        <v>664.10039458630649</v>
      </c>
      <c r="K1647" s="27">
        <f t="shared" si="197"/>
        <v>-343.25990279898116</v>
      </c>
    </row>
    <row r="1648" spans="1:11">
      <c r="A1648" s="26">
        <v>1598</v>
      </c>
      <c r="B1648" s="82">
        <f t="shared" si="198"/>
        <v>0</v>
      </c>
      <c r="C1648" s="58">
        <f t="shared" si="202"/>
        <v>156.29037528357509</v>
      </c>
      <c r="D1648" s="83">
        <f t="shared" si="199"/>
        <v>666.66666666666663</v>
      </c>
      <c r="E1648">
        <f t="shared" si="195"/>
        <v>0</v>
      </c>
      <c r="G1648">
        <v>1598</v>
      </c>
      <c r="H1648" s="13">
        <f t="shared" si="200"/>
        <v>-7.7831728503952036E-4</v>
      </c>
      <c r="I1648">
        <f t="shared" si="201"/>
        <v>155.04662426208193</v>
      </c>
      <c r="J1648">
        <f t="shared" si="196"/>
        <v>664.09874791425125</v>
      </c>
      <c r="K1648" s="27">
        <f t="shared" si="197"/>
        <v>-343.25820051005979</v>
      </c>
    </row>
    <row r="1649" spans="1:11">
      <c r="A1649" s="26">
        <v>1599</v>
      </c>
      <c r="B1649" s="82">
        <f t="shared" si="198"/>
        <v>0</v>
      </c>
      <c r="C1649" s="58">
        <f t="shared" si="202"/>
        <v>156.29037528357509</v>
      </c>
      <c r="D1649" s="83">
        <f t="shared" si="199"/>
        <v>666.66666666666663</v>
      </c>
      <c r="E1649">
        <f t="shared" si="195"/>
        <v>0</v>
      </c>
      <c r="G1649">
        <v>1599</v>
      </c>
      <c r="H1649" s="13">
        <f t="shared" si="200"/>
        <v>-7.7831728503952036E-4</v>
      </c>
      <c r="I1649">
        <f t="shared" si="201"/>
        <v>155.04584594479689</v>
      </c>
      <c r="J1649">
        <f t="shared" si="196"/>
        <v>664.09710119044166</v>
      </c>
      <c r="K1649" s="27">
        <f t="shared" si="197"/>
        <v>-343.25649817185604</v>
      </c>
    </row>
    <row r="1650" spans="1:11">
      <c r="A1650" s="26">
        <v>1600</v>
      </c>
      <c r="B1650" s="82">
        <f t="shared" si="198"/>
        <v>0</v>
      </c>
      <c r="C1650" s="58">
        <f t="shared" si="202"/>
        <v>156.29037528357509</v>
      </c>
      <c r="D1650" s="83">
        <f t="shared" si="199"/>
        <v>666.66666666666663</v>
      </c>
      <c r="E1650">
        <f t="shared" si="195"/>
        <v>0</v>
      </c>
      <c r="G1650">
        <v>1600</v>
      </c>
      <c r="H1650" s="13">
        <f t="shared" si="200"/>
        <v>-7.7831728503952036E-4</v>
      </c>
      <c r="I1650">
        <f t="shared" si="201"/>
        <v>155.04506762751186</v>
      </c>
      <c r="J1650">
        <f t="shared" si="196"/>
        <v>664.09545441487376</v>
      </c>
      <c r="K1650" s="27">
        <f t="shared" si="197"/>
        <v>-343.25479578436602</v>
      </c>
    </row>
    <row r="1651" spans="1:11">
      <c r="A1651" s="26">
        <v>1601</v>
      </c>
      <c r="B1651" s="82">
        <f t="shared" si="198"/>
        <v>0</v>
      </c>
      <c r="C1651" s="58">
        <f t="shared" si="202"/>
        <v>156.29037528357509</v>
      </c>
      <c r="D1651" s="83">
        <f t="shared" si="199"/>
        <v>666.66666666666663</v>
      </c>
      <c r="E1651">
        <f t="shared" ref="E1651:E1714" si="203">((D1651^2)+(D1651*D1652)+(D1652^2))*B1652/3</f>
        <v>0</v>
      </c>
      <c r="G1651">
        <v>1601</v>
      </c>
      <c r="H1651" s="13">
        <f t="shared" si="200"/>
        <v>-7.7831728503952036E-4</v>
      </c>
      <c r="I1651">
        <f t="shared" si="201"/>
        <v>155.04428931022682</v>
      </c>
      <c r="J1651">
        <f t="shared" ref="J1651:J1714" si="204">IF($G$28&lt;$C$14,0,((($C$11^2)-((I1651-$C$13)^2))^0.5)+$C$16)</f>
        <v>664.09380758754332</v>
      </c>
      <c r="K1651" s="27">
        <f t="shared" ref="K1651:K1714" si="205">((J1651^2)+(J1651*J1652)+(J1652^2))*H1652/3</f>
        <v>-343.25309334758612</v>
      </c>
    </row>
    <row r="1652" spans="1:11">
      <c r="A1652" s="26">
        <v>1602</v>
      </c>
      <c r="B1652" s="82">
        <f t="shared" ref="B1652:B1715" si="206">C1652-C1651</f>
        <v>0</v>
      </c>
      <c r="C1652" s="58">
        <f t="shared" si="202"/>
        <v>156.29037528357509</v>
      </c>
      <c r="D1652" s="83">
        <f t="shared" ref="D1652:D1715" si="207">IF($G$28&lt;$C$14,0,((($C$11^2)-((C1652-$C$13)^2))^0.5)+$C$16)</f>
        <v>666.66666666666663</v>
      </c>
      <c r="E1652">
        <f t="shared" si="203"/>
        <v>0</v>
      </c>
      <c r="G1652">
        <v>1602</v>
      </c>
      <c r="H1652" s="13">
        <f t="shared" ref="H1652:H1715" si="208">I1652-I1651</f>
        <v>-7.7831728503952036E-4</v>
      </c>
      <c r="I1652">
        <f t="shared" ref="I1652:I1715" si="209">($G$27-$C$14)/2000+I1651</f>
        <v>155.04351099294178</v>
      </c>
      <c r="J1652">
        <f t="shared" si="204"/>
        <v>664.09216070844661</v>
      </c>
      <c r="K1652" s="27">
        <f t="shared" si="205"/>
        <v>-343.25139086151256</v>
      </c>
    </row>
    <row r="1653" spans="1:11">
      <c r="A1653" s="26">
        <v>1603</v>
      </c>
      <c r="B1653" s="82">
        <f t="shared" si="206"/>
        <v>0</v>
      </c>
      <c r="C1653" s="58">
        <f t="shared" si="202"/>
        <v>156.29037528357509</v>
      </c>
      <c r="D1653" s="83">
        <f t="shared" si="207"/>
        <v>666.66666666666663</v>
      </c>
      <c r="E1653">
        <f t="shared" si="203"/>
        <v>0</v>
      </c>
      <c r="G1653">
        <v>1603</v>
      </c>
      <c r="H1653" s="13">
        <f t="shared" si="208"/>
        <v>-7.7831728503952036E-4</v>
      </c>
      <c r="I1653">
        <f t="shared" si="209"/>
        <v>155.04273267565674</v>
      </c>
      <c r="J1653">
        <f t="shared" si="204"/>
        <v>664.09051377757953</v>
      </c>
      <c r="K1653" s="27">
        <f t="shared" si="205"/>
        <v>-343.24968832614167</v>
      </c>
    </row>
    <row r="1654" spans="1:11">
      <c r="A1654" s="26">
        <v>1604</v>
      </c>
      <c r="B1654" s="82">
        <f t="shared" si="206"/>
        <v>0</v>
      </c>
      <c r="C1654" s="58">
        <f t="shared" si="202"/>
        <v>156.29037528357509</v>
      </c>
      <c r="D1654" s="83">
        <f t="shared" si="207"/>
        <v>666.66666666666663</v>
      </c>
      <c r="E1654">
        <f t="shared" si="203"/>
        <v>0</v>
      </c>
      <c r="G1654">
        <v>1604</v>
      </c>
      <c r="H1654" s="13">
        <f t="shared" si="208"/>
        <v>-7.7831728503952036E-4</v>
      </c>
      <c r="I1654">
        <f t="shared" si="209"/>
        <v>155.0419543583717</v>
      </c>
      <c r="J1654">
        <f t="shared" si="204"/>
        <v>664.0888667949381</v>
      </c>
      <c r="K1654" s="27">
        <f t="shared" si="205"/>
        <v>-343.24798574146968</v>
      </c>
    </row>
    <row r="1655" spans="1:11">
      <c r="A1655" s="26">
        <v>1605</v>
      </c>
      <c r="B1655" s="82">
        <f t="shared" si="206"/>
        <v>0</v>
      </c>
      <c r="C1655" s="58">
        <f t="shared" si="202"/>
        <v>156.29037528357509</v>
      </c>
      <c r="D1655" s="83">
        <f t="shared" si="207"/>
        <v>666.66666666666663</v>
      </c>
      <c r="E1655">
        <f t="shared" si="203"/>
        <v>0</v>
      </c>
      <c r="G1655">
        <v>1605</v>
      </c>
      <c r="H1655" s="13">
        <f t="shared" si="208"/>
        <v>-7.7831728503952036E-4</v>
      </c>
      <c r="I1655">
        <f t="shared" si="209"/>
        <v>155.04117604108666</v>
      </c>
      <c r="J1655">
        <f t="shared" si="204"/>
        <v>664.08721976051834</v>
      </c>
      <c r="K1655" s="27">
        <f t="shared" si="205"/>
        <v>-343.2462831074929</v>
      </c>
    </row>
    <row r="1656" spans="1:11">
      <c r="A1656" s="26">
        <v>1606</v>
      </c>
      <c r="B1656" s="82">
        <f t="shared" si="206"/>
        <v>0</v>
      </c>
      <c r="C1656" s="58">
        <f t="shared" si="202"/>
        <v>156.29037528357509</v>
      </c>
      <c r="D1656" s="83">
        <f t="shared" si="207"/>
        <v>666.66666666666663</v>
      </c>
      <c r="E1656">
        <f t="shared" si="203"/>
        <v>0</v>
      </c>
      <c r="G1656">
        <v>1606</v>
      </c>
      <c r="H1656" s="13">
        <f t="shared" si="208"/>
        <v>-7.7831728503952036E-4</v>
      </c>
      <c r="I1656">
        <f t="shared" si="209"/>
        <v>155.04039772380162</v>
      </c>
      <c r="J1656">
        <f t="shared" si="204"/>
        <v>664.08557267431627</v>
      </c>
      <c r="K1656" s="27">
        <f t="shared" si="205"/>
        <v>-343.24458042420764</v>
      </c>
    </row>
    <row r="1657" spans="1:11">
      <c r="A1657" s="26">
        <v>1607</v>
      </c>
      <c r="B1657" s="82">
        <f t="shared" si="206"/>
        <v>0</v>
      </c>
      <c r="C1657" s="58">
        <f t="shared" si="202"/>
        <v>156.29037528357509</v>
      </c>
      <c r="D1657" s="83">
        <f t="shared" si="207"/>
        <v>666.66666666666663</v>
      </c>
      <c r="E1657">
        <f t="shared" si="203"/>
        <v>0</v>
      </c>
      <c r="G1657">
        <v>1607</v>
      </c>
      <c r="H1657" s="13">
        <f t="shared" si="208"/>
        <v>-7.7831728503952036E-4</v>
      </c>
      <c r="I1657">
        <f t="shared" si="209"/>
        <v>155.03961940651658</v>
      </c>
      <c r="J1657">
        <f t="shared" si="204"/>
        <v>664.08392553632791</v>
      </c>
      <c r="K1657" s="27">
        <f t="shared" si="205"/>
        <v>-343.24287769160998</v>
      </c>
    </row>
    <row r="1658" spans="1:11">
      <c r="A1658" s="26">
        <v>1608</v>
      </c>
      <c r="B1658" s="82">
        <f t="shared" si="206"/>
        <v>0</v>
      </c>
      <c r="C1658" s="58">
        <f t="shared" si="202"/>
        <v>156.29037528357509</v>
      </c>
      <c r="D1658" s="83">
        <f t="shared" si="207"/>
        <v>666.66666666666663</v>
      </c>
      <c r="E1658">
        <f t="shared" si="203"/>
        <v>0</v>
      </c>
      <c r="G1658">
        <v>1608</v>
      </c>
      <c r="H1658" s="13">
        <f t="shared" si="208"/>
        <v>-7.7831728503952036E-4</v>
      </c>
      <c r="I1658">
        <f t="shared" si="209"/>
        <v>155.03884108923154</v>
      </c>
      <c r="J1658">
        <f t="shared" si="204"/>
        <v>664.08227834654917</v>
      </c>
      <c r="K1658" s="27">
        <f t="shared" si="205"/>
        <v>-343.24117490969644</v>
      </c>
    </row>
    <row r="1659" spans="1:11">
      <c r="A1659" s="26">
        <v>1609</v>
      </c>
      <c r="B1659" s="82">
        <f t="shared" si="206"/>
        <v>0</v>
      </c>
      <c r="C1659" s="58">
        <f t="shared" si="202"/>
        <v>156.29037528357509</v>
      </c>
      <c r="D1659" s="83">
        <f t="shared" si="207"/>
        <v>666.66666666666663</v>
      </c>
      <c r="E1659">
        <f t="shared" si="203"/>
        <v>0</v>
      </c>
      <c r="G1659">
        <v>1609</v>
      </c>
      <c r="H1659" s="13">
        <f t="shared" si="208"/>
        <v>-7.7831728503952036E-4</v>
      </c>
      <c r="I1659">
        <f t="shared" si="209"/>
        <v>155.0380627719465</v>
      </c>
      <c r="J1659">
        <f t="shared" si="204"/>
        <v>664.08063110497619</v>
      </c>
      <c r="K1659" s="27">
        <f t="shared" si="205"/>
        <v>-343.23947207846317</v>
      </c>
    </row>
    <row r="1660" spans="1:11">
      <c r="A1660" s="26">
        <v>1610</v>
      </c>
      <c r="B1660" s="82">
        <f t="shared" si="206"/>
        <v>0</v>
      </c>
      <c r="C1660" s="58">
        <f t="shared" si="202"/>
        <v>156.29037528357509</v>
      </c>
      <c r="D1660" s="83">
        <f t="shared" si="207"/>
        <v>666.66666666666663</v>
      </c>
      <c r="E1660">
        <f t="shared" si="203"/>
        <v>0</v>
      </c>
      <c r="G1660">
        <v>1610</v>
      </c>
      <c r="H1660" s="13">
        <f t="shared" si="208"/>
        <v>-7.7831728503952036E-4</v>
      </c>
      <c r="I1660">
        <f t="shared" si="209"/>
        <v>155.03728445466146</v>
      </c>
      <c r="J1660">
        <f t="shared" si="204"/>
        <v>664.07898381160476</v>
      </c>
      <c r="K1660" s="27">
        <f t="shared" si="205"/>
        <v>-343.23776919790635</v>
      </c>
    </row>
    <row r="1661" spans="1:11">
      <c r="A1661" s="26">
        <v>1611</v>
      </c>
      <c r="B1661" s="82">
        <f t="shared" si="206"/>
        <v>0</v>
      </c>
      <c r="C1661" s="58">
        <f t="shared" si="202"/>
        <v>156.29037528357509</v>
      </c>
      <c r="D1661" s="83">
        <f t="shared" si="207"/>
        <v>666.66666666666663</v>
      </c>
      <c r="E1661">
        <f t="shared" si="203"/>
        <v>0</v>
      </c>
      <c r="G1661">
        <v>1611</v>
      </c>
      <c r="H1661" s="13">
        <f t="shared" si="208"/>
        <v>-7.7831728503952036E-4</v>
      </c>
      <c r="I1661">
        <f t="shared" si="209"/>
        <v>155.03650613737642</v>
      </c>
      <c r="J1661">
        <f t="shared" si="204"/>
        <v>664.07733646643123</v>
      </c>
      <c r="K1661" s="27">
        <f t="shared" si="205"/>
        <v>-343.23606626802251</v>
      </c>
    </row>
    <row r="1662" spans="1:11">
      <c r="A1662" s="26">
        <v>1612</v>
      </c>
      <c r="B1662" s="82">
        <f t="shared" si="206"/>
        <v>0</v>
      </c>
      <c r="C1662" s="58">
        <f t="shared" si="202"/>
        <v>156.29037528357509</v>
      </c>
      <c r="D1662" s="83">
        <f t="shared" si="207"/>
        <v>666.66666666666663</v>
      </c>
      <c r="E1662">
        <f t="shared" si="203"/>
        <v>0</v>
      </c>
      <c r="G1662">
        <v>1612</v>
      </c>
      <c r="H1662" s="13">
        <f t="shared" si="208"/>
        <v>-7.7831728503952036E-4</v>
      </c>
      <c r="I1662">
        <f t="shared" si="209"/>
        <v>155.03572782009138</v>
      </c>
      <c r="J1662">
        <f t="shared" si="204"/>
        <v>664.0756890694513</v>
      </c>
      <c r="K1662" s="27">
        <f t="shared" si="205"/>
        <v>-343.23436328880763</v>
      </c>
    </row>
    <row r="1663" spans="1:11">
      <c r="A1663" s="26">
        <v>1613</v>
      </c>
      <c r="B1663" s="82">
        <f t="shared" si="206"/>
        <v>0</v>
      </c>
      <c r="C1663" s="58">
        <f t="shared" si="202"/>
        <v>156.29037528357509</v>
      </c>
      <c r="D1663" s="83">
        <f t="shared" si="207"/>
        <v>666.66666666666663</v>
      </c>
      <c r="E1663">
        <f t="shared" si="203"/>
        <v>0</v>
      </c>
      <c r="G1663">
        <v>1613</v>
      </c>
      <c r="H1663" s="13">
        <f t="shared" si="208"/>
        <v>-7.7831728503952036E-4</v>
      </c>
      <c r="I1663">
        <f t="shared" si="209"/>
        <v>155.03494950280634</v>
      </c>
      <c r="J1663">
        <f t="shared" si="204"/>
        <v>664.07404162066109</v>
      </c>
      <c r="K1663" s="27">
        <f t="shared" si="205"/>
        <v>-343.23266026025817</v>
      </c>
    </row>
    <row r="1664" spans="1:11">
      <c r="A1664" s="26">
        <v>1614</v>
      </c>
      <c r="B1664" s="82">
        <f t="shared" si="206"/>
        <v>0</v>
      </c>
      <c r="C1664" s="58">
        <f t="shared" si="202"/>
        <v>156.29037528357509</v>
      </c>
      <c r="D1664" s="83">
        <f t="shared" si="207"/>
        <v>666.66666666666663</v>
      </c>
      <c r="E1664">
        <f t="shared" si="203"/>
        <v>0</v>
      </c>
      <c r="G1664">
        <v>1614</v>
      </c>
      <c r="H1664" s="13">
        <f t="shared" si="208"/>
        <v>-7.7831728503952036E-4</v>
      </c>
      <c r="I1664">
        <f t="shared" si="209"/>
        <v>155.0341711855213</v>
      </c>
      <c r="J1664">
        <f t="shared" si="204"/>
        <v>664.07239412005663</v>
      </c>
      <c r="K1664" s="27">
        <f t="shared" si="205"/>
        <v>-343.23095718237022</v>
      </c>
    </row>
    <row r="1665" spans="1:11">
      <c r="A1665" s="26">
        <v>1615</v>
      </c>
      <c r="B1665" s="82">
        <f t="shared" si="206"/>
        <v>0</v>
      </c>
      <c r="C1665" s="58">
        <f t="shared" si="202"/>
        <v>156.29037528357509</v>
      </c>
      <c r="D1665" s="83">
        <f t="shared" si="207"/>
        <v>666.66666666666663</v>
      </c>
      <c r="E1665">
        <f t="shared" si="203"/>
        <v>0</v>
      </c>
      <c r="G1665">
        <v>1615</v>
      </c>
      <c r="H1665" s="13">
        <f t="shared" si="208"/>
        <v>-7.7831728503952036E-4</v>
      </c>
      <c r="I1665">
        <f t="shared" si="209"/>
        <v>155.03339286823626</v>
      </c>
      <c r="J1665">
        <f t="shared" si="204"/>
        <v>664.07074656763382</v>
      </c>
      <c r="K1665" s="27">
        <f t="shared" si="205"/>
        <v>-343.22925405514019</v>
      </c>
    </row>
    <row r="1666" spans="1:11">
      <c r="A1666" s="26">
        <v>1616</v>
      </c>
      <c r="B1666" s="82">
        <f t="shared" si="206"/>
        <v>0</v>
      </c>
      <c r="C1666" s="58">
        <f t="shared" si="202"/>
        <v>156.29037528357509</v>
      </c>
      <c r="D1666" s="83">
        <f t="shared" si="207"/>
        <v>666.66666666666663</v>
      </c>
      <c r="E1666">
        <f t="shared" si="203"/>
        <v>0</v>
      </c>
      <c r="G1666">
        <v>1616</v>
      </c>
      <c r="H1666" s="13">
        <f t="shared" si="208"/>
        <v>-7.7831728503952036E-4</v>
      </c>
      <c r="I1666">
        <f t="shared" si="209"/>
        <v>155.03261455095122</v>
      </c>
      <c r="J1666">
        <f t="shared" si="204"/>
        <v>664.0690989633888</v>
      </c>
      <c r="K1666" s="27">
        <f t="shared" si="205"/>
        <v>-343.22755087856427</v>
      </c>
    </row>
    <row r="1667" spans="1:11">
      <c r="A1667" s="26">
        <v>1617</v>
      </c>
      <c r="B1667" s="82">
        <f t="shared" si="206"/>
        <v>0</v>
      </c>
      <c r="C1667" s="58">
        <f t="shared" si="202"/>
        <v>156.29037528357509</v>
      </c>
      <c r="D1667" s="83">
        <f t="shared" si="207"/>
        <v>666.66666666666663</v>
      </c>
      <c r="E1667">
        <f t="shared" si="203"/>
        <v>0</v>
      </c>
      <c r="G1667">
        <v>1617</v>
      </c>
      <c r="H1667" s="13">
        <f t="shared" si="208"/>
        <v>-7.7831728503952036E-4</v>
      </c>
      <c r="I1667">
        <f t="shared" si="209"/>
        <v>155.03183623366618</v>
      </c>
      <c r="J1667">
        <f t="shared" si="204"/>
        <v>664.06745130731747</v>
      </c>
      <c r="K1667" s="27">
        <f t="shared" si="205"/>
        <v>-343.22584765263883</v>
      </c>
    </row>
    <row r="1668" spans="1:11">
      <c r="A1668" s="26">
        <v>1618</v>
      </c>
      <c r="B1668" s="82">
        <f t="shared" si="206"/>
        <v>0</v>
      </c>
      <c r="C1668" s="58">
        <f t="shared" si="202"/>
        <v>156.29037528357509</v>
      </c>
      <c r="D1668" s="83">
        <f t="shared" si="207"/>
        <v>666.66666666666663</v>
      </c>
      <c r="E1668">
        <f t="shared" si="203"/>
        <v>0</v>
      </c>
      <c r="G1668">
        <v>1618</v>
      </c>
      <c r="H1668" s="13">
        <f t="shared" si="208"/>
        <v>-7.7831728503952036E-4</v>
      </c>
      <c r="I1668">
        <f t="shared" si="209"/>
        <v>155.03105791638114</v>
      </c>
      <c r="J1668">
        <f t="shared" si="204"/>
        <v>664.06580359941586</v>
      </c>
      <c r="K1668" s="27">
        <f t="shared" si="205"/>
        <v>-343.22414437736001</v>
      </c>
    </row>
    <row r="1669" spans="1:11">
      <c r="A1669" s="26">
        <v>1619</v>
      </c>
      <c r="B1669" s="82">
        <f t="shared" si="206"/>
        <v>0</v>
      </c>
      <c r="C1669" s="58">
        <f t="shared" si="202"/>
        <v>156.29037528357509</v>
      </c>
      <c r="D1669" s="83">
        <f t="shared" si="207"/>
        <v>666.66666666666663</v>
      </c>
      <c r="E1669">
        <f t="shared" si="203"/>
        <v>0</v>
      </c>
      <c r="G1669">
        <v>1619</v>
      </c>
      <c r="H1669" s="13">
        <f t="shared" si="208"/>
        <v>-7.7831728503952036E-4</v>
      </c>
      <c r="I1669">
        <f t="shared" si="209"/>
        <v>155.0302795990961</v>
      </c>
      <c r="J1669">
        <f t="shared" si="204"/>
        <v>664.06415583967987</v>
      </c>
      <c r="K1669" s="27">
        <f t="shared" si="205"/>
        <v>-343.22244105272415</v>
      </c>
    </row>
    <row r="1670" spans="1:11">
      <c r="A1670" s="26">
        <v>1620</v>
      </c>
      <c r="B1670" s="82">
        <f t="shared" si="206"/>
        <v>0</v>
      </c>
      <c r="C1670" s="58">
        <f t="shared" si="202"/>
        <v>156.29037528357509</v>
      </c>
      <c r="D1670" s="83">
        <f t="shared" si="207"/>
        <v>666.66666666666663</v>
      </c>
      <c r="E1670">
        <f t="shared" si="203"/>
        <v>0</v>
      </c>
      <c r="G1670">
        <v>1620</v>
      </c>
      <c r="H1670" s="13">
        <f t="shared" si="208"/>
        <v>-7.7831728503952036E-4</v>
      </c>
      <c r="I1670">
        <f t="shared" si="209"/>
        <v>155.02950128181106</v>
      </c>
      <c r="J1670">
        <f t="shared" si="204"/>
        <v>664.06250802810575</v>
      </c>
      <c r="K1670" s="27">
        <f t="shared" si="205"/>
        <v>-343.22073767872752</v>
      </c>
    </row>
    <row r="1671" spans="1:11">
      <c r="A1671" s="26">
        <v>1621</v>
      </c>
      <c r="B1671" s="82">
        <f t="shared" si="206"/>
        <v>0</v>
      </c>
      <c r="C1671" s="58">
        <f t="shared" si="202"/>
        <v>156.29037528357509</v>
      </c>
      <c r="D1671" s="83">
        <f t="shared" si="207"/>
        <v>666.66666666666663</v>
      </c>
      <c r="E1671">
        <f t="shared" si="203"/>
        <v>0</v>
      </c>
      <c r="G1671">
        <v>1621</v>
      </c>
      <c r="H1671" s="13">
        <f t="shared" si="208"/>
        <v>-7.7831728503952036E-4</v>
      </c>
      <c r="I1671">
        <f t="shared" si="209"/>
        <v>155.02872296452603</v>
      </c>
      <c r="J1671">
        <f t="shared" si="204"/>
        <v>664.0608601646893</v>
      </c>
      <c r="K1671" s="27">
        <f t="shared" si="205"/>
        <v>-343.21903425536635</v>
      </c>
    </row>
    <row r="1672" spans="1:11">
      <c r="A1672" s="26">
        <v>1622</v>
      </c>
      <c r="B1672" s="82">
        <f t="shared" si="206"/>
        <v>0</v>
      </c>
      <c r="C1672" s="58">
        <f t="shared" si="202"/>
        <v>156.29037528357509</v>
      </c>
      <c r="D1672" s="83">
        <f t="shared" si="207"/>
        <v>666.66666666666663</v>
      </c>
      <c r="E1672">
        <f t="shared" si="203"/>
        <v>0</v>
      </c>
      <c r="G1672">
        <v>1622</v>
      </c>
      <c r="H1672" s="13">
        <f t="shared" si="208"/>
        <v>-7.7831728503952036E-4</v>
      </c>
      <c r="I1672">
        <f t="shared" si="209"/>
        <v>155.02794464724099</v>
      </c>
      <c r="J1672">
        <f t="shared" si="204"/>
        <v>664.05921224942665</v>
      </c>
      <c r="K1672" s="27">
        <f t="shared" si="205"/>
        <v>-343.21733078263691</v>
      </c>
    </row>
    <row r="1673" spans="1:11">
      <c r="A1673" s="26">
        <v>1623</v>
      </c>
      <c r="B1673" s="82">
        <f t="shared" si="206"/>
        <v>0</v>
      </c>
      <c r="C1673" s="58">
        <f t="shared" si="202"/>
        <v>156.29037528357509</v>
      </c>
      <c r="D1673" s="83">
        <f t="shared" si="207"/>
        <v>666.66666666666663</v>
      </c>
      <c r="E1673">
        <f t="shared" si="203"/>
        <v>0</v>
      </c>
      <c r="G1673">
        <v>1623</v>
      </c>
      <c r="H1673" s="13">
        <f t="shared" si="208"/>
        <v>-7.7831728503952036E-4</v>
      </c>
      <c r="I1673">
        <f t="shared" si="209"/>
        <v>155.02716632995595</v>
      </c>
      <c r="J1673">
        <f t="shared" si="204"/>
        <v>664.05756428231359</v>
      </c>
      <c r="K1673" s="27">
        <f t="shared" si="205"/>
        <v>-343.21562726053548</v>
      </c>
    </row>
    <row r="1674" spans="1:11">
      <c r="A1674" s="26">
        <v>1624</v>
      </c>
      <c r="B1674" s="82">
        <f t="shared" si="206"/>
        <v>0</v>
      </c>
      <c r="C1674" s="58">
        <f t="shared" si="202"/>
        <v>156.29037528357509</v>
      </c>
      <c r="D1674" s="83">
        <f t="shared" si="207"/>
        <v>666.66666666666663</v>
      </c>
      <c r="E1674">
        <f t="shared" si="203"/>
        <v>0</v>
      </c>
      <c r="G1674">
        <v>1624</v>
      </c>
      <c r="H1674" s="13">
        <f t="shared" si="208"/>
        <v>-7.7831728503952036E-4</v>
      </c>
      <c r="I1674">
        <f t="shared" si="209"/>
        <v>155.02638801267091</v>
      </c>
      <c r="J1674">
        <f t="shared" si="204"/>
        <v>664.05591626334638</v>
      </c>
      <c r="K1674" s="27">
        <f t="shared" si="205"/>
        <v>-343.21392368905828</v>
      </c>
    </row>
    <row r="1675" spans="1:11">
      <c r="A1675" s="26">
        <v>1625</v>
      </c>
      <c r="B1675" s="82">
        <f t="shared" si="206"/>
        <v>0</v>
      </c>
      <c r="C1675" s="58">
        <f t="shared" si="202"/>
        <v>156.29037528357509</v>
      </c>
      <c r="D1675" s="83">
        <f t="shared" si="207"/>
        <v>666.66666666666663</v>
      </c>
      <c r="E1675">
        <f t="shared" si="203"/>
        <v>0</v>
      </c>
      <c r="G1675">
        <v>1625</v>
      </c>
      <c r="H1675" s="13">
        <f t="shared" si="208"/>
        <v>-7.7831728503952036E-4</v>
      </c>
      <c r="I1675">
        <f t="shared" si="209"/>
        <v>155.02560969538587</v>
      </c>
      <c r="J1675">
        <f t="shared" si="204"/>
        <v>664.05426819252079</v>
      </c>
      <c r="K1675" s="27">
        <f t="shared" si="205"/>
        <v>-343.21222006820159</v>
      </c>
    </row>
    <row r="1676" spans="1:11">
      <c r="A1676" s="26">
        <v>1626</v>
      </c>
      <c r="B1676" s="82">
        <f t="shared" si="206"/>
        <v>0</v>
      </c>
      <c r="C1676" s="58">
        <f t="shared" si="202"/>
        <v>156.29037528357509</v>
      </c>
      <c r="D1676" s="83">
        <f t="shared" si="207"/>
        <v>666.66666666666663</v>
      </c>
      <c r="E1676">
        <f t="shared" si="203"/>
        <v>0</v>
      </c>
      <c r="G1676">
        <v>1626</v>
      </c>
      <c r="H1676" s="13">
        <f t="shared" si="208"/>
        <v>-7.7831728503952036E-4</v>
      </c>
      <c r="I1676">
        <f t="shared" si="209"/>
        <v>155.02483137810083</v>
      </c>
      <c r="J1676">
        <f t="shared" si="204"/>
        <v>664.05262006983298</v>
      </c>
      <c r="K1676" s="27">
        <f t="shared" si="205"/>
        <v>-343.21051639796173</v>
      </c>
    </row>
    <row r="1677" spans="1:11">
      <c r="A1677" s="26">
        <v>1627</v>
      </c>
      <c r="B1677" s="82">
        <f t="shared" si="206"/>
        <v>0</v>
      </c>
      <c r="C1677" s="58">
        <f t="shared" si="202"/>
        <v>156.29037528357509</v>
      </c>
      <c r="D1677" s="83">
        <f t="shared" si="207"/>
        <v>666.66666666666663</v>
      </c>
      <c r="E1677">
        <f t="shared" si="203"/>
        <v>0</v>
      </c>
      <c r="G1677">
        <v>1627</v>
      </c>
      <c r="H1677" s="13">
        <f t="shared" si="208"/>
        <v>-7.7831728503952036E-4</v>
      </c>
      <c r="I1677">
        <f t="shared" si="209"/>
        <v>155.02405306081579</v>
      </c>
      <c r="J1677">
        <f t="shared" si="204"/>
        <v>664.05097189527885</v>
      </c>
      <c r="K1677" s="27">
        <f t="shared" si="205"/>
        <v>-343.20881267833488</v>
      </c>
    </row>
    <row r="1678" spans="1:11">
      <c r="A1678" s="26">
        <v>1628</v>
      </c>
      <c r="B1678" s="82">
        <f t="shared" si="206"/>
        <v>0</v>
      </c>
      <c r="C1678" s="58">
        <f t="shared" si="202"/>
        <v>156.29037528357509</v>
      </c>
      <c r="D1678" s="83">
        <f t="shared" si="207"/>
        <v>666.66666666666663</v>
      </c>
      <c r="E1678">
        <f t="shared" si="203"/>
        <v>0</v>
      </c>
      <c r="G1678">
        <v>1628</v>
      </c>
      <c r="H1678" s="13">
        <f t="shared" si="208"/>
        <v>-7.7831728503952036E-4</v>
      </c>
      <c r="I1678">
        <f t="shared" si="209"/>
        <v>155.02327474353075</v>
      </c>
      <c r="J1678">
        <f t="shared" si="204"/>
        <v>664.04932366885441</v>
      </c>
      <c r="K1678" s="27">
        <f t="shared" si="205"/>
        <v>-343.20710890931736</v>
      </c>
    </row>
    <row r="1679" spans="1:11">
      <c r="A1679" s="26">
        <v>1629</v>
      </c>
      <c r="B1679" s="82">
        <f t="shared" si="206"/>
        <v>0</v>
      </c>
      <c r="C1679" s="58">
        <f t="shared" si="202"/>
        <v>156.29037528357509</v>
      </c>
      <c r="D1679" s="83">
        <f t="shared" si="207"/>
        <v>666.66666666666663</v>
      </c>
      <c r="E1679">
        <f t="shared" si="203"/>
        <v>0</v>
      </c>
      <c r="G1679">
        <v>1629</v>
      </c>
      <c r="H1679" s="13">
        <f t="shared" si="208"/>
        <v>-7.7831728503952036E-4</v>
      </c>
      <c r="I1679">
        <f t="shared" si="209"/>
        <v>155.02249642624571</v>
      </c>
      <c r="J1679">
        <f t="shared" si="204"/>
        <v>664.0476753905557</v>
      </c>
      <c r="K1679" s="27">
        <f t="shared" si="205"/>
        <v>-343.20540509090534</v>
      </c>
    </row>
    <row r="1680" spans="1:11">
      <c r="A1680" s="26">
        <v>1630</v>
      </c>
      <c r="B1680" s="82">
        <f t="shared" si="206"/>
        <v>0</v>
      </c>
      <c r="C1680" s="58">
        <f t="shared" ref="C1680:C1743" si="210">($C$37-$C$36)/2000+C1679</f>
        <v>156.29037528357509</v>
      </c>
      <c r="D1680" s="83">
        <f t="shared" si="207"/>
        <v>666.66666666666663</v>
      </c>
      <c r="E1680">
        <f t="shared" si="203"/>
        <v>0</v>
      </c>
      <c r="G1680">
        <v>1630</v>
      </c>
      <c r="H1680" s="13">
        <f t="shared" si="208"/>
        <v>-7.7831728503952036E-4</v>
      </c>
      <c r="I1680">
        <f t="shared" si="209"/>
        <v>155.02171810896067</v>
      </c>
      <c r="J1680">
        <f t="shared" si="204"/>
        <v>664.04602706037872</v>
      </c>
      <c r="K1680" s="27">
        <f t="shared" si="205"/>
        <v>-343.20370122309527</v>
      </c>
    </row>
    <row r="1681" spans="1:11">
      <c r="A1681" s="26">
        <v>1631</v>
      </c>
      <c r="B1681" s="82">
        <f t="shared" si="206"/>
        <v>0</v>
      </c>
      <c r="C1681" s="58">
        <f t="shared" si="210"/>
        <v>156.29037528357509</v>
      </c>
      <c r="D1681" s="83">
        <f t="shared" si="207"/>
        <v>666.66666666666663</v>
      </c>
      <c r="E1681">
        <f t="shared" si="203"/>
        <v>0</v>
      </c>
      <c r="G1681">
        <v>1631</v>
      </c>
      <c r="H1681" s="13">
        <f t="shared" si="208"/>
        <v>-7.7831728503952036E-4</v>
      </c>
      <c r="I1681">
        <f t="shared" si="209"/>
        <v>155.02093979167563</v>
      </c>
      <c r="J1681">
        <f t="shared" si="204"/>
        <v>664.04437867831939</v>
      </c>
      <c r="K1681" s="27">
        <f t="shared" si="205"/>
        <v>-343.20199730588314</v>
      </c>
    </row>
    <row r="1682" spans="1:11">
      <c r="A1682" s="26">
        <v>1632</v>
      </c>
      <c r="B1682" s="82">
        <f t="shared" si="206"/>
        <v>0</v>
      </c>
      <c r="C1682" s="58">
        <f t="shared" si="210"/>
        <v>156.29037528357509</v>
      </c>
      <c r="D1682" s="83">
        <f t="shared" si="207"/>
        <v>666.66666666666663</v>
      </c>
      <c r="E1682">
        <f t="shared" si="203"/>
        <v>0</v>
      </c>
      <c r="G1682">
        <v>1632</v>
      </c>
      <c r="H1682" s="13">
        <f t="shared" si="208"/>
        <v>-7.7831728503952036E-4</v>
      </c>
      <c r="I1682">
        <f t="shared" si="209"/>
        <v>155.02016147439059</v>
      </c>
      <c r="J1682">
        <f t="shared" si="204"/>
        <v>664.04273024437373</v>
      </c>
      <c r="K1682" s="27">
        <f t="shared" si="205"/>
        <v>-343.20029333926544</v>
      </c>
    </row>
    <row r="1683" spans="1:11">
      <c r="A1683" s="26">
        <v>1633</v>
      </c>
      <c r="B1683" s="82">
        <f t="shared" si="206"/>
        <v>0</v>
      </c>
      <c r="C1683" s="58">
        <f t="shared" si="210"/>
        <v>156.29037528357509</v>
      </c>
      <c r="D1683" s="83">
        <f t="shared" si="207"/>
        <v>666.66666666666663</v>
      </c>
      <c r="E1683">
        <f t="shared" si="203"/>
        <v>0</v>
      </c>
      <c r="G1683">
        <v>1633</v>
      </c>
      <c r="H1683" s="13">
        <f t="shared" si="208"/>
        <v>-7.7831728503952036E-4</v>
      </c>
      <c r="I1683">
        <f t="shared" si="209"/>
        <v>155.01938315710555</v>
      </c>
      <c r="J1683">
        <f t="shared" si="204"/>
        <v>664.04108175853776</v>
      </c>
      <c r="K1683" s="27">
        <f t="shared" si="205"/>
        <v>-343.19858932323831</v>
      </c>
    </row>
    <row r="1684" spans="1:11">
      <c r="A1684" s="26">
        <v>1634</v>
      </c>
      <c r="B1684" s="82">
        <f t="shared" si="206"/>
        <v>0</v>
      </c>
      <c r="C1684" s="58">
        <f t="shared" si="210"/>
        <v>156.29037528357509</v>
      </c>
      <c r="D1684" s="83">
        <f t="shared" si="207"/>
        <v>666.66666666666663</v>
      </c>
      <c r="E1684">
        <f t="shared" si="203"/>
        <v>0</v>
      </c>
      <c r="G1684">
        <v>1634</v>
      </c>
      <c r="H1684" s="13">
        <f t="shared" si="208"/>
        <v>-7.7831728503952036E-4</v>
      </c>
      <c r="I1684">
        <f t="shared" si="209"/>
        <v>155.01860483982051</v>
      </c>
      <c r="J1684">
        <f t="shared" si="204"/>
        <v>664.0394332208075</v>
      </c>
      <c r="K1684" s="27">
        <f t="shared" si="205"/>
        <v>-343.19688525779793</v>
      </c>
    </row>
    <row r="1685" spans="1:11">
      <c r="A1685" s="26">
        <v>1635</v>
      </c>
      <c r="B1685" s="82">
        <f t="shared" si="206"/>
        <v>0</v>
      </c>
      <c r="C1685" s="58">
        <f t="shared" si="210"/>
        <v>156.29037528357509</v>
      </c>
      <c r="D1685" s="83">
        <f t="shared" si="207"/>
        <v>666.66666666666663</v>
      </c>
      <c r="E1685">
        <f t="shared" si="203"/>
        <v>0</v>
      </c>
      <c r="G1685">
        <v>1635</v>
      </c>
      <c r="H1685" s="13">
        <f t="shared" si="208"/>
        <v>-7.7831728503952036E-4</v>
      </c>
      <c r="I1685">
        <f t="shared" si="209"/>
        <v>155.01782652253547</v>
      </c>
      <c r="J1685">
        <f t="shared" si="204"/>
        <v>664.03778463117885</v>
      </c>
      <c r="K1685" s="27">
        <f t="shared" si="205"/>
        <v>-343.19518114294073</v>
      </c>
    </row>
    <row r="1686" spans="1:11">
      <c r="A1686" s="26">
        <v>1636</v>
      </c>
      <c r="B1686" s="82">
        <f t="shared" si="206"/>
        <v>0</v>
      </c>
      <c r="C1686" s="58">
        <f t="shared" si="210"/>
        <v>156.29037528357509</v>
      </c>
      <c r="D1686" s="83">
        <f t="shared" si="207"/>
        <v>666.66666666666663</v>
      </c>
      <c r="E1686">
        <f t="shared" si="203"/>
        <v>0</v>
      </c>
      <c r="G1686">
        <v>1636</v>
      </c>
      <c r="H1686" s="13">
        <f t="shared" si="208"/>
        <v>-7.7831728503952036E-4</v>
      </c>
      <c r="I1686">
        <f t="shared" si="209"/>
        <v>155.01704820525043</v>
      </c>
      <c r="J1686">
        <f t="shared" si="204"/>
        <v>664.03613598964785</v>
      </c>
      <c r="K1686" s="27">
        <f t="shared" si="205"/>
        <v>-343.19347697866289</v>
      </c>
    </row>
    <row r="1687" spans="1:11">
      <c r="A1687" s="26">
        <v>1637</v>
      </c>
      <c r="B1687" s="82">
        <f t="shared" si="206"/>
        <v>0</v>
      </c>
      <c r="C1687" s="58">
        <f t="shared" si="210"/>
        <v>156.29037528357509</v>
      </c>
      <c r="D1687" s="83">
        <f t="shared" si="207"/>
        <v>666.66666666666663</v>
      </c>
      <c r="E1687">
        <f t="shared" si="203"/>
        <v>0</v>
      </c>
      <c r="G1687">
        <v>1637</v>
      </c>
      <c r="H1687" s="13">
        <f t="shared" si="208"/>
        <v>-7.7831728503952036E-4</v>
      </c>
      <c r="I1687">
        <f t="shared" si="209"/>
        <v>155.01626988796539</v>
      </c>
      <c r="J1687">
        <f t="shared" si="204"/>
        <v>664.0344872962105</v>
      </c>
      <c r="K1687" s="27">
        <f t="shared" si="205"/>
        <v>-343.19177276496066</v>
      </c>
    </row>
    <row r="1688" spans="1:11">
      <c r="A1688" s="26">
        <v>1638</v>
      </c>
      <c r="B1688" s="82">
        <f t="shared" si="206"/>
        <v>0</v>
      </c>
      <c r="C1688" s="58">
        <f t="shared" si="210"/>
        <v>156.29037528357509</v>
      </c>
      <c r="D1688" s="83">
        <f t="shared" si="207"/>
        <v>666.66666666666663</v>
      </c>
      <c r="E1688">
        <f t="shared" si="203"/>
        <v>0</v>
      </c>
      <c r="G1688">
        <v>1638</v>
      </c>
      <c r="H1688" s="13">
        <f t="shared" si="208"/>
        <v>-7.7831728503952036E-4</v>
      </c>
      <c r="I1688">
        <f t="shared" si="209"/>
        <v>155.01549157068035</v>
      </c>
      <c r="J1688">
        <f t="shared" si="204"/>
        <v>664.03283855086283</v>
      </c>
      <c r="K1688" s="27">
        <f t="shared" si="205"/>
        <v>-343.19006850183035</v>
      </c>
    </row>
    <row r="1689" spans="1:11">
      <c r="A1689" s="26">
        <v>1639</v>
      </c>
      <c r="B1689" s="82">
        <f t="shared" si="206"/>
        <v>0</v>
      </c>
      <c r="C1689" s="58">
        <f t="shared" si="210"/>
        <v>156.29037528357509</v>
      </c>
      <c r="D1689" s="83">
        <f t="shared" si="207"/>
        <v>666.66666666666663</v>
      </c>
      <c r="E1689">
        <f t="shared" si="203"/>
        <v>0</v>
      </c>
      <c r="G1689">
        <v>1639</v>
      </c>
      <c r="H1689" s="13">
        <f t="shared" si="208"/>
        <v>-7.7831728503952036E-4</v>
      </c>
      <c r="I1689">
        <f t="shared" si="209"/>
        <v>155.01471325339531</v>
      </c>
      <c r="J1689">
        <f t="shared" si="204"/>
        <v>664.03118975360076</v>
      </c>
      <c r="K1689" s="27">
        <f t="shared" si="205"/>
        <v>-343.18836418926804</v>
      </c>
    </row>
    <row r="1690" spans="1:11">
      <c r="A1690" s="26">
        <v>1640</v>
      </c>
      <c r="B1690" s="82">
        <f t="shared" si="206"/>
        <v>0</v>
      </c>
      <c r="C1690" s="58">
        <f t="shared" si="210"/>
        <v>156.29037528357509</v>
      </c>
      <c r="D1690" s="83">
        <f t="shared" si="207"/>
        <v>666.66666666666663</v>
      </c>
      <c r="E1690">
        <f t="shared" si="203"/>
        <v>0</v>
      </c>
      <c r="G1690">
        <v>1640</v>
      </c>
      <c r="H1690" s="13">
        <f t="shared" si="208"/>
        <v>-7.7831728503952036E-4</v>
      </c>
      <c r="I1690">
        <f t="shared" si="209"/>
        <v>155.01393493611027</v>
      </c>
      <c r="J1690">
        <f t="shared" si="204"/>
        <v>664.0295409044204</v>
      </c>
      <c r="K1690" s="27">
        <f t="shared" si="205"/>
        <v>-343.18665982727038</v>
      </c>
    </row>
    <row r="1691" spans="1:11">
      <c r="A1691" s="26">
        <v>1641</v>
      </c>
      <c r="B1691" s="82">
        <f t="shared" si="206"/>
        <v>0</v>
      </c>
      <c r="C1691" s="58">
        <f t="shared" si="210"/>
        <v>156.29037528357509</v>
      </c>
      <c r="D1691" s="83">
        <f t="shared" si="207"/>
        <v>666.66666666666663</v>
      </c>
      <c r="E1691">
        <f t="shared" si="203"/>
        <v>0</v>
      </c>
      <c r="G1691">
        <v>1641</v>
      </c>
      <c r="H1691" s="13">
        <f t="shared" si="208"/>
        <v>-7.7831728503952036E-4</v>
      </c>
      <c r="I1691">
        <f t="shared" si="209"/>
        <v>155.01315661882524</v>
      </c>
      <c r="J1691">
        <f t="shared" si="204"/>
        <v>664.02789200331756</v>
      </c>
      <c r="K1691" s="27">
        <f t="shared" si="205"/>
        <v>-343.18495541583314</v>
      </c>
    </row>
    <row r="1692" spans="1:11">
      <c r="A1692" s="26">
        <v>1642</v>
      </c>
      <c r="B1692" s="82">
        <f t="shared" si="206"/>
        <v>0</v>
      </c>
      <c r="C1692" s="58">
        <f t="shared" si="210"/>
        <v>156.29037528357509</v>
      </c>
      <c r="D1692" s="83">
        <f t="shared" si="207"/>
        <v>666.66666666666663</v>
      </c>
      <c r="E1692">
        <f t="shared" si="203"/>
        <v>0</v>
      </c>
      <c r="G1692">
        <v>1642</v>
      </c>
      <c r="H1692" s="13">
        <f t="shared" si="208"/>
        <v>-7.7831728503952036E-4</v>
      </c>
      <c r="I1692">
        <f t="shared" si="209"/>
        <v>155.0123783015402</v>
      </c>
      <c r="J1692">
        <f t="shared" si="204"/>
        <v>664.02624305028826</v>
      </c>
      <c r="K1692" s="27">
        <f t="shared" si="205"/>
        <v>-343.18325095495271</v>
      </c>
    </row>
    <row r="1693" spans="1:11">
      <c r="A1693" s="26">
        <v>1643</v>
      </c>
      <c r="B1693" s="82">
        <f t="shared" si="206"/>
        <v>0</v>
      </c>
      <c r="C1693" s="58">
        <f t="shared" si="210"/>
        <v>156.29037528357509</v>
      </c>
      <c r="D1693" s="83">
        <f t="shared" si="207"/>
        <v>666.66666666666663</v>
      </c>
      <c r="E1693">
        <f t="shared" si="203"/>
        <v>0</v>
      </c>
      <c r="G1693">
        <v>1643</v>
      </c>
      <c r="H1693" s="13">
        <f t="shared" si="208"/>
        <v>-7.7831728503952036E-4</v>
      </c>
      <c r="I1693">
        <f t="shared" si="209"/>
        <v>155.01159998425516</v>
      </c>
      <c r="J1693">
        <f t="shared" si="204"/>
        <v>664.02459404532863</v>
      </c>
      <c r="K1693" s="27">
        <f t="shared" si="205"/>
        <v>-343.18154644462561</v>
      </c>
    </row>
    <row r="1694" spans="1:11">
      <c r="A1694" s="26">
        <v>1644</v>
      </c>
      <c r="B1694" s="82">
        <f t="shared" si="206"/>
        <v>0</v>
      </c>
      <c r="C1694" s="58">
        <f t="shared" si="210"/>
        <v>156.29037528357509</v>
      </c>
      <c r="D1694" s="83">
        <f t="shared" si="207"/>
        <v>666.66666666666663</v>
      </c>
      <c r="E1694">
        <f t="shared" si="203"/>
        <v>0</v>
      </c>
      <c r="G1694">
        <v>1644</v>
      </c>
      <c r="H1694" s="13">
        <f t="shared" si="208"/>
        <v>-7.7831728503952036E-4</v>
      </c>
      <c r="I1694">
        <f t="shared" si="209"/>
        <v>155.01082166697012</v>
      </c>
      <c r="J1694">
        <f t="shared" si="204"/>
        <v>664.02294498843457</v>
      </c>
      <c r="K1694" s="27">
        <f t="shared" si="205"/>
        <v>-343.1798418848478</v>
      </c>
    </row>
    <row r="1695" spans="1:11">
      <c r="A1695" s="26">
        <v>1645</v>
      </c>
      <c r="B1695" s="82">
        <f t="shared" si="206"/>
        <v>0</v>
      </c>
      <c r="C1695" s="58">
        <f t="shared" si="210"/>
        <v>156.29037528357509</v>
      </c>
      <c r="D1695" s="83">
        <f t="shared" si="207"/>
        <v>666.66666666666663</v>
      </c>
      <c r="E1695">
        <f t="shared" si="203"/>
        <v>0</v>
      </c>
      <c r="G1695">
        <v>1645</v>
      </c>
      <c r="H1695" s="13">
        <f t="shared" si="208"/>
        <v>-7.7831728503952036E-4</v>
      </c>
      <c r="I1695">
        <f t="shared" si="209"/>
        <v>155.01004334968508</v>
      </c>
      <c r="J1695">
        <f t="shared" si="204"/>
        <v>664.02129587960201</v>
      </c>
      <c r="K1695" s="27">
        <f t="shared" si="205"/>
        <v>-343.17813727561571</v>
      </c>
    </row>
    <row r="1696" spans="1:11">
      <c r="A1696" s="26">
        <v>1646</v>
      </c>
      <c r="B1696" s="82">
        <f t="shared" si="206"/>
        <v>0</v>
      </c>
      <c r="C1696" s="58">
        <f t="shared" si="210"/>
        <v>156.29037528357509</v>
      </c>
      <c r="D1696" s="83">
        <f t="shared" si="207"/>
        <v>666.66666666666663</v>
      </c>
      <c r="E1696">
        <f t="shared" si="203"/>
        <v>0</v>
      </c>
      <c r="G1696">
        <v>1646</v>
      </c>
      <c r="H1696" s="13">
        <f t="shared" si="208"/>
        <v>-7.7831728503952036E-4</v>
      </c>
      <c r="I1696">
        <f t="shared" si="209"/>
        <v>155.00926503240004</v>
      </c>
      <c r="J1696">
        <f t="shared" si="204"/>
        <v>664.01964671882706</v>
      </c>
      <c r="K1696" s="27">
        <f t="shared" si="205"/>
        <v>-343.17643261692552</v>
      </c>
    </row>
    <row r="1697" spans="1:11">
      <c r="A1697" s="26">
        <v>1647</v>
      </c>
      <c r="B1697" s="82">
        <f t="shared" si="206"/>
        <v>0</v>
      </c>
      <c r="C1697" s="58">
        <f t="shared" si="210"/>
        <v>156.29037528357509</v>
      </c>
      <c r="D1697" s="83">
        <f t="shared" si="207"/>
        <v>666.66666666666663</v>
      </c>
      <c r="E1697">
        <f t="shared" si="203"/>
        <v>0</v>
      </c>
      <c r="G1697">
        <v>1647</v>
      </c>
      <c r="H1697" s="13">
        <f t="shared" si="208"/>
        <v>-7.7831728503952036E-4</v>
      </c>
      <c r="I1697">
        <f t="shared" si="209"/>
        <v>155.008486715115</v>
      </c>
      <c r="J1697">
        <f t="shared" si="204"/>
        <v>664.01799750610553</v>
      </c>
      <c r="K1697" s="27">
        <f t="shared" si="205"/>
        <v>-343.17472790877349</v>
      </c>
    </row>
    <row r="1698" spans="1:11">
      <c r="A1698" s="26">
        <v>1648</v>
      </c>
      <c r="B1698" s="82">
        <f t="shared" si="206"/>
        <v>0</v>
      </c>
      <c r="C1698" s="58">
        <f t="shared" si="210"/>
        <v>156.29037528357509</v>
      </c>
      <c r="D1698" s="83">
        <f t="shared" si="207"/>
        <v>666.66666666666663</v>
      </c>
      <c r="E1698">
        <f t="shared" si="203"/>
        <v>0</v>
      </c>
      <c r="G1698">
        <v>1648</v>
      </c>
      <c r="H1698" s="13">
        <f t="shared" si="208"/>
        <v>-7.7831728503952036E-4</v>
      </c>
      <c r="I1698">
        <f t="shared" si="209"/>
        <v>155.00770839782996</v>
      </c>
      <c r="J1698">
        <f t="shared" si="204"/>
        <v>664.01634824143366</v>
      </c>
      <c r="K1698" s="27">
        <f t="shared" si="205"/>
        <v>-343.17302315115575</v>
      </c>
    </row>
    <row r="1699" spans="1:11">
      <c r="A1699" s="26">
        <v>1649</v>
      </c>
      <c r="B1699" s="82">
        <f t="shared" si="206"/>
        <v>0</v>
      </c>
      <c r="C1699" s="58">
        <f t="shared" si="210"/>
        <v>156.29037528357509</v>
      </c>
      <c r="D1699" s="83">
        <f t="shared" si="207"/>
        <v>666.66666666666663</v>
      </c>
      <c r="E1699">
        <f t="shared" si="203"/>
        <v>0</v>
      </c>
      <c r="G1699">
        <v>1649</v>
      </c>
      <c r="H1699" s="13">
        <f t="shared" si="208"/>
        <v>-7.7831728503952036E-4</v>
      </c>
      <c r="I1699">
        <f t="shared" si="209"/>
        <v>155.00693008054492</v>
      </c>
      <c r="J1699">
        <f t="shared" si="204"/>
        <v>664.01469892480725</v>
      </c>
      <c r="K1699" s="27">
        <f t="shared" si="205"/>
        <v>-343.17131834406882</v>
      </c>
    </row>
    <row r="1700" spans="1:11">
      <c r="A1700" s="26">
        <v>1650</v>
      </c>
      <c r="B1700" s="82">
        <f t="shared" si="206"/>
        <v>0</v>
      </c>
      <c r="C1700" s="58">
        <f t="shared" si="210"/>
        <v>156.29037528357509</v>
      </c>
      <c r="D1700" s="83">
        <f t="shared" si="207"/>
        <v>666.66666666666663</v>
      </c>
      <c r="E1700">
        <f t="shared" si="203"/>
        <v>0</v>
      </c>
      <c r="G1700">
        <v>1650</v>
      </c>
      <c r="H1700" s="13">
        <f t="shared" si="208"/>
        <v>-7.7831728503952036E-4</v>
      </c>
      <c r="I1700">
        <f t="shared" si="209"/>
        <v>155.00615176325988</v>
      </c>
      <c r="J1700">
        <f t="shared" si="204"/>
        <v>664.01304955622231</v>
      </c>
      <c r="K1700" s="27">
        <f t="shared" si="205"/>
        <v>-343.16961348750868</v>
      </c>
    </row>
    <row r="1701" spans="1:11">
      <c r="A1701" s="26">
        <v>1651</v>
      </c>
      <c r="B1701" s="82">
        <f t="shared" si="206"/>
        <v>0</v>
      </c>
      <c r="C1701" s="58">
        <f t="shared" si="210"/>
        <v>156.29037528357509</v>
      </c>
      <c r="D1701" s="83">
        <f t="shared" si="207"/>
        <v>666.66666666666663</v>
      </c>
      <c r="E1701">
        <f t="shared" si="203"/>
        <v>0</v>
      </c>
      <c r="G1701">
        <v>1651</v>
      </c>
      <c r="H1701" s="13">
        <f t="shared" si="208"/>
        <v>-7.7831728503952036E-4</v>
      </c>
      <c r="I1701">
        <f t="shared" si="209"/>
        <v>155.00537344597484</v>
      </c>
      <c r="J1701">
        <f t="shared" si="204"/>
        <v>664.01140013567476</v>
      </c>
      <c r="K1701" s="27">
        <f t="shared" si="205"/>
        <v>-343.16790858147164</v>
      </c>
    </row>
    <row r="1702" spans="1:11">
      <c r="A1702" s="26">
        <v>1652</v>
      </c>
      <c r="B1702" s="82">
        <f t="shared" si="206"/>
        <v>0</v>
      </c>
      <c r="C1702" s="58">
        <f t="shared" si="210"/>
        <v>156.29037528357509</v>
      </c>
      <c r="D1702" s="83">
        <f t="shared" si="207"/>
        <v>666.66666666666663</v>
      </c>
      <c r="E1702">
        <f t="shared" si="203"/>
        <v>0</v>
      </c>
      <c r="G1702">
        <v>1652</v>
      </c>
      <c r="H1702" s="13">
        <f t="shared" si="208"/>
        <v>-7.7831728503952036E-4</v>
      </c>
      <c r="I1702">
        <f t="shared" si="209"/>
        <v>155.0045951286898</v>
      </c>
      <c r="J1702">
        <f t="shared" si="204"/>
        <v>664.00975066316073</v>
      </c>
      <c r="K1702" s="27">
        <f t="shared" si="205"/>
        <v>-343.16620362595404</v>
      </c>
    </row>
    <row r="1703" spans="1:11">
      <c r="A1703" s="26">
        <v>1653</v>
      </c>
      <c r="B1703" s="82">
        <f t="shared" si="206"/>
        <v>0</v>
      </c>
      <c r="C1703" s="58">
        <f t="shared" si="210"/>
        <v>156.29037528357509</v>
      </c>
      <c r="D1703" s="83">
        <f t="shared" si="207"/>
        <v>666.66666666666663</v>
      </c>
      <c r="E1703">
        <f t="shared" si="203"/>
        <v>0</v>
      </c>
      <c r="G1703">
        <v>1653</v>
      </c>
      <c r="H1703" s="13">
        <f t="shared" si="208"/>
        <v>-7.7831728503952036E-4</v>
      </c>
      <c r="I1703">
        <f t="shared" si="209"/>
        <v>155.00381681140476</v>
      </c>
      <c r="J1703">
        <f t="shared" si="204"/>
        <v>664.00810113867612</v>
      </c>
      <c r="K1703" s="27">
        <f t="shared" si="205"/>
        <v>-343.16449862095209</v>
      </c>
    </row>
    <row r="1704" spans="1:11">
      <c r="A1704" s="26">
        <v>1654</v>
      </c>
      <c r="B1704" s="82">
        <f t="shared" si="206"/>
        <v>0</v>
      </c>
      <c r="C1704" s="58">
        <f t="shared" si="210"/>
        <v>156.29037528357509</v>
      </c>
      <c r="D1704" s="83">
        <f t="shared" si="207"/>
        <v>666.66666666666663</v>
      </c>
      <c r="E1704">
        <f t="shared" si="203"/>
        <v>0</v>
      </c>
      <c r="G1704">
        <v>1654</v>
      </c>
      <c r="H1704" s="13">
        <f t="shared" si="208"/>
        <v>-7.7831728503952036E-4</v>
      </c>
      <c r="I1704">
        <f t="shared" si="209"/>
        <v>155.00303849411972</v>
      </c>
      <c r="J1704">
        <f t="shared" si="204"/>
        <v>664.00645156221685</v>
      </c>
      <c r="K1704" s="27">
        <f t="shared" si="205"/>
        <v>-343.16279356646197</v>
      </c>
    </row>
    <row r="1705" spans="1:11">
      <c r="A1705" s="26">
        <v>1655</v>
      </c>
      <c r="B1705" s="82">
        <f t="shared" si="206"/>
        <v>0</v>
      </c>
      <c r="C1705" s="58">
        <f t="shared" si="210"/>
        <v>156.29037528357509</v>
      </c>
      <c r="D1705" s="83">
        <f t="shared" si="207"/>
        <v>666.66666666666663</v>
      </c>
      <c r="E1705">
        <f t="shared" si="203"/>
        <v>0</v>
      </c>
      <c r="G1705">
        <v>1655</v>
      </c>
      <c r="H1705" s="13">
        <f t="shared" si="208"/>
        <v>-7.7831728503952036E-4</v>
      </c>
      <c r="I1705">
        <f t="shared" si="209"/>
        <v>155.00226017683468</v>
      </c>
      <c r="J1705">
        <f t="shared" si="204"/>
        <v>664.00480193377916</v>
      </c>
      <c r="K1705" s="27">
        <f t="shared" si="205"/>
        <v>-343.16108846248</v>
      </c>
    </row>
    <row r="1706" spans="1:11">
      <c r="A1706" s="26">
        <v>1656</v>
      </c>
      <c r="B1706" s="82">
        <f t="shared" si="206"/>
        <v>0</v>
      </c>
      <c r="C1706" s="58">
        <f t="shared" si="210"/>
        <v>156.29037528357509</v>
      </c>
      <c r="D1706" s="83">
        <f t="shared" si="207"/>
        <v>666.66666666666663</v>
      </c>
      <c r="E1706">
        <f t="shared" si="203"/>
        <v>0</v>
      </c>
      <c r="G1706">
        <v>1656</v>
      </c>
      <c r="H1706" s="13">
        <f t="shared" si="208"/>
        <v>-7.7831728503952036E-4</v>
      </c>
      <c r="I1706">
        <f t="shared" si="209"/>
        <v>155.00148185954964</v>
      </c>
      <c r="J1706">
        <f t="shared" si="204"/>
        <v>664.00315225335862</v>
      </c>
      <c r="K1706" s="27">
        <f t="shared" si="205"/>
        <v>-343.15938330900241</v>
      </c>
    </row>
    <row r="1707" spans="1:11">
      <c r="A1707" s="26">
        <v>1657</v>
      </c>
      <c r="B1707" s="82">
        <f t="shared" si="206"/>
        <v>0</v>
      </c>
      <c r="C1707" s="58">
        <f t="shared" si="210"/>
        <v>156.29037528357509</v>
      </c>
      <c r="D1707" s="83">
        <f t="shared" si="207"/>
        <v>666.66666666666663</v>
      </c>
      <c r="E1707">
        <f t="shared" si="203"/>
        <v>0</v>
      </c>
      <c r="G1707">
        <v>1657</v>
      </c>
      <c r="H1707" s="13">
        <f t="shared" si="208"/>
        <v>-7.7831728503952036E-4</v>
      </c>
      <c r="I1707">
        <f t="shared" si="209"/>
        <v>155.0007035422646</v>
      </c>
      <c r="J1707">
        <f t="shared" si="204"/>
        <v>664.00150252095159</v>
      </c>
      <c r="K1707" s="27">
        <f t="shared" si="205"/>
        <v>-343.15767810602551</v>
      </c>
    </row>
    <row r="1708" spans="1:11">
      <c r="A1708" s="26">
        <v>1658</v>
      </c>
      <c r="B1708" s="82">
        <f t="shared" si="206"/>
        <v>0</v>
      </c>
      <c r="C1708" s="58">
        <f t="shared" si="210"/>
        <v>156.29037528357509</v>
      </c>
      <c r="D1708" s="83">
        <f t="shared" si="207"/>
        <v>666.66666666666663</v>
      </c>
      <c r="E1708">
        <f t="shared" si="203"/>
        <v>0</v>
      </c>
      <c r="G1708">
        <v>1658</v>
      </c>
      <c r="H1708" s="13">
        <f t="shared" si="208"/>
        <v>-7.7831728503952036E-4</v>
      </c>
      <c r="I1708">
        <f t="shared" si="209"/>
        <v>154.99992522497956</v>
      </c>
      <c r="J1708">
        <f t="shared" si="204"/>
        <v>663.99985273655386</v>
      </c>
      <c r="K1708" s="27">
        <f t="shared" si="205"/>
        <v>-343.15597285354539</v>
      </c>
    </row>
    <row r="1709" spans="1:11">
      <c r="A1709" s="26">
        <v>1659</v>
      </c>
      <c r="B1709" s="82">
        <f t="shared" si="206"/>
        <v>0</v>
      </c>
      <c r="C1709" s="58">
        <f t="shared" si="210"/>
        <v>156.29037528357509</v>
      </c>
      <c r="D1709" s="83">
        <f t="shared" si="207"/>
        <v>666.66666666666663</v>
      </c>
      <c r="E1709">
        <f t="shared" si="203"/>
        <v>0</v>
      </c>
      <c r="G1709">
        <v>1659</v>
      </c>
      <c r="H1709" s="13">
        <f t="shared" si="208"/>
        <v>-7.7831728503952036E-4</v>
      </c>
      <c r="I1709">
        <f t="shared" si="209"/>
        <v>154.99914690769452</v>
      </c>
      <c r="J1709">
        <f t="shared" si="204"/>
        <v>663.99820290016146</v>
      </c>
      <c r="K1709" s="27">
        <f t="shared" si="205"/>
        <v>-343.15426755155846</v>
      </c>
    </row>
    <row r="1710" spans="1:11">
      <c r="A1710" s="26">
        <v>1660</v>
      </c>
      <c r="B1710" s="82">
        <f t="shared" si="206"/>
        <v>0</v>
      </c>
      <c r="C1710" s="58">
        <f t="shared" si="210"/>
        <v>156.29037528357509</v>
      </c>
      <c r="D1710" s="83">
        <f t="shared" si="207"/>
        <v>666.66666666666663</v>
      </c>
      <c r="E1710">
        <f t="shared" si="203"/>
        <v>0</v>
      </c>
      <c r="G1710">
        <v>1660</v>
      </c>
      <c r="H1710" s="13">
        <f t="shared" si="208"/>
        <v>-7.7831728503952036E-4</v>
      </c>
      <c r="I1710">
        <f t="shared" si="209"/>
        <v>154.99836859040948</v>
      </c>
      <c r="J1710">
        <f t="shared" si="204"/>
        <v>663.99655301177029</v>
      </c>
      <c r="K1710" s="27">
        <f t="shared" si="205"/>
        <v>-343.15256220006086</v>
      </c>
    </row>
    <row r="1711" spans="1:11">
      <c r="A1711" s="26">
        <v>1661</v>
      </c>
      <c r="B1711" s="82">
        <f t="shared" si="206"/>
        <v>0</v>
      </c>
      <c r="C1711" s="58">
        <f t="shared" si="210"/>
        <v>156.29037528357509</v>
      </c>
      <c r="D1711" s="83">
        <f t="shared" si="207"/>
        <v>666.66666666666663</v>
      </c>
      <c r="E1711">
        <f t="shared" si="203"/>
        <v>0</v>
      </c>
      <c r="G1711">
        <v>1661</v>
      </c>
      <c r="H1711" s="13">
        <f t="shared" si="208"/>
        <v>-7.7831728503952036E-4</v>
      </c>
      <c r="I1711">
        <f t="shared" si="209"/>
        <v>154.99759027312444</v>
      </c>
      <c r="J1711">
        <f t="shared" si="204"/>
        <v>663.99490307137648</v>
      </c>
      <c r="K1711" s="27">
        <f t="shared" si="205"/>
        <v>-343.15085679904888</v>
      </c>
    </row>
    <row r="1712" spans="1:11">
      <c r="A1712" s="26">
        <v>1662</v>
      </c>
      <c r="B1712" s="82">
        <f t="shared" si="206"/>
        <v>0</v>
      </c>
      <c r="C1712" s="58">
        <f t="shared" si="210"/>
        <v>156.29037528357509</v>
      </c>
      <c r="D1712" s="83">
        <f t="shared" si="207"/>
        <v>666.66666666666663</v>
      </c>
      <c r="E1712">
        <f t="shared" si="203"/>
        <v>0</v>
      </c>
      <c r="G1712">
        <v>1662</v>
      </c>
      <c r="H1712" s="13">
        <f t="shared" si="208"/>
        <v>-7.7831728503952036E-4</v>
      </c>
      <c r="I1712">
        <f t="shared" si="209"/>
        <v>154.99681195583941</v>
      </c>
      <c r="J1712">
        <f t="shared" si="204"/>
        <v>663.99325307897584</v>
      </c>
      <c r="K1712" s="27">
        <f t="shared" si="205"/>
        <v>-343.14915134851867</v>
      </c>
    </row>
    <row r="1713" spans="1:11">
      <c r="A1713" s="26">
        <v>1663</v>
      </c>
      <c r="B1713" s="82">
        <f t="shared" si="206"/>
        <v>0</v>
      </c>
      <c r="C1713" s="58">
        <f t="shared" si="210"/>
        <v>156.29037528357509</v>
      </c>
      <c r="D1713" s="83">
        <f t="shared" si="207"/>
        <v>666.66666666666663</v>
      </c>
      <c r="E1713">
        <f t="shared" si="203"/>
        <v>0</v>
      </c>
      <c r="G1713">
        <v>1663</v>
      </c>
      <c r="H1713" s="13">
        <f t="shared" si="208"/>
        <v>-7.7831728503952036E-4</v>
      </c>
      <c r="I1713">
        <f t="shared" si="209"/>
        <v>154.99603363855437</v>
      </c>
      <c r="J1713">
        <f t="shared" si="204"/>
        <v>663.99160303456449</v>
      </c>
      <c r="K1713" s="27">
        <f t="shared" si="205"/>
        <v>-343.1474458484667</v>
      </c>
    </row>
    <row r="1714" spans="1:11">
      <c r="A1714" s="26">
        <v>1664</v>
      </c>
      <c r="B1714" s="82">
        <f t="shared" si="206"/>
        <v>0</v>
      </c>
      <c r="C1714" s="58">
        <f t="shared" si="210"/>
        <v>156.29037528357509</v>
      </c>
      <c r="D1714" s="83">
        <f t="shared" si="207"/>
        <v>666.66666666666663</v>
      </c>
      <c r="E1714">
        <f t="shared" si="203"/>
        <v>0</v>
      </c>
      <c r="G1714">
        <v>1664</v>
      </c>
      <c r="H1714" s="13">
        <f t="shared" si="208"/>
        <v>-7.7831728503952036E-4</v>
      </c>
      <c r="I1714">
        <f t="shared" si="209"/>
        <v>154.99525532126933</v>
      </c>
      <c r="J1714">
        <f t="shared" si="204"/>
        <v>663.98995293813834</v>
      </c>
      <c r="K1714" s="27">
        <f t="shared" si="205"/>
        <v>-343.14574029888882</v>
      </c>
    </row>
    <row r="1715" spans="1:11">
      <c r="A1715" s="26">
        <v>1665</v>
      </c>
      <c r="B1715" s="82">
        <f t="shared" si="206"/>
        <v>0</v>
      </c>
      <c r="C1715" s="58">
        <f t="shared" si="210"/>
        <v>156.29037528357509</v>
      </c>
      <c r="D1715" s="83">
        <f t="shared" si="207"/>
        <v>666.66666666666663</v>
      </c>
      <c r="E1715">
        <f t="shared" ref="E1715:E1778" si="211">((D1715^2)+(D1715*D1716)+(D1716^2))*B1716/3</f>
        <v>0</v>
      </c>
      <c r="G1715">
        <v>1665</v>
      </c>
      <c r="H1715" s="13">
        <f t="shared" si="208"/>
        <v>-7.7831728503952036E-4</v>
      </c>
      <c r="I1715">
        <f t="shared" si="209"/>
        <v>154.99447700398429</v>
      </c>
      <c r="J1715">
        <f t="shared" ref="J1715:J1778" si="212">IF($G$28&lt;$C$14,0,((($C$11^2)-((I1715-$C$13)^2))^0.5)+$C$16)</f>
        <v>663.98830278969331</v>
      </c>
      <c r="K1715" s="27">
        <f t="shared" ref="K1715:K1778" si="213">((J1715^2)+(J1715*J1716)+(J1716^2))*H1716/3</f>
        <v>-343.14403469978168</v>
      </c>
    </row>
    <row r="1716" spans="1:11">
      <c r="A1716" s="26">
        <v>1666</v>
      </c>
      <c r="B1716" s="82">
        <f t="shared" ref="B1716:B1779" si="214">C1716-C1715</f>
        <v>0</v>
      </c>
      <c r="C1716" s="58">
        <f t="shared" si="210"/>
        <v>156.29037528357509</v>
      </c>
      <c r="D1716" s="83">
        <f t="shared" ref="D1716:D1779" si="215">IF($G$28&lt;$C$14,0,((($C$11^2)-((C1716-$C$13)^2))^0.5)+$C$16)</f>
        <v>666.66666666666663</v>
      </c>
      <c r="E1716">
        <f t="shared" si="211"/>
        <v>0</v>
      </c>
      <c r="G1716">
        <v>1666</v>
      </c>
      <c r="H1716" s="13">
        <f t="shared" ref="H1716:H1779" si="216">I1716-I1715</f>
        <v>-7.7831728503952036E-4</v>
      </c>
      <c r="I1716">
        <f t="shared" ref="I1716:I1779" si="217">($G$27-$C$14)/2000+I1715</f>
        <v>154.99369868669925</v>
      </c>
      <c r="J1716">
        <f t="shared" si="212"/>
        <v>663.98665258922551</v>
      </c>
      <c r="K1716" s="27">
        <f t="shared" si="213"/>
        <v>-343.14232905114136</v>
      </c>
    </row>
    <row r="1717" spans="1:11">
      <c r="A1717" s="26">
        <v>1667</v>
      </c>
      <c r="B1717" s="82">
        <f t="shared" si="214"/>
        <v>0</v>
      </c>
      <c r="C1717" s="58">
        <f t="shared" si="210"/>
        <v>156.29037528357509</v>
      </c>
      <c r="D1717" s="83">
        <f t="shared" si="215"/>
        <v>666.66666666666663</v>
      </c>
      <c r="E1717">
        <f t="shared" si="211"/>
        <v>0</v>
      </c>
      <c r="G1717">
        <v>1667</v>
      </c>
      <c r="H1717" s="13">
        <f t="shared" si="216"/>
        <v>-7.7831728503952036E-4</v>
      </c>
      <c r="I1717">
        <f t="shared" si="217"/>
        <v>154.99292036941421</v>
      </c>
      <c r="J1717">
        <f t="shared" si="212"/>
        <v>663.98500233673076</v>
      </c>
      <c r="K1717" s="27">
        <f t="shared" si="213"/>
        <v>-343.14062335296404</v>
      </c>
    </row>
    <row r="1718" spans="1:11">
      <c r="A1718" s="26">
        <v>1668</v>
      </c>
      <c r="B1718" s="82">
        <f t="shared" si="214"/>
        <v>0</v>
      </c>
      <c r="C1718" s="58">
        <f t="shared" si="210"/>
        <v>156.29037528357509</v>
      </c>
      <c r="D1718" s="83">
        <f t="shared" si="215"/>
        <v>666.66666666666663</v>
      </c>
      <c r="E1718">
        <f t="shared" si="211"/>
        <v>0</v>
      </c>
      <c r="G1718">
        <v>1668</v>
      </c>
      <c r="H1718" s="13">
        <f t="shared" si="216"/>
        <v>-7.7831728503952036E-4</v>
      </c>
      <c r="I1718">
        <f t="shared" si="217"/>
        <v>154.99214205212917</v>
      </c>
      <c r="J1718">
        <f t="shared" si="212"/>
        <v>663.98335203220518</v>
      </c>
      <c r="K1718" s="27">
        <f t="shared" si="213"/>
        <v>-343.13891760524598</v>
      </c>
    </row>
    <row r="1719" spans="1:11">
      <c r="A1719" s="26">
        <v>1669</v>
      </c>
      <c r="B1719" s="82">
        <f t="shared" si="214"/>
        <v>0</v>
      </c>
      <c r="C1719" s="58">
        <f t="shared" si="210"/>
        <v>156.29037528357509</v>
      </c>
      <c r="D1719" s="83">
        <f t="shared" si="215"/>
        <v>666.66666666666663</v>
      </c>
      <c r="E1719">
        <f t="shared" si="211"/>
        <v>0</v>
      </c>
      <c r="G1719">
        <v>1669</v>
      </c>
      <c r="H1719" s="13">
        <f t="shared" si="216"/>
        <v>-7.7831728503952036E-4</v>
      </c>
      <c r="I1719">
        <f t="shared" si="217"/>
        <v>154.99136373484413</v>
      </c>
      <c r="J1719">
        <f t="shared" si="212"/>
        <v>663.98170167564467</v>
      </c>
      <c r="K1719" s="27">
        <f t="shared" si="213"/>
        <v>-343.13721180798353</v>
      </c>
    </row>
    <row r="1720" spans="1:11">
      <c r="A1720" s="26">
        <v>1670</v>
      </c>
      <c r="B1720" s="82">
        <f t="shared" si="214"/>
        <v>0</v>
      </c>
      <c r="C1720" s="58">
        <f t="shared" si="210"/>
        <v>156.29037528357509</v>
      </c>
      <c r="D1720" s="83">
        <f t="shared" si="215"/>
        <v>666.66666666666663</v>
      </c>
      <c r="E1720">
        <f t="shared" si="211"/>
        <v>0</v>
      </c>
      <c r="G1720">
        <v>1670</v>
      </c>
      <c r="H1720" s="13">
        <f t="shared" si="216"/>
        <v>-7.7831728503952036E-4</v>
      </c>
      <c r="I1720">
        <f t="shared" si="217"/>
        <v>154.99058541755909</v>
      </c>
      <c r="J1720">
        <f t="shared" si="212"/>
        <v>663.98005126704516</v>
      </c>
      <c r="K1720" s="27">
        <f t="shared" si="213"/>
        <v>-343.13550596117278</v>
      </c>
    </row>
    <row r="1721" spans="1:11">
      <c r="A1721" s="26">
        <v>1671</v>
      </c>
      <c r="B1721" s="82">
        <f t="shared" si="214"/>
        <v>0</v>
      </c>
      <c r="C1721" s="58">
        <f t="shared" si="210"/>
        <v>156.29037528357509</v>
      </c>
      <c r="D1721" s="83">
        <f t="shared" si="215"/>
        <v>666.66666666666663</v>
      </c>
      <c r="E1721">
        <f t="shared" si="211"/>
        <v>0</v>
      </c>
      <c r="G1721">
        <v>1671</v>
      </c>
      <c r="H1721" s="13">
        <f t="shared" si="216"/>
        <v>-7.7831728503952036E-4</v>
      </c>
      <c r="I1721">
        <f t="shared" si="217"/>
        <v>154.98980710027405</v>
      </c>
      <c r="J1721">
        <f t="shared" si="212"/>
        <v>663.97840080640276</v>
      </c>
      <c r="K1721" s="27">
        <f t="shared" si="213"/>
        <v>-343.13380006481003</v>
      </c>
    </row>
    <row r="1722" spans="1:11">
      <c r="A1722" s="26">
        <v>1672</v>
      </c>
      <c r="B1722" s="82">
        <f t="shared" si="214"/>
        <v>0</v>
      </c>
      <c r="C1722" s="58">
        <f t="shared" si="210"/>
        <v>156.29037528357509</v>
      </c>
      <c r="D1722" s="83">
        <f t="shared" si="215"/>
        <v>666.66666666666663</v>
      </c>
      <c r="E1722">
        <f t="shared" si="211"/>
        <v>0</v>
      </c>
      <c r="G1722">
        <v>1672</v>
      </c>
      <c r="H1722" s="13">
        <f t="shared" si="216"/>
        <v>-7.7831728503952036E-4</v>
      </c>
      <c r="I1722">
        <f t="shared" si="217"/>
        <v>154.98902878298901</v>
      </c>
      <c r="J1722">
        <f t="shared" si="212"/>
        <v>663.97675029371328</v>
      </c>
      <c r="K1722" s="27">
        <f t="shared" si="213"/>
        <v>-343.13209411889153</v>
      </c>
    </row>
    <row r="1723" spans="1:11">
      <c r="A1723" s="26">
        <v>1673</v>
      </c>
      <c r="B1723" s="82">
        <f t="shared" si="214"/>
        <v>0</v>
      </c>
      <c r="C1723" s="58">
        <f t="shared" si="210"/>
        <v>156.29037528357509</v>
      </c>
      <c r="D1723" s="83">
        <f t="shared" si="215"/>
        <v>666.66666666666663</v>
      </c>
      <c r="E1723">
        <f t="shared" si="211"/>
        <v>0</v>
      </c>
      <c r="G1723">
        <v>1673</v>
      </c>
      <c r="H1723" s="13">
        <f t="shared" si="216"/>
        <v>-7.7831728503952036E-4</v>
      </c>
      <c r="I1723">
        <f t="shared" si="217"/>
        <v>154.98825046570397</v>
      </c>
      <c r="J1723">
        <f t="shared" si="212"/>
        <v>663.97509972897285</v>
      </c>
      <c r="K1723" s="27">
        <f t="shared" si="213"/>
        <v>-343.13038812341364</v>
      </c>
    </row>
    <row r="1724" spans="1:11">
      <c r="A1724" s="26">
        <v>1674</v>
      </c>
      <c r="B1724" s="82">
        <f t="shared" si="214"/>
        <v>0</v>
      </c>
      <c r="C1724" s="58">
        <f t="shared" si="210"/>
        <v>156.29037528357509</v>
      </c>
      <c r="D1724" s="83">
        <f t="shared" si="215"/>
        <v>666.66666666666663</v>
      </c>
      <c r="E1724">
        <f t="shared" si="211"/>
        <v>0</v>
      </c>
      <c r="G1724">
        <v>1674</v>
      </c>
      <c r="H1724" s="13">
        <f t="shared" si="216"/>
        <v>-7.7831728503952036E-4</v>
      </c>
      <c r="I1724">
        <f t="shared" si="217"/>
        <v>154.98747214841893</v>
      </c>
      <c r="J1724">
        <f t="shared" si="212"/>
        <v>663.97344911217726</v>
      </c>
      <c r="K1724" s="27">
        <f t="shared" si="213"/>
        <v>-343.12868207837232</v>
      </c>
    </row>
    <row r="1725" spans="1:11">
      <c r="A1725" s="26">
        <v>1675</v>
      </c>
      <c r="B1725" s="82">
        <f t="shared" si="214"/>
        <v>0</v>
      </c>
      <c r="C1725" s="58">
        <f t="shared" si="210"/>
        <v>156.29037528357509</v>
      </c>
      <c r="D1725" s="83">
        <f t="shared" si="215"/>
        <v>666.66666666666663</v>
      </c>
      <c r="E1725">
        <f t="shared" si="211"/>
        <v>0</v>
      </c>
      <c r="G1725">
        <v>1675</v>
      </c>
      <c r="H1725" s="13">
        <f t="shared" si="216"/>
        <v>-7.7831728503952036E-4</v>
      </c>
      <c r="I1725">
        <f t="shared" si="217"/>
        <v>154.98669383113389</v>
      </c>
      <c r="J1725">
        <f t="shared" si="212"/>
        <v>663.97179844332265</v>
      </c>
      <c r="K1725" s="27">
        <f t="shared" si="213"/>
        <v>-343.12697598376411</v>
      </c>
    </row>
    <row r="1726" spans="1:11">
      <c r="A1726" s="26">
        <v>1676</v>
      </c>
      <c r="B1726" s="82">
        <f t="shared" si="214"/>
        <v>0</v>
      </c>
      <c r="C1726" s="58">
        <f t="shared" si="210"/>
        <v>156.29037528357509</v>
      </c>
      <c r="D1726" s="83">
        <f t="shared" si="215"/>
        <v>666.66666666666663</v>
      </c>
      <c r="E1726">
        <f t="shared" si="211"/>
        <v>0</v>
      </c>
      <c r="G1726">
        <v>1676</v>
      </c>
      <c r="H1726" s="13">
        <f t="shared" si="216"/>
        <v>-7.7831728503952036E-4</v>
      </c>
      <c r="I1726">
        <f t="shared" si="217"/>
        <v>154.98591551384885</v>
      </c>
      <c r="J1726">
        <f t="shared" si="212"/>
        <v>663.97014772240493</v>
      </c>
      <c r="K1726" s="27">
        <f t="shared" si="213"/>
        <v>-343.12526983958492</v>
      </c>
    </row>
    <row r="1727" spans="1:11">
      <c r="A1727" s="26">
        <v>1677</v>
      </c>
      <c r="B1727" s="82">
        <f t="shared" si="214"/>
        <v>0</v>
      </c>
      <c r="C1727" s="58">
        <f t="shared" si="210"/>
        <v>156.29037528357509</v>
      </c>
      <c r="D1727" s="83">
        <f t="shared" si="215"/>
        <v>666.66666666666663</v>
      </c>
      <c r="E1727">
        <f t="shared" si="211"/>
        <v>0</v>
      </c>
      <c r="G1727">
        <v>1677</v>
      </c>
      <c r="H1727" s="13">
        <f t="shared" si="216"/>
        <v>-7.7831728503952036E-4</v>
      </c>
      <c r="I1727">
        <f t="shared" si="217"/>
        <v>154.98513719656381</v>
      </c>
      <c r="J1727">
        <f t="shared" si="212"/>
        <v>663.96849694942</v>
      </c>
      <c r="K1727" s="27">
        <f t="shared" si="213"/>
        <v>-343.12356364583133</v>
      </c>
    </row>
    <row r="1728" spans="1:11">
      <c r="A1728" s="26">
        <v>1678</v>
      </c>
      <c r="B1728" s="82">
        <f t="shared" si="214"/>
        <v>0</v>
      </c>
      <c r="C1728" s="58">
        <f t="shared" si="210"/>
        <v>156.29037528357509</v>
      </c>
      <c r="D1728" s="83">
        <f t="shared" si="215"/>
        <v>666.66666666666663</v>
      </c>
      <c r="E1728">
        <f t="shared" si="211"/>
        <v>0</v>
      </c>
      <c r="G1728">
        <v>1678</v>
      </c>
      <c r="H1728" s="13">
        <f t="shared" si="216"/>
        <v>-7.7831728503952036E-4</v>
      </c>
      <c r="I1728">
        <f t="shared" si="217"/>
        <v>154.98435887927877</v>
      </c>
      <c r="J1728">
        <f t="shared" si="212"/>
        <v>663.966846124364</v>
      </c>
      <c r="K1728" s="27">
        <f t="shared" si="213"/>
        <v>-343.12185740249924</v>
      </c>
    </row>
    <row r="1729" spans="1:11">
      <c r="A1729" s="26">
        <v>1679</v>
      </c>
      <c r="B1729" s="82">
        <f t="shared" si="214"/>
        <v>0</v>
      </c>
      <c r="C1729" s="58">
        <f t="shared" si="210"/>
        <v>156.29037528357509</v>
      </c>
      <c r="D1729" s="83">
        <f t="shared" si="215"/>
        <v>666.66666666666663</v>
      </c>
      <c r="E1729">
        <f t="shared" si="211"/>
        <v>0</v>
      </c>
      <c r="G1729">
        <v>1679</v>
      </c>
      <c r="H1729" s="13">
        <f t="shared" si="216"/>
        <v>-7.7831728503952036E-4</v>
      </c>
      <c r="I1729">
        <f t="shared" si="217"/>
        <v>154.98358056199373</v>
      </c>
      <c r="J1729">
        <f t="shared" si="212"/>
        <v>663.96519524723271</v>
      </c>
      <c r="K1729" s="27">
        <f t="shared" si="213"/>
        <v>-343.12015110958515</v>
      </c>
    </row>
    <row r="1730" spans="1:11">
      <c r="A1730" s="26">
        <v>1680</v>
      </c>
      <c r="B1730" s="82">
        <f t="shared" si="214"/>
        <v>0</v>
      </c>
      <c r="C1730" s="58">
        <f t="shared" si="210"/>
        <v>156.29037528357509</v>
      </c>
      <c r="D1730" s="83">
        <f t="shared" si="215"/>
        <v>666.66666666666663</v>
      </c>
      <c r="E1730">
        <f t="shared" si="211"/>
        <v>0</v>
      </c>
      <c r="G1730">
        <v>1680</v>
      </c>
      <c r="H1730" s="13">
        <f t="shared" si="216"/>
        <v>-7.7831728503952036E-4</v>
      </c>
      <c r="I1730">
        <f t="shared" si="217"/>
        <v>154.98280224470869</v>
      </c>
      <c r="J1730">
        <f t="shared" si="212"/>
        <v>663.96354431802217</v>
      </c>
      <c r="K1730" s="27">
        <f t="shared" si="213"/>
        <v>-343.11844476708512</v>
      </c>
    </row>
    <row r="1731" spans="1:11">
      <c r="A1731" s="26">
        <v>1681</v>
      </c>
      <c r="B1731" s="82">
        <f t="shared" si="214"/>
        <v>0</v>
      </c>
      <c r="C1731" s="58">
        <f t="shared" si="210"/>
        <v>156.29037528357509</v>
      </c>
      <c r="D1731" s="83">
        <f t="shared" si="215"/>
        <v>666.66666666666663</v>
      </c>
      <c r="E1731">
        <f t="shared" si="211"/>
        <v>0</v>
      </c>
      <c r="G1731">
        <v>1681</v>
      </c>
      <c r="H1731" s="13">
        <f t="shared" si="216"/>
        <v>-7.7831728503952036E-4</v>
      </c>
      <c r="I1731">
        <f t="shared" si="217"/>
        <v>154.98202392742365</v>
      </c>
      <c r="J1731">
        <f t="shared" si="212"/>
        <v>663.96189333672828</v>
      </c>
      <c r="K1731" s="27">
        <f t="shared" si="213"/>
        <v>-343.11673837499535</v>
      </c>
    </row>
    <row r="1732" spans="1:11">
      <c r="A1732" s="26">
        <v>1682</v>
      </c>
      <c r="B1732" s="82">
        <f t="shared" si="214"/>
        <v>0</v>
      </c>
      <c r="C1732" s="58">
        <f t="shared" si="210"/>
        <v>156.29037528357509</v>
      </c>
      <c r="D1732" s="83">
        <f t="shared" si="215"/>
        <v>666.66666666666663</v>
      </c>
      <c r="E1732">
        <f t="shared" si="211"/>
        <v>0</v>
      </c>
      <c r="G1732">
        <v>1682</v>
      </c>
      <c r="H1732" s="13">
        <f t="shared" si="216"/>
        <v>-7.7831728503952036E-4</v>
      </c>
      <c r="I1732">
        <f t="shared" si="217"/>
        <v>154.98124561013861</v>
      </c>
      <c r="J1732">
        <f t="shared" si="212"/>
        <v>663.96024230334717</v>
      </c>
      <c r="K1732" s="27">
        <f t="shared" si="213"/>
        <v>-343.11503193331242</v>
      </c>
    </row>
    <row r="1733" spans="1:11">
      <c r="A1733" s="26">
        <v>1683</v>
      </c>
      <c r="B1733" s="82">
        <f t="shared" si="214"/>
        <v>0</v>
      </c>
      <c r="C1733" s="58">
        <f t="shared" si="210"/>
        <v>156.29037528357509</v>
      </c>
      <c r="D1733" s="83">
        <f t="shared" si="215"/>
        <v>666.66666666666663</v>
      </c>
      <c r="E1733">
        <f t="shared" si="211"/>
        <v>0</v>
      </c>
      <c r="G1733">
        <v>1683</v>
      </c>
      <c r="H1733" s="13">
        <f t="shared" si="216"/>
        <v>-7.7831728503952036E-4</v>
      </c>
      <c r="I1733">
        <f t="shared" si="217"/>
        <v>154.98046729285358</v>
      </c>
      <c r="J1733">
        <f t="shared" si="212"/>
        <v>663.95859121787475</v>
      </c>
      <c r="K1733" s="27">
        <f t="shared" si="213"/>
        <v>-343.11332544203225</v>
      </c>
    </row>
    <row r="1734" spans="1:11">
      <c r="A1734" s="26">
        <v>1684</v>
      </c>
      <c r="B1734" s="82">
        <f t="shared" si="214"/>
        <v>0</v>
      </c>
      <c r="C1734" s="58">
        <f t="shared" si="210"/>
        <v>156.29037528357509</v>
      </c>
      <c r="D1734" s="83">
        <f t="shared" si="215"/>
        <v>666.66666666666663</v>
      </c>
      <c r="E1734">
        <f t="shared" si="211"/>
        <v>0</v>
      </c>
      <c r="G1734">
        <v>1684</v>
      </c>
      <c r="H1734" s="13">
        <f t="shared" si="216"/>
        <v>-7.7831728503952036E-4</v>
      </c>
      <c r="I1734">
        <f t="shared" si="217"/>
        <v>154.97968897556854</v>
      </c>
      <c r="J1734">
        <f t="shared" si="212"/>
        <v>663.95694008030682</v>
      </c>
      <c r="K1734" s="27">
        <f t="shared" si="213"/>
        <v>-343.11161890115096</v>
      </c>
    </row>
    <row r="1735" spans="1:11">
      <c r="A1735" s="26">
        <v>1685</v>
      </c>
      <c r="B1735" s="82">
        <f t="shared" si="214"/>
        <v>0</v>
      </c>
      <c r="C1735" s="58">
        <f t="shared" si="210"/>
        <v>156.29037528357509</v>
      </c>
      <c r="D1735" s="83">
        <f t="shared" si="215"/>
        <v>666.66666666666663</v>
      </c>
      <c r="E1735">
        <f t="shared" si="211"/>
        <v>0</v>
      </c>
      <c r="G1735">
        <v>1685</v>
      </c>
      <c r="H1735" s="13">
        <f t="shared" si="216"/>
        <v>-7.7831728503952036E-4</v>
      </c>
      <c r="I1735">
        <f t="shared" si="217"/>
        <v>154.9789106582835</v>
      </c>
      <c r="J1735">
        <f t="shared" si="212"/>
        <v>663.95528889063962</v>
      </c>
      <c r="K1735" s="27">
        <f t="shared" si="213"/>
        <v>-343.10991231066515</v>
      </c>
    </row>
    <row r="1736" spans="1:11">
      <c r="A1736" s="26">
        <v>1686</v>
      </c>
      <c r="B1736" s="82">
        <f t="shared" si="214"/>
        <v>0</v>
      </c>
      <c r="C1736" s="58">
        <f t="shared" si="210"/>
        <v>156.29037528357509</v>
      </c>
      <c r="D1736" s="83">
        <f t="shared" si="215"/>
        <v>666.66666666666663</v>
      </c>
      <c r="E1736">
        <f t="shared" si="211"/>
        <v>0</v>
      </c>
      <c r="G1736">
        <v>1686</v>
      </c>
      <c r="H1736" s="13">
        <f t="shared" si="216"/>
        <v>-7.7831728503952036E-4</v>
      </c>
      <c r="I1736">
        <f t="shared" si="217"/>
        <v>154.97813234099846</v>
      </c>
      <c r="J1736">
        <f t="shared" si="212"/>
        <v>663.95363764886883</v>
      </c>
      <c r="K1736" s="27">
        <f t="shared" si="213"/>
        <v>-343.10820567057084</v>
      </c>
    </row>
    <row r="1737" spans="1:11">
      <c r="A1737" s="26">
        <v>1687</v>
      </c>
      <c r="B1737" s="82">
        <f t="shared" si="214"/>
        <v>0</v>
      </c>
      <c r="C1737" s="58">
        <f t="shared" si="210"/>
        <v>156.29037528357509</v>
      </c>
      <c r="D1737" s="83">
        <f t="shared" si="215"/>
        <v>666.66666666666663</v>
      </c>
      <c r="E1737">
        <f t="shared" si="211"/>
        <v>0</v>
      </c>
      <c r="G1737">
        <v>1687</v>
      </c>
      <c r="H1737" s="13">
        <f t="shared" si="216"/>
        <v>-7.7831728503952036E-4</v>
      </c>
      <c r="I1737">
        <f t="shared" si="217"/>
        <v>154.97735402371342</v>
      </c>
      <c r="J1737">
        <f t="shared" si="212"/>
        <v>663.95198635499071</v>
      </c>
      <c r="K1737" s="27">
        <f t="shared" si="213"/>
        <v>-343.10649898086427</v>
      </c>
    </row>
    <row r="1738" spans="1:11">
      <c r="A1738" s="26">
        <v>1688</v>
      </c>
      <c r="B1738" s="82">
        <f t="shared" si="214"/>
        <v>0</v>
      </c>
      <c r="C1738" s="58">
        <f t="shared" si="210"/>
        <v>156.29037528357509</v>
      </c>
      <c r="D1738" s="83">
        <f t="shared" si="215"/>
        <v>666.66666666666663</v>
      </c>
      <c r="E1738">
        <f t="shared" si="211"/>
        <v>0</v>
      </c>
      <c r="G1738">
        <v>1688</v>
      </c>
      <c r="H1738" s="13">
        <f t="shared" si="216"/>
        <v>-7.7831728503952036E-4</v>
      </c>
      <c r="I1738">
        <f t="shared" si="217"/>
        <v>154.97657570642838</v>
      </c>
      <c r="J1738">
        <f t="shared" si="212"/>
        <v>663.95033500900104</v>
      </c>
      <c r="K1738" s="27">
        <f t="shared" si="213"/>
        <v>-343.1047922415417</v>
      </c>
    </row>
    <row r="1739" spans="1:11">
      <c r="A1739" s="26">
        <v>1689</v>
      </c>
      <c r="B1739" s="82">
        <f t="shared" si="214"/>
        <v>0</v>
      </c>
      <c r="C1739" s="58">
        <f t="shared" si="210"/>
        <v>156.29037528357509</v>
      </c>
      <c r="D1739" s="83">
        <f t="shared" si="215"/>
        <v>666.66666666666663</v>
      </c>
      <c r="E1739">
        <f t="shared" si="211"/>
        <v>0</v>
      </c>
      <c r="G1739">
        <v>1689</v>
      </c>
      <c r="H1739" s="13">
        <f t="shared" si="216"/>
        <v>-7.7831728503952036E-4</v>
      </c>
      <c r="I1739">
        <f t="shared" si="217"/>
        <v>154.97579738914334</v>
      </c>
      <c r="J1739">
        <f t="shared" si="212"/>
        <v>663.94868361089573</v>
      </c>
      <c r="K1739" s="27">
        <f t="shared" si="213"/>
        <v>-343.10308545259932</v>
      </c>
    </row>
    <row r="1740" spans="1:11">
      <c r="A1740" s="26">
        <v>1690</v>
      </c>
      <c r="B1740" s="82">
        <f t="shared" si="214"/>
        <v>0</v>
      </c>
      <c r="C1740" s="58">
        <f t="shared" si="210"/>
        <v>156.29037528357509</v>
      </c>
      <c r="D1740" s="83">
        <f t="shared" si="215"/>
        <v>666.66666666666663</v>
      </c>
      <c r="E1740">
        <f t="shared" si="211"/>
        <v>0</v>
      </c>
      <c r="G1740">
        <v>1690</v>
      </c>
      <c r="H1740" s="13">
        <f t="shared" si="216"/>
        <v>-7.7831728503952036E-4</v>
      </c>
      <c r="I1740">
        <f t="shared" si="217"/>
        <v>154.9750190718583</v>
      </c>
      <c r="J1740">
        <f t="shared" si="212"/>
        <v>663.9470321606708</v>
      </c>
      <c r="K1740" s="27">
        <f t="shared" si="213"/>
        <v>-343.10137861403331</v>
      </c>
    </row>
    <row r="1741" spans="1:11">
      <c r="A1741" s="26">
        <v>1691</v>
      </c>
      <c r="B1741" s="82">
        <f t="shared" si="214"/>
        <v>0</v>
      </c>
      <c r="C1741" s="58">
        <f t="shared" si="210"/>
        <v>156.29037528357509</v>
      </c>
      <c r="D1741" s="83">
        <f t="shared" si="215"/>
        <v>666.66666666666663</v>
      </c>
      <c r="E1741">
        <f t="shared" si="211"/>
        <v>0</v>
      </c>
      <c r="G1741">
        <v>1691</v>
      </c>
      <c r="H1741" s="13">
        <f t="shared" si="216"/>
        <v>-7.7831728503952036E-4</v>
      </c>
      <c r="I1741">
        <f t="shared" si="217"/>
        <v>154.97424075457326</v>
      </c>
      <c r="J1741">
        <f t="shared" si="212"/>
        <v>663.94538065832228</v>
      </c>
      <c r="K1741" s="27">
        <f t="shared" si="213"/>
        <v>-343.09967172583993</v>
      </c>
    </row>
    <row r="1742" spans="1:11">
      <c r="A1742" s="26">
        <v>1692</v>
      </c>
      <c r="B1742" s="82">
        <f t="shared" si="214"/>
        <v>0</v>
      </c>
      <c r="C1742" s="58">
        <f t="shared" si="210"/>
        <v>156.29037528357509</v>
      </c>
      <c r="D1742" s="83">
        <f t="shared" si="215"/>
        <v>666.66666666666663</v>
      </c>
      <c r="E1742">
        <f t="shared" si="211"/>
        <v>0</v>
      </c>
      <c r="G1742">
        <v>1692</v>
      </c>
      <c r="H1742" s="13">
        <f t="shared" si="216"/>
        <v>-7.7831728503952036E-4</v>
      </c>
      <c r="I1742">
        <f t="shared" si="217"/>
        <v>154.97346243728822</v>
      </c>
      <c r="J1742">
        <f t="shared" si="212"/>
        <v>663.94372910384607</v>
      </c>
      <c r="K1742" s="27">
        <f t="shared" si="213"/>
        <v>-343.09796478801559</v>
      </c>
    </row>
    <row r="1743" spans="1:11">
      <c r="A1743" s="26">
        <v>1693</v>
      </c>
      <c r="B1743" s="82">
        <f t="shared" si="214"/>
        <v>0</v>
      </c>
      <c r="C1743" s="58">
        <f t="shared" si="210"/>
        <v>156.29037528357509</v>
      </c>
      <c r="D1743" s="83">
        <f t="shared" si="215"/>
        <v>666.66666666666663</v>
      </c>
      <c r="E1743">
        <f t="shared" si="211"/>
        <v>0</v>
      </c>
      <c r="G1743">
        <v>1693</v>
      </c>
      <c r="H1743" s="13">
        <f t="shared" si="216"/>
        <v>-7.7831728503952036E-4</v>
      </c>
      <c r="I1743">
        <f t="shared" si="217"/>
        <v>154.97268412000318</v>
      </c>
      <c r="J1743">
        <f t="shared" si="212"/>
        <v>663.94207749723819</v>
      </c>
      <c r="K1743" s="27">
        <f t="shared" si="213"/>
        <v>-343.09625780055643</v>
      </c>
    </row>
    <row r="1744" spans="1:11">
      <c r="A1744" s="26">
        <v>1694</v>
      </c>
      <c r="B1744" s="82">
        <f t="shared" si="214"/>
        <v>0</v>
      </c>
      <c r="C1744" s="58">
        <f t="shared" ref="C1744:C1807" si="218">($C$37-$C$36)/2000+C1743</f>
        <v>156.29037528357509</v>
      </c>
      <c r="D1744" s="83">
        <f t="shared" si="215"/>
        <v>666.66666666666663</v>
      </c>
      <c r="E1744">
        <f t="shared" si="211"/>
        <v>0</v>
      </c>
      <c r="G1744">
        <v>1694</v>
      </c>
      <c r="H1744" s="13">
        <f t="shared" si="216"/>
        <v>-7.7831728503952036E-4</v>
      </c>
      <c r="I1744">
        <f t="shared" si="217"/>
        <v>154.97190580271814</v>
      </c>
      <c r="J1744">
        <f t="shared" si="212"/>
        <v>663.94042583849455</v>
      </c>
      <c r="K1744" s="27">
        <f t="shared" si="213"/>
        <v>-343.09455076345847</v>
      </c>
    </row>
    <row r="1745" spans="1:11">
      <c r="A1745" s="26">
        <v>1695</v>
      </c>
      <c r="B1745" s="82">
        <f t="shared" si="214"/>
        <v>0</v>
      </c>
      <c r="C1745" s="58">
        <f t="shared" si="218"/>
        <v>156.29037528357509</v>
      </c>
      <c r="D1745" s="83">
        <f t="shared" si="215"/>
        <v>666.66666666666663</v>
      </c>
      <c r="E1745">
        <f t="shared" si="211"/>
        <v>0</v>
      </c>
      <c r="G1745">
        <v>1695</v>
      </c>
      <c r="H1745" s="13">
        <f t="shared" si="216"/>
        <v>-7.7831728503952036E-4</v>
      </c>
      <c r="I1745">
        <f t="shared" si="217"/>
        <v>154.9711274854331</v>
      </c>
      <c r="J1745">
        <f t="shared" si="212"/>
        <v>663.93877412761117</v>
      </c>
      <c r="K1745" s="27">
        <f t="shared" si="213"/>
        <v>-343.09284367671813</v>
      </c>
    </row>
    <row r="1746" spans="1:11">
      <c r="A1746" s="26">
        <v>1696</v>
      </c>
      <c r="B1746" s="82">
        <f t="shared" si="214"/>
        <v>0</v>
      </c>
      <c r="C1746" s="58">
        <f t="shared" si="218"/>
        <v>156.29037528357509</v>
      </c>
      <c r="D1746" s="83">
        <f t="shared" si="215"/>
        <v>666.66666666666663</v>
      </c>
      <c r="E1746">
        <f t="shared" si="211"/>
        <v>0</v>
      </c>
      <c r="G1746">
        <v>1696</v>
      </c>
      <c r="H1746" s="13">
        <f t="shared" si="216"/>
        <v>-7.7831728503952036E-4</v>
      </c>
      <c r="I1746">
        <f t="shared" si="217"/>
        <v>154.97034916814806</v>
      </c>
      <c r="J1746">
        <f t="shared" si="212"/>
        <v>663.93712236458384</v>
      </c>
      <c r="K1746" s="27">
        <f t="shared" si="213"/>
        <v>-343.09113654033166</v>
      </c>
    </row>
    <row r="1747" spans="1:11">
      <c r="A1747" s="26">
        <v>1697</v>
      </c>
      <c r="B1747" s="82">
        <f t="shared" si="214"/>
        <v>0</v>
      </c>
      <c r="C1747" s="58">
        <f t="shared" si="218"/>
        <v>156.29037528357509</v>
      </c>
      <c r="D1747" s="83">
        <f t="shared" si="215"/>
        <v>666.66666666666663</v>
      </c>
      <c r="E1747">
        <f t="shared" si="211"/>
        <v>0</v>
      </c>
      <c r="G1747">
        <v>1697</v>
      </c>
      <c r="H1747" s="13">
        <f t="shared" si="216"/>
        <v>-7.7831728503952036E-4</v>
      </c>
      <c r="I1747">
        <f t="shared" si="217"/>
        <v>154.96957085086302</v>
      </c>
      <c r="J1747">
        <f t="shared" si="212"/>
        <v>663.93547054940871</v>
      </c>
      <c r="K1747" s="27">
        <f t="shared" si="213"/>
        <v>-343.08942935429513</v>
      </c>
    </row>
    <row r="1748" spans="1:11">
      <c r="A1748" s="26">
        <v>1698</v>
      </c>
      <c r="B1748" s="82">
        <f t="shared" si="214"/>
        <v>0</v>
      </c>
      <c r="C1748" s="58">
        <f t="shared" si="218"/>
        <v>156.29037528357509</v>
      </c>
      <c r="D1748" s="83">
        <f t="shared" si="215"/>
        <v>666.66666666666663</v>
      </c>
      <c r="E1748">
        <f t="shared" si="211"/>
        <v>0</v>
      </c>
      <c r="G1748">
        <v>1698</v>
      </c>
      <c r="H1748" s="13">
        <f t="shared" si="216"/>
        <v>-7.7831728503952036E-4</v>
      </c>
      <c r="I1748">
        <f t="shared" si="217"/>
        <v>154.96879253357798</v>
      </c>
      <c r="J1748">
        <f t="shared" si="212"/>
        <v>663.93381868208166</v>
      </c>
      <c r="K1748" s="27">
        <f t="shared" si="213"/>
        <v>-343.08772211860474</v>
      </c>
    </row>
    <row r="1749" spans="1:11">
      <c r="A1749" s="26">
        <v>1699</v>
      </c>
      <c r="B1749" s="82">
        <f t="shared" si="214"/>
        <v>0</v>
      </c>
      <c r="C1749" s="58">
        <f t="shared" si="218"/>
        <v>156.29037528357509</v>
      </c>
      <c r="D1749" s="83">
        <f t="shared" si="215"/>
        <v>666.66666666666663</v>
      </c>
      <c r="E1749">
        <f t="shared" si="211"/>
        <v>0</v>
      </c>
      <c r="G1749">
        <v>1699</v>
      </c>
      <c r="H1749" s="13">
        <f t="shared" si="216"/>
        <v>-7.7831728503952036E-4</v>
      </c>
      <c r="I1749">
        <f t="shared" si="217"/>
        <v>154.96801421629294</v>
      </c>
      <c r="J1749">
        <f t="shared" si="212"/>
        <v>663.93216676259863</v>
      </c>
      <c r="K1749" s="27">
        <f t="shared" si="213"/>
        <v>-343.08601483325702</v>
      </c>
    </row>
    <row r="1750" spans="1:11">
      <c r="A1750" s="26">
        <v>1700</v>
      </c>
      <c r="B1750" s="82">
        <f t="shared" si="214"/>
        <v>0</v>
      </c>
      <c r="C1750" s="58">
        <f t="shared" si="218"/>
        <v>156.29037528357509</v>
      </c>
      <c r="D1750" s="83">
        <f t="shared" si="215"/>
        <v>666.66666666666663</v>
      </c>
      <c r="E1750">
        <f t="shared" si="211"/>
        <v>0</v>
      </c>
      <c r="G1750">
        <v>1700</v>
      </c>
      <c r="H1750" s="13">
        <f t="shared" si="216"/>
        <v>-7.7831728503952036E-4</v>
      </c>
      <c r="I1750">
        <f t="shared" si="217"/>
        <v>154.9672358990079</v>
      </c>
      <c r="J1750">
        <f t="shared" si="212"/>
        <v>663.93051479095561</v>
      </c>
      <c r="K1750" s="27">
        <f t="shared" si="213"/>
        <v>-343.08430749824794</v>
      </c>
    </row>
    <row r="1751" spans="1:11">
      <c r="A1751" s="26">
        <v>1701</v>
      </c>
      <c r="B1751" s="82">
        <f t="shared" si="214"/>
        <v>0</v>
      </c>
      <c r="C1751" s="58">
        <f t="shared" si="218"/>
        <v>156.29037528357509</v>
      </c>
      <c r="D1751" s="83">
        <f t="shared" si="215"/>
        <v>666.66666666666663</v>
      </c>
      <c r="E1751">
        <f t="shared" si="211"/>
        <v>0</v>
      </c>
      <c r="G1751">
        <v>1701</v>
      </c>
      <c r="H1751" s="13">
        <f t="shared" si="216"/>
        <v>-7.7831728503952036E-4</v>
      </c>
      <c r="I1751">
        <f t="shared" si="217"/>
        <v>154.96645758172286</v>
      </c>
      <c r="J1751">
        <f t="shared" si="212"/>
        <v>663.92886276714853</v>
      </c>
      <c r="K1751" s="27">
        <f t="shared" si="213"/>
        <v>-343.08260011357385</v>
      </c>
    </row>
    <row r="1752" spans="1:11">
      <c r="A1752" s="26">
        <v>1702</v>
      </c>
      <c r="B1752" s="82">
        <f t="shared" si="214"/>
        <v>0</v>
      </c>
      <c r="C1752" s="58">
        <f t="shared" si="218"/>
        <v>156.29037528357509</v>
      </c>
      <c r="D1752" s="83">
        <f t="shared" si="215"/>
        <v>666.66666666666663</v>
      </c>
      <c r="E1752">
        <f t="shared" si="211"/>
        <v>0</v>
      </c>
      <c r="G1752">
        <v>1702</v>
      </c>
      <c r="H1752" s="13">
        <f t="shared" si="216"/>
        <v>-7.7831728503952036E-4</v>
      </c>
      <c r="I1752">
        <f t="shared" si="217"/>
        <v>154.96567926443782</v>
      </c>
      <c r="J1752">
        <f t="shared" si="212"/>
        <v>663.9272106911734</v>
      </c>
      <c r="K1752" s="27">
        <f t="shared" si="213"/>
        <v>-343.08089267923083</v>
      </c>
    </row>
    <row r="1753" spans="1:11">
      <c r="A1753" s="26">
        <v>1703</v>
      </c>
      <c r="B1753" s="82">
        <f t="shared" si="214"/>
        <v>0</v>
      </c>
      <c r="C1753" s="58">
        <f t="shared" si="218"/>
        <v>156.29037528357509</v>
      </c>
      <c r="D1753" s="83">
        <f t="shared" si="215"/>
        <v>666.66666666666663</v>
      </c>
      <c r="E1753">
        <f t="shared" si="211"/>
        <v>0</v>
      </c>
      <c r="G1753">
        <v>1703</v>
      </c>
      <c r="H1753" s="13">
        <f t="shared" si="216"/>
        <v>-7.7831728503952036E-4</v>
      </c>
      <c r="I1753">
        <f t="shared" si="217"/>
        <v>154.96490094715278</v>
      </c>
      <c r="J1753">
        <f t="shared" si="212"/>
        <v>663.92555856302613</v>
      </c>
      <c r="K1753" s="27">
        <f t="shared" si="213"/>
        <v>-343.07918519521519</v>
      </c>
    </row>
    <row r="1754" spans="1:11">
      <c r="A1754" s="26">
        <v>1704</v>
      </c>
      <c r="B1754" s="82">
        <f t="shared" si="214"/>
        <v>0</v>
      </c>
      <c r="C1754" s="58">
        <f t="shared" si="218"/>
        <v>156.29037528357509</v>
      </c>
      <c r="D1754" s="83">
        <f t="shared" si="215"/>
        <v>666.66666666666663</v>
      </c>
      <c r="E1754">
        <f t="shared" si="211"/>
        <v>0</v>
      </c>
      <c r="G1754">
        <v>1704</v>
      </c>
      <c r="H1754" s="13">
        <f t="shared" si="216"/>
        <v>-7.7831728503952036E-4</v>
      </c>
      <c r="I1754">
        <f t="shared" si="217"/>
        <v>154.96412262986775</v>
      </c>
      <c r="J1754">
        <f t="shared" si="212"/>
        <v>663.92390638270263</v>
      </c>
      <c r="K1754" s="27">
        <f t="shared" si="213"/>
        <v>-343.07747766152312</v>
      </c>
    </row>
    <row r="1755" spans="1:11">
      <c r="A1755" s="26">
        <v>1705</v>
      </c>
      <c r="B1755" s="82">
        <f t="shared" si="214"/>
        <v>0</v>
      </c>
      <c r="C1755" s="58">
        <f t="shared" si="218"/>
        <v>156.29037528357509</v>
      </c>
      <c r="D1755" s="83">
        <f t="shared" si="215"/>
        <v>666.66666666666663</v>
      </c>
      <c r="E1755">
        <f t="shared" si="211"/>
        <v>0</v>
      </c>
      <c r="G1755">
        <v>1705</v>
      </c>
      <c r="H1755" s="13">
        <f t="shared" si="216"/>
        <v>-7.7831728503952036E-4</v>
      </c>
      <c r="I1755">
        <f t="shared" si="217"/>
        <v>154.96334431258271</v>
      </c>
      <c r="J1755">
        <f t="shared" si="212"/>
        <v>663.92225415019891</v>
      </c>
      <c r="K1755" s="27">
        <f t="shared" si="213"/>
        <v>-343.07577007815092</v>
      </c>
    </row>
    <row r="1756" spans="1:11">
      <c r="A1756" s="26">
        <v>1706</v>
      </c>
      <c r="B1756" s="82">
        <f t="shared" si="214"/>
        <v>0</v>
      </c>
      <c r="C1756" s="58">
        <f t="shared" si="218"/>
        <v>156.29037528357509</v>
      </c>
      <c r="D1756" s="83">
        <f t="shared" si="215"/>
        <v>666.66666666666663</v>
      </c>
      <c r="E1756">
        <f t="shared" si="211"/>
        <v>0</v>
      </c>
      <c r="G1756">
        <v>1706</v>
      </c>
      <c r="H1756" s="13">
        <f t="shared" si="216"/>
        <v>-7.7831728503952036E-4</v>
      </c>
      <c r="I1756">
        <f t="shared" si="217"/>
        <v>154.96256599529767</v>
      </c>
      <c r="J1756">
        <f t="shared" si="212"/>
        <v>663.920601865511</v>
      </c>
      <c r="K1756" s="27">
        <f t="shared" si="213"/>
        <v>-343.07406244509474</v>
      </c>
    </row>
    <row r="1757" spans="1:11">
      <c r="A1757" s="26">
        <v>1707</v>
      </c>
      <c r="B1757" s="82">
        <f t="shared" si="214"/>
        <v>0</v>
      </c>
      <c r="C1757" s="58">
        <f t="shared" si="218"/>
        <v>156.29037528357509</v>
      </c>
      <c r="D1757" s="83">
        <f t="shared" si="215"/>
        <v>666.66666666666663</v>
      </c>
      <c r="E1757">
        <f t="shared" si="211"/>
        <v>0</v>
      </c>
      <c r="G1757">
        <v>1707</v>
      </c>
      <c r="H1757" s="13">
        <f t="shared" si="216"/>
        <v>-7.7831728503952036E-4</v>
      </c>
      <c r="I1757">
        <f t="shared" si="217"/>
        <v>154.96178767801263</v>
      </c>
      <c r="J1757">
        <f t="shared" si="212"/>
        <v>663.9189495286347</v>
      </c>
      <c r="K1757" s="27">
        <f t="shared" si="213"/>
        <v>-343.07235476235081</v>
      </c>
    </row>
    <row r="1758" spans="1:11">
      <c r="A1758" s="26">
        <v>1708</v>
      </c>
      <c r="B1758" s="82">
        <f t="shared" si="214"/>
        <v>0</v>
      </c>
      <c r="C1758" s="58">
        <f t="shared" si="218"/>
        <v>156.29037528357509</v>
      </c>
      <c r="D1758" s="83">
        <f t="shared" si="215"/>
        <v>666.66666666666663</v>
      </c>
      <c r="E1758">
        <f t="shared" si="211"/>
        <v>0</v>
      </c>
      <c r="G1758">
        <v>1708</v>
      </c>
      <c r="H1758" s="13">
        <f t="shared" si="216"/>
        <v>-7.7831728503952036E-4</v>
      </c>
      <c r="I1758">
        <f t="shared" si="217"/>
        <v>154.96100936072759</v>
      </c>
      <c r="J1758">
        <f t="shared" si="212"/>
        <v>663.91729713956602</v>
      </c>
      <c r="K1758" s="27">
        <f t="shared" si="213"/>
        <v>-343.07064702991528</v>
      </c>
    </row>
    <row r="1759" spans="1:11">
      <c r="A1759" s="26">
        <v>1709</v>
      </c>
      <c r="B1759" s="82">
        <f t="shared" si="214"/>
        <v>0</v>
      </c>
      <c r="C1759" s="58">
        <f t="shared" si="218"/>
        <v>156.29037528357509</v>
      </c>
      <c r="D1759" s="83">
        <f t="shared" si="215"/>
        <v>666.66666666666663</v>
      </c>
      <c r="E1759">
        <f t="shared" si="211"/>
        <v>0</v>
      </c>
      <c r="G1759">
        <v>1709</v>
      </c>
      <c r="H1759" s="13">
        <f t="shared" si="216"/>
        <v>-7.7831728503952036E-4</v>
      </c>
      <c r="I1759">
        <f t="shared" si="217"/>
        <v>154.96023104344255</v>
      </c>
      <c r="J1759">
        <f t="shared" si="212"/>
        <v>663.91564469830098</v>
      </c>
      <c r="K1759" s="27">
        <f t="shared" si="213"/>
        <v>-343.0689392477845</v>
      </c>
    </row>
    <row r="1760" spans="1:11">
      <c r="A1760" s="26">
        <v>1710</v>
      </c>
      <c r="B1760" s="82">
        <f t="shared" si="214"/>
        <v>0</v>
      </c>
      <c r="C1760" s="58">
        <f t="shared" si="218"/>
        <v>156.29037528357509</v>
      </c>
      <c r="D1760" s="83">
        <f t="shared" si="215"/>
        <v>666.66666666666663</v>
      </c>
      <c r="E1760">
        <f t="shared" si="211"/>
        <v>0</v>
      </c>
      <c r="G1760">
        <v>1710</v>
      </c>
      <c r="H1760" s="13">
        <f t="shared" si="216"/>
        <v>-7.7831728503952036E-4</v>
      </c>
      <c r="I1760">
        <f t="shared" si="217"/>
        <v>154.95945272615751</v>
      </c>
      <c r="J1760">
        <f t="shared" si="212"/>
        <v>663.91399220483549</v>
      </c>
      <c r="K1760" s="27">
        <f t="shared" si="213"/>
        <v>-343.06723141595461</v>
      </c>
    </row>
    <row r="1761" spans="1:11">
      <c r="A1761" s="26">
        <v>1711</v>
      </c>
      <c r="B1761" s="82">
        <f t="shared" si="214"/>
        <v>0</v>
      </c>
      <c r="C1761" s="58">
        <f t="shared" si="218"/>
        <v>156.29037528357509</v>
      </c>
      <c r="D1761" s="83">
        <f t="shared" si="215"/>
        <v>666.66666666666663</v>
      </c>
      <c r="E1761">
        <f t="shared" si="211"/>
        <v>0</v>
      </c>
      <c r="G1761">
        <v>1711</v>
      </c>
      <c r="H1761" s="13">
        <f t="shared" si="216"/>
        <v>-7.7831728503952036E-4</v>
      </c>
      <c r="I1761">
        <f t="shared" si="217"/>
        <v>154.95867440887247</v>
      </c>
      <c r="J1761">
        <f t="shared" si="212"/>
        <v>663.91233965916535</v>
      </c>
      <c r="K1761" s="27">
        <f t="shared" si="213"/>
        <v>-343.0655235344218</v>
      </c>
    </row>
    <row r="1762" spans="1:11">
      <c r="A1762" s="26">
        <v>1712</v>
      </c>
      <c r="B1762" s="82">
        <f t="shared" si="214"/>
        <v>0</v>
      </c>
      <c r="C1762" s="58">
        <f t="shared" si="218"/>
        <v>156.29037528357509</v>
      </c>
      <c r="D1762" s="83">
        <f t="shared" si="215"/>
        <v>666.66666666666663</v>
      </c>
      <c r="E1762">
        <f t="shared" si="211"/>
        <v>0</v>
      </c>
      <c r="G1762">
        <v>1712</v>
      </c>
      <c r="H1762" s="13">
        <f t="shared" si="216"/>
        <v>-7.7831728503952036E-4</v>
      </c>
      <c r="I1762">
        <f t="shared" si="217"/>
        <v>154.95789609158743</v>
      </c>
      <c r="J1762">
        <f t="shared" si="212"/>
        <v>663.91068706128681</v>
      </c>
      <c r="K1762" s="27">
        <f t="shared" si="213"/>
        <v>-343.06381560318232</v>
      </c>
    </row>
    <row r="1763" spans="1:11">
      <c r="A1763" s="26">
        <v>1713</v>
      </c>
      <c r="B1763" s="82">
        <f t="shared" si="214"/>
        <v>0</v>
      </c>
      <c r="C1763" s="58">
        <f t="shared" si="218"/>
        <v>156.29037528357509</v>
      </c>
      <c r="D1763" s="83">
        <f t="shared" si="215"/>
        <v>666.66666666666663</v>
      </c>
      <c r="E1763">
        <f t="shared" si="211"/>
        <v>0</v>
      </c>
      <c r="G1763">
        <v>1713</v>
      </c>
      <c r="H1763" s="13">
        <f t="shared" si="216"/>
        <v>-7.7831728503952036E-4</v>
      </c>
      <c r="I1763">
        <f t="shared" si="217"/>
        <v>154.95711777430239</v>
      </c>
      <c r="J1763">
        <f t="shared" si="212"/>
        <v>663.90903441119553</v>
      </c>
      <c r="K1763" s="27">
        <f t="shared" si="213"/>
        <v>-343.06210762223242</v>
      </c>
    </row>
    <row r="1764" spans="1:11">
      <c r="A1764" s="26">
        <v>1714</v>
      </c>
      <c r="B1764" s="82">
        <f t="shared" si="214"/>
        <v>0</v>
      </c>
      <c r="C1764" s="58">
        <f t="shared" si="218"/>
        <v>156.29037528357509</v>
      </c>
      <c r="D1764" s="83">
        <f t="shared" si="215"/>
        <v>666.66666666666663</v>
      </c>
      <c r="E1764">
        <f t="shared" si="211"/>
        <v>0</v>
      </c>
      <c r="G1764">
        <v>1714</v>
      </c>
      <c r="H1764" s="13">
        <f t="shared" si="216"/>
        <v>-7.7831728503952036E-4</v>
      </c>
      <c r="I1764">
        <f t="shared" si="217"/>
        <v>154.95633945701735</v>
      </c>
      <c r="J1764">
        <f t="shared" si="212"/>
        <v>663.90738170888767</v>
      </c>
      <c r="K1764" s="27">
        <f t="shared" si="213"/>
        <v>-343.06039959156834</v>
      </c>
    </row>
    <row r="1765" spans="1:11">
      <c r="A1765" s="26">
        <v>1715</v>
      </c>
      <c r="B1765" s="82">
        <f t="shared" si="214"/>
        <v>0</v>
      </c>
      <c r="C1765" s="58">
        <f t="shared" si="218"/>
        <v>156.29037528357509</v>
      </c>
      <c r="D1765" s="83">
        <f t="shared" si="215"/>
        <v>666.66666666666663</v>
      </c>
      <c r="E1765">
        <f t="shared" si="211"/>
        <v>0</v>
      </c>
      <c r="G1765">
        <v>1715</v>
      </c>
      <c r="H1765" s="13">
        <f t="shared" si="216"/>
        <v>-7.7831728503952036E-4</v>
      </c>
      <c r="I1765">
        <f t="shared" si="217"/>
        <v>154.95556113973231</v>
      </c>
      <c r="J1765">
        <f t="shared" si="212"/>
        <v>663.90572895435912</v>
      </c>
      <c r="K1765" s="27">
        <f t="shared" si="213"/>
        <v>-343.05869151118628</v>
      </c>
    </row>
    <row r="1766" spans="1:11">
      <c r="A1766" s="26">
        <v>1716</v>
      </c>
      <c r="B1766" s="82">
        <f t="shared" si="214"/>
        <v>0</v>
      </c>
      <c r="C1766" s="58">
        <f t="shared" si="218"/>
        <v>156.29037528357509</v>
      </c>
      <c r="D1766" s="83">
        <f t="shared" si="215"/>
        <v>666.66666666666663</v>
      </c>
      <c r="E1766">
        <f t="shared" si="211"/>
        <v>0</v>
      </c>
      <c r="G1766">
        <v>1716</v>
      </c>
      <c r="H1766" s="13">
        <f t="shared" si="216"/>
        <v>-7.7831728503952036E-4</v>
      </c>
      <c r="I1766">
        <f t="shared" si="217"/>
        <v>154.95478282244727</v>
      </c>
      <c r="J1766">
        <f t="shared" si="212"/>
        <v>663.90407614760579</v>
      </c>
      <c r="K1766" s="27">
        <f t="shared" si="213"/>
        <v>-343.05698338108238</v>
      </c>
    </row>
    <row r="1767" spans="1:11">
      <c r="A1767" s="26">
        <v>1717</v>
      </c>
      <c r="B1767" s="82">
        <f t="shared" si="214"/>
        <v>0</v>
      </c>
      <c r="C1767" s="58">
        <f t="shared" si="218"/>
        <v>156.29037528357509</v>
      </c>
      <c r="D1767" s="83">
        <f t="shared" si="215"/>
        <v>666.66666666666663</v>
      </c>
      <c r="E1767">
        <f t="shared" si="211"/>
        <v>0</v>
      </c>
      <c r="G1767">
        <v>1717</v>
      </c>
      <c r="H1767" s="13">
        <f t="shared" si="216"/>
        <v>-7.7831728503952036E-4</v>
      </c>
      <c r="I1767">
        <f t="shared" si="217"/>
        <v>154.95400450516223</v>
      </c>
      <c r="J1767">
        <f t="shared" si="212"/>
        <v>663.90242328862359</v>
      </c>
      <c r="K1767" s="27">
        <f t="shared" si="213"/>
        <v>-343.05527520125293</v>
      </c>
    </row>
    <row r="1768" spans="1:11">
      <c r="A1768" s="26">
        <v>1718</v>
      </c>
      <c r="B1768" s="82">
        <f t="shared" si="214"/>
        <v>0</v>
      </c>
      <c r="C1768" s="58">
        <f t="shared" si="218"/>
        <v>156.29037528357509</v>
      </c>
      <c r="D1768" s="83">
        <f t="shared" si="215"/>
        <v>666.66666666666663</v>
      </c>
      <c r="E1768">
        <f t="shared" si="211"/>
        <v>0</v>
      </c>
      <c r="G1768">
        <v>1718</v>
      </c>
      <c r="H1768" s="13">
        <f t="shared" si="216"/>
        <v>-7.7831728503952036E-4</v>
      </c>
      <c r="I1768">
        <f t="shared" si="217"/>
        <v>154.95322618787719</v>
      </c>
      <c r="J1768">
        <f t="shared" si="212"/>
        <v>663.90077037740855</v>
      </c>
      <c r="K1768" s="27">
        <f t="shared" si="213"/>
        <v>-343.05356697169412</v>
      </c>
    </row>
    <row r="1769" spans="1:11">
      <c r="A1769" s="26">
        <v>1719</v>
      </c>
      <c r="B1769" s="82">
        <f t="shared" si="214"/>
        <v>0</v>
      </c>
      <c r="C1769" s="58">
        <f t="shared" si="218"/>
        <v>156.29037528357509</v>
      </c>
      <c r="D1769" s="83">
        <f t="shared" si="215"/>
        <v>666.66666666666663</v>
      </c>
      <c r="E1769">
        <f t="shared" si="211"/>
        <v>0</v>
      </c>
      <c r="G1769">
        <v>1719</v>
      </c>
      <c r="H1769" s="13">
        <f t="shared" si="216"/>
        <v>-7.7831728503952036E-4</v>
      </c>
      <c r="I1769">
        <f t="shared" si="217"/>
        <v>154.95244787059215</v>
      </c>
      <c r="J1769">
        <f t="shared" si="212"/>
        <v>663.89911741395656</v>
      </c>
      <c r="K1769" s="27">
        <f t="shared" si="213"/>
        <v>-343.05185869240216</v>
      </c>
    </row>
    <row r="1770" spans="1:11">
      <c r="A1770" s="26">
        <v>1720</v>
      </c>
      <c r="B1770" s="82">
        <f t="shared" si="214"/>
        <v>0</v>
      </c>
      <c r="C1770" s="58">
        <f t="shared" si="218"/>
        <v>156.29037528357509</v>
      </c>
      <c r="D1770" s="83">
        <f t="shared" si="215"/>
        <v>666.66666666666663</v>
      </c>
      <c r="E1770">
        <f t="shared" si="211"/>
        <v>0</v>
      </c>
      <c r="G1770">
        <v>1720</v>
      </c>
      <c r="H1770" s="13">
        <f t="shared" si="216"/>
        <v>-7.7831728503952036E-4</v>
      </c>
      <c r="I1770">
        <f t="shared" si="217"/>
        <v>154.95166955330711</v>
      </c>
      <c r="J1770">
        <f t="shared" si="212"/>
        <v>663.89746439826365</v>
      </c>
      <c r="K1770" s="27">
        <f t="shared" si="213"/>
        <v>-343.05015036337323</v>
      </c>
    </row>
    <row r="1771" spans="1:11">
      <c r="A1771" s="26">
        <v>1721</v>
      </c>
      <c r="B1771" s="82">
        <f t="shared" si="214"/>
        <v>0</v>
      </c>
      <c r="C1771" s="58">
        <f t="shared" si="218"/>
        <v>156.29037528357509</v>
      </c>
      <c r="D1771" s="83">
        <f t="shared" si="215"/>
        <v>666.66666666666663</v>
      </c>
      <c r="E1771">
        <f t="shared" si="211"/>
        <v>0</v>
      </c>
      <c r="G1771">
        <v>1721</v>
      </c>
      <c r="H1771" s="13">
        <f t="shared" si="216"/>
        <v>-7.7831728503952036E-4</v>
      </c>
      <c r="I1771">
        <f t="shared" si="217"/>
        <v>154.95089123602207</v>
      </c>
      <c r="J1771">
        <f t="shared" si="212"/>
        <v>663.89581133032573</v>
      </c>
      <c r="K1771" s="27">
        <f t="shared" si="213"/>
        <v>-343.0484419846037</v>
      </c>
    </row>
    <row r="1772" spans="1:11">
      <c r="A1772" s="26">
        <v>1722</v>
      </c>
      <c r="B1772" s="82">
        <f t="shared" si="214"/>
        <v>0</v>
      </c>
      <c r="C1772" s="58">
        <f t="shared" si="218"/>
        <v>156.29037528357509</v>
      </c>
      <c r="D1772" s="83">
        <f t="shared" si="215"/>
        <v>666.66666666666663</v>
      </c>
      <c r="E1772">
        <f t="shared" si="211"/>
        <v>0</v>
      </c>
      <c r="G1772">
        <v>1722</v>
      </c>
      <c r="H1772" s="13">
        <f t="shared" si="216"/>
        <v>-7.7831728503952036E-4</v>
      </c>
      <c r="I1772">
        <f t="shared" si="217"/>
        <v>154.95011291873703</v>
      </c>
      <c r="J1772">
        <f t="shared" si="212"/>
        <v>663.8941582101387</v>
      </c>
      <c r="K1772" s="27">
        <f t="shared" si="213"/>
        <v>-343.04673355608952</v>
      </c>
    </row>
    <row r="1773" spans="1:11">
      <c r="A1773" s="26">
        <v>1723</v>
      </c>
      <c r="B1773" s="82">
        <f t="shared" si="214"/>
        <v>0</v>
      </c>
      <c r="C1773" s="58">
        <f t="shared" si="218"/>
        <v>156.29037528357509</v>
      </c>
      <c r="D1773" s="83">
        <f t="shared" si="215"/>
        <v>666.66666666666663</v>
      </c>
      <c r="E1773">
        <f t="shared" si="211"/>
        <v>0</v>
      </c>
      <c r="G1773">
        <v>1723</v>
      </c>
      <c r="H1773" s="13">
        <f t="shared" si="216"/>
        <v>-7.7831728503952036E-4</v>
      </c>
      <c r="I1773">
        <f t="shared" si="217"/>
        <v>154.94933460145199</v>
      </c>
      <c r="J1773">
        <f t="shared" si="212"/>
        <v>663.89250503769847</v>
      </c>
      <c r="K1773" s="27">
        <f t="shared" si="213"/>
        <v>-343.04502507782712</v>
      </c>
    </row>
    <row r="1774" spans="1:11">
      <c r="A1774" s="26">
        <v>1724</v>
      </c>
      <c r="B1774" s="82">
        <f t="shared" si="214"/>
        <v>0</v>
      </c>
      <c r="C1774" s="58">
        <f t="shared" si="218"/>
        <v>156.29037528357509</v>
      </c>
      <c r="D1774" s="83">
        <f t="shared" si="215"/>
        <v>666.66666666666663</v>
      </c>
      <c r="E1774">
        <f t="shared" si="211"/>
        <v>0</v>
      </c>
      <c r="G1774">
        <v>1724</v>
      </c>
      <c r="H1774" s="13">
        <f t="shared" si="216"/>
        <v>-7.7831728503952036E-4</v>
      </c>
      <c r="I1774">
        <f t="shared" si="217"/>
        <v>154.94855628416695</v>
      </c>
      <c r="J1774">
        <f t="shared" si="212"/>
        <v>663.89085181300106</v>
      </c>
      <c r="K1774" s="27">
        <f t="shared" si="213"/>
        <v>-343.04331654981257</v>
      </c>
    </row>
    <row r="1775" spans="1:11">
      <c r="A1775" s="26">
        <v>1725</v>
      </c>
      <c r="B1775" s="82">
        <f t="shared" si="214"/>
        <v>0</v>
      </c>
      <c r="C1775" s="58">
        <f t="shared" si="218"/>
        <v>156.29037528357509</v>
      </c>
      <c r="D1775" s="83">
        <f t="shared" si="215"/>
        <v>666.66666666666663</v>
      </c>
      <c r="E1775">
        <f t="shared" si="211"/>
        <v>0</v>
      </c>
      <c r="G1775">
        <v>1725</v>
      </c>
      <c r="H1775" s="13">
        <f t="shared" si="216"/>
        <v>-7.7831728503952036E-4</v>
      </c>
      <c r="I1775">
        <f t="shared" si="217"/>
        <v>154.94777796688192</v>
      </c>
      <c r="J1775">
        <f t="shared" si="212"/>
        <v>663.88919853604239</v>
      </c>
      <c r="K1775" s="27">
        <f t="shared" si="213"/>
        <v>-343.04160797204213</v>
      </c>
    </row>
    <row r="1776" spans="1:11">
      <c r="A1776" s="26">
        <v>1726</v>
      </c>
      <c r="B1776" s="82">
        <f t="shared" si="214"/>
        <v>0</v>
      </c>
      <c r="C1776" s="58">
        <f t="shared" si="218"/>
        <v>156.29037528357509</v>
      </c>
      <c r="D1776" s="83">
        <f t="shared" si="215"/>
        <v>666.66666666666663</v>
      </c>
      <c r="E1776">
        <f t="shared" si="211"/>
        <v>0</v>
      </c>
      <c r="G1776">
        <v>1726</v>
      </c>
      <c r="H1776" s="13">
        <f t="shared" si="216"/>
        <v>-7.7831728503952036E-4</v>
      </c>
      <c r="I1776">
        <f t="shared" si="217"/>
        <v>154.94699964959688</v>
      </c>
      <c r="J1776">
        <f t="shared" si="212"/>
        <v>663.88754520681846</v>
      </c>
      <c r="K1776" s="27">
        <f t="shared" si="213"/>
        <v>-343.03989934451209</v>
      </c>
    </row>
    <row r="1777" spans="1:11">
      <c r="A1777" s="26">
        <v>1727</v>
      </c>
      <c r="B1777" s="82">
        <f t="shared" si="214"/>
        <v>0</v>
      </c>
      <c r="C1777" s="58">
        <f t="shared" si="218"/>
        <v>156.29037528357509</v>
      </c>
      <c r="D1777" s="83">
        <f t="shared" si="215"/>
        <v>666.66666666666663</v>
      </c>
      <c r="E1777">
        <f t="shared" si="211"/>
        <v>0</v>
      </c>
      <c r="G1777">
        <v>1727</v>
      </c>
      <c r="H1777" s="13">
        <f t="shared" si="216"/>
        <v>-7.7831728503952036E-4</v>
      </c>
      <c r="I1777">
        <f t="shared" si="217"/>
        <v>154.94622133231184</v>
      </c>
      <c r="J1777">
        <f t="shared" si="212"/>
        <v>663.88589182532507</v>
      </c>
      <c r="K1777" s="27">
        <f t="shared" si="213"/>
        <v>-343.03819066721854</v>
      </c>
    </row>
    <row r="1778" spans="1:11">
      <c r="A1778" s="26">
        <v>1728</v>
      </c>
      <c r="B1778" s="82">
        <f t="shared" si="214"/>
        <v>0</v>
      </c>
      <c r="C1778" s="58">
        <f t="shared" si="218"/>
        <v>156.29037528357509</v>
      </c>
      <c r="D1778" s="83">
        <f t="shared" si="215"/>
        <v>666.66666666666663</v>
      </c>
      <c r="E1778">
        <f t="shared" si="211"/>
        <v>0</v>
      </c>
      <c r="G1778">
        <v>1728</v>
      </c>
      <c r="H1778" s="13">
        <f t="shared" si="216"/>
        <v>-7.7831728503952036E-4</v>
      </c>
      <c r="I1778">
        <f t="shared" si="217"/>
        <v>154.9454430150268</v>
      </c>
      <c r="J1778">
        <f t="shared" si="212"/>
        <v>663.88423839155837</v>
      </c>
      <c r="K1778" s="27">
        <f t="shared" si="213"/>
        <v>-343.0364819401579</v>
      </c>
    </row>
    <row r="1779" spans="1:11">
      <c r="A1779" s="26">
        <v>1729</v>
      </c>
      <c r="B1779" s="82">
        <f t="shared" si="214"/>
        <v>0</v>
      </c>
      <c r="C1779" s="58">
        <f t="shared" si="218"/>
        <v>156.29037528357509</v>
      </c>
      <c r="D1779" s="83">
        <f t="shared" si="215"/>
        <v>666.66666666666663</v>
      </c>
      <c r="E1779">
        <f t="shared" ref="E1779:E1842" si="219">((D1779^2)+(D1779*D1780)+(D1780^2))*B1780/3</f>
        <v>0</v>
      </c>
      <c r="G1779">
        <v>1729</v>
      </c>
      <c r="H1779" s="13">
        <f t="shared" si="216"/>
        <v>-7.7831728503952036E-4</v>
      </c>
      <c r="I1779">
        <f t="shared" si="217"/>
        <v>154.94466469774176</v>
      </c>
      <c r="J1779">
        <f t="shared" ref="J1779:J1842" si="220">IF($G$28&lt;$C$14,0,((($C$11^2)-((I1779-$C$13)^2))^0.5)+$C$16)</f>
        <v>663.88258490551414</v>
      </c>
      <c r="K1779" s="27">
        <f t="shared" ref="K1779:K1842" si="221">((J1779^2)+(J1779*J1780)+(J1780^2))*H1780/3</f>
        <v>-343.03477316332601</v>
      </c>
    </row>
    <row r="1780" spans="1:11">
      <c r="A1780" s="26">
        <v>1730</v>
      </c>
      <c r="B1780" s="82">
        <f t="shared" ref="B1780:B1843" si="222">C1780-C1779</f>
        <v>0</v>
      </c>
      <c r="C1780" s="58">
        <f t="shared" si="218"/>
        <v>156.29037528357509</v>
      </c>
      <c r="D1780" s="83">
        <f t="shared" ref="D1780:D1843" si="223">IF($G$28&lt;$C$14,0,((($C$11^2)-((C1780-$C$13)^2))^0.5)+$C$16)</f>
        <v>666.66666666666663</v>
      </c>
      <c r="E1780">
        <f t="shared" si="219"/>
        <v>0</v>
      </c>
      <c r="G1780">
        <v>1730</v>
      </c>
      <c r="H1780" s="13">
        <f t="shared" ref="H1780:H1843" si="224">I1780-I1779</f>
        <v>-7.7831728503952036E-4</v>
      </c>
      <c r="I1780">
        <f t="shared" ref="I1780:I1843" si="225">($G$27-$C$14)/2000+I1779</f>
        <v>154.94388638045672</v>
      </c>
      <c r="J1780">
        <f t="shared" si="220"/>
        <v>663.88093136718828</v>
      </c>
      <c r="K1780" s="27">
        <f t="shared" si="221"/>
        <v>-343.03306433671941</v>
      </c>
    </row>
    <row r="1781" spans="1:11">
      <c r="A1781" s="26">
        <v>1731</v>
      </c>
      <c r="B1781" s="82">
        <f t="shared" si="222"/>
        <v>0</v>
      </c>
      <c r="C1781" s="58">
        <f t="shared" si="218"/>
        <v>156.29037528357509</v>
      </c>
      <c r="D1781" s="83">
        <f t="shared" si="223"/>
        <v>666.66666666666663</v>
      </c>
      <c r="E1781">
        <f t="shared" si="219"/>
        <v>0</v>
      </c>
      <c r="G1781">
        <v>1731</v>
      </c>
      <c r="H1781" s="13">
        <f t="shared" si="224"/>
        <v>-7.7831728503952036E-4</v>
      </c>
      <c r="I1781">
        <f t="shared" si="225"/>
        <v>154.94310806317168</v>
      </c>
      <c r="J1781">
        <f t="shared" si="220"/>
        <v>663.87927777657694</v>
      </c>
      <c r="K1781" s="27">
        <f t="shared" si="221"/>
        <v>-343.03135546033423</v>
      </c>
    </row>
    <row r="1782" spans="1:11">
      <c r="A1782" s="26">
        <v>1732</v>
      </c>
      <c r="B1782" s="82">
        <f t="shared" si="222"/>
        <v>0</v>
      </c>
      <c r="C1782" s="58">
        <f t="shared" si="218"/>
        <v>156.29037528357509</v>
      </c>
      <c r="D1782" s="83">
        <f t="shared" si="223"/>
        <v>666.66666666666663</v>
      </c>
      <c r="E1782">
        <f t="shared" si="219"/>
        <v>0</v>
      </c>
      <c r="G1782">
        <v>1732</v>
      </c>
      <c r="H1782" s="13">
        <f t="shared" si="224"/>
        <v>-7.7831728503952036E-4</v>
      </c>
      <c r="I1782">
        <f t="shared" si="225"/>
        <v>154.94232974588664</v>
      </c>
      <c r="J1782">
        <f t="shared" si="220"/>
        <v>663.87762413367579</v>
      </c>
      <c r="K1782" s="27">
        <f t="shared" si="221"/>
        <v>-343.02964653416649</v>
      </c>
    </row>
    <row r="1783" spans="1:11">
      <c r="A1783" s="26">
        <v>1733</v>
      </c>
      <c r="B1783" s="82">
        <f t="shared" si="222"/>
        <v>0</v>
      </c>
      <c r="C1783" s="58">
        <f t="shared" si="218"/>
        <v>156.29037528357509</v>
      </c>
      <c r="D1783" s="83">
        <f t="shared" si="223"/>
        <v>666.66666666666663</v>
      </c>
      <c r="E1783">
        <f t="shared" si="219"/>
        <v>0</v>
      </c>
      <c r="G1783">
        <v>1733</v>
      </c>
      <c r="H1783" s="13">
        <f t="shared" si="224"/>
        <v>-7.7831728503952036E-4</v>
      </c>
      <c r="I1783">
        <f t="shared" si="225"/>
        <v>154.9415514286016</v>
      </c>
      <c r="J1783">
        <f t="shared" si="220"/>
        <v>663.87597043848109</v>
      </c>
      <c r="K1783" s="27">
        <f t="shared" si="221"/>
        <v>-343.02793755821261</v>
      </c>
    </row>
    <row r="1784" spans="1:11">
      <c r="A1784" s="26">
        <v>1734</v>
      </c>
      <c r="B1784" s="82">
        <f t="shared" si="222"/>
        <v>0</v>
      </c>
      <c r="C1784" s="58">
        <f t="shared" si="218"/>
        <v>156.29037528357509</v>
      </c>
      <c r="D1784" s="83">
        <f t="shared" si="223"/>
        <v>666.66666666666663</v>
      </c>
      <c r="E1784">
        <f t="shared" si="219"/>
        <v>0</v>
      </c>
      <c r="G1784">
        <v>1734</v>
      </c>
      <c r="H1784" s="13">
        <f t="shared" si="224"/>
        <v>-7.7831728503952036E-4</v>
      </c>
      <c r="I1784">
        <f t="shared" si="225"/>
        <v>154.94077311131656</v>
      </c>
      <c r="J1784">
        <f t="shared" si="220"/>
        <v>663.87431669098839</v>
      </c>
      <c r="K1784" s="27">
        <f t="shared" si="221"/>
        <v>-343.02622853246879</v>
      </c>
    </row>
    <row r="1785" spans="1:11">
      <c r="A1785" s="26">
        <v>1735</v>
      </c>
      <c r="B1785" s="82">
        <f t="shared" si="222"/>
        <v>0</v>
      </c>
      <c r="C1785" s="58">
        <f t="shared" si="218"/>
        <v>156.29037528357509</v>
      </c>
      <c r="D1785" s="83">
        <f t="shared" si="223"/>
        <v>666.66666666666663</v>
      </c>
      <c r="E1785">
        <f t="shared" si="219"/>
        <v>0</v>
      </c>
      <c r="G1785">
        <v>1735</v>
      </c>
      <c r="H1785" s="13">
        <f t="shared" si="224"/>
        <v>-7.7831728503952036E-4</v>
      </c>
      <c r="I1785">
        <f t="shared" si="225"/>
        <v>154.93999479403152</v>
      </c>
      <c r="J1785">
        <f t="shared" si="220"/>
        <v>663.87266289119407</v>
      </c>
      <c r="K1785" s="27">
        <f t="shared" si="221"/>
        <v>-343.02451945693116</v>
      </c>
    </row>
    <row r="1786" spans="1:11">
      <c r="A1786" s="26">
        <v>1736</v>
      </c>
      <c r="B1786" s="82">
        <f t="shared" si="222"/>
        <v>0</v>
      </c>
      <c r="C1786" s="58">
        <f t="shared" si="218"/>
        <v>156.29037528357509</v>
      </c>
      <c r="D1786" s="83">
        <f t="shared" si="223"/>
        <v>666.66666666666663</v>
      </c>
      <c r="E1786">
        <f t="shared" si="219"/>
        <v>0</v>
      </c>
      <c r="G1786">
        <v>1736</v>
      </c>
      <c r="H1786" s="13">
        <f t="shared" si="224"/>
        <v>-7.7831728503952036E-4</v>
      </c>
      <c r="I1786">
        <f t="shared" si="225"/>
        <v>154.93921647674648</v>
      </c>
      <c r="J1786">
        <f t="shared" si="220"/>
        <v>663.87100903909368</v>
      </c>
      <c r="K1786" s="27">
        <f t="shared" si="221"/>
        <v>-343.02281033159585</v>
      </c>
    </row>
    <row r="1787" spans="1:11">
      <c r="A1787" s="26">
        <v>1737</v>
      </c>
      <c r="B1787" s="82">
        <f t="shared" si="222"/>
        <v>0</v>
      </c>
      <c r="C1787" s="58">
        <f t="shared" si="218"/>
        <v>156.29037528357509</v>
      </c>
      <c r="D1787" s="83">
        <f t="shared" si="223"/>
        <v>666.66666666666663</v>
      </c>
      <c r="E1787">
        <f t="shared" si="219"/>
        <v>0</v>
      </c>
      <c r="G1787">
        <v>1737</v>
      </c>
      <c r="H1787" s="13">
        <f t="shared" si="224"/>
        <v>-7.7831728503952036E-4</v>
      </c>
      <c r="I1787">
        <f t="shared" si="225"/>
        <v>154.93843815946144</v>
      </c>
      <c r="J1787">
        <f t="shared" si="220"/>
        <v>663.86935513468336</v>
      </c>
      <c r="K1787" s="27">
        <f t="shared" si="221"/>
        <v>-343.02110115645922</v>
      </c>
    </row>
    <row r="1788" spans="1:11">
      <c r="A1788" s="26">
        <v>1738</v>
      </c>
      <c r="B1788" s="82">
        <f t="shared" si="222"/>
        <v>0</v>
      </c>
      <c r="C1788" s="58">
        <f t="shared" si="218"/>
        <v>156.29037528357509</v>
      </c>
      <c r="D1788" s="83">
        <f t="shared" si="223"/>
        <v>666.66666666666663</v>
      </c>
      <c r="E1788">
        <f t="shared" si="219"/>
        <v>0</v>
      </c>
      <c r="G1788">
        <v>1738</v>
      </c>
      <c r="H1788" s="13">
        <f t="shared" si="224"/>
        <v>-7.7831728503952036E-4</v>
      </c>
      <c r="I1788">
        <f t="shared" si="225"/>
        <v>154.9376598421764</v>
      </c>
      <c r="J1788">
        <f t="shared" si="220"/>
        <v>663.86770117795891</v>
      </c>
      <c r="K1788" s="27">
        <f t="shared" si="221"/>
        <v>-343.01939193151742</v>
      </c>
    </row>
    <row r="1789" spans="1:11">
      <c r="A1789" s="26">
        <v>1739</v>
      </c>
      <c r="B1789" s="82">
        <f t="shared" si="222"/>
        <v>0</v>
      </c>
      <c r="C1789" s="58">
        <f t="shared" si="218"/>
        <v>156.29037528357509</v>
      </c>
      <c r="D1789" s="83">
        <f t="shared" si="223"/>
        <v>666.66666666666663</v>
      </c>
      <c r="E1789">
        <f t="shared" si="219"/>
        <v>0</v>
      </c>
      <c r="G1789">
        <v>1739</v>
      </c>
      <c r="H1789" s="13">
        <f t="shared" si="224"/>
        <v>-7.7831728503952036E-4</v>
      </c>
      <c r="I1789">
        <f t="shared" si="225"/>
        <v>154.93688152489136</v>
      </c>
      <c r="J1789">
        <f t="shared" si="220"/>
        <v>663.86604716891645</v>
      </c>
      <c r="K1789" s="27">
        <f t="shared" si="221"/>
        <v>-343.01768265676657</v>
      </c>
    </row>
    <row r="1790" spans="1:11">
      <c r="A1790" s="26">
        <v>1740</v>
      </c>
      <c r="B1790" s="82">
        <f t="shared" si="222"/>
        <v>0</v>
      </c>
      <c r="C1790" s="58">
        <f t="shared" si="218"/>
        <v>156.29037528357509</v>
      </c>
      <c r="D1790" s="83">
        <f t="shared" si="223"/>
        <v>666.66666666666663</v>
      </c>
      <c r="E1790">
        <f t="shared" si="219"/>
        <v>0</v>
      </c>
      <c r="G1790">
        <v>1740</v>
      </c>
      <c r="H1790" s="13">
        <f t="shared" si="224"/>
        <v>-7.7831728503952036E-4</v>
      </c>
      <c r="I1790">
        <f t="shared" si="225"/>
        <v>154.93610320760632</v>
      </c>
      <c r="J1790">
        <f t="shared" si="220"/>
        <v>663.86439310755179</v>
      </c>
      <c r="K1790" s="27">
        <f t="shared" si="221"/>
        <v>-343.01597333220303</v>
      </c>
    </row>
    <row r="1791" spans="1:11">
      <c r="A1791" s="26">
        <v>1741</v>
      </c>
      <c r="B1791" s="82">
        <f t="shared" si="222"/>
        <v>0</v>
      </c>
      <c r="C1791" s="58">
        <f t="shared" si="218"/>
        <v>156.29037528357509</v>
      </c>
      <c r="D1791" s="83">
        <f t="shared" si="223"/>
        <v>666.66666666666663</v>
      </c>
      <c r="E1791">
        <f t="shared" si="219"/>
        <v>0</v>
      </c>
      <c r="G1791">
        <v>1741</v>
      </c>
      <c r="H1791" s="13">
        <f t="shared" si="224"/>
        <v>-7.7831728503952036E-4</v>
      </c>
      <c r="I1791">
        <f t="shared" si="225"/>
        <v>154.93532489032128</v>
      </c>
      <c r="J1791">
        <f t="shared" si="220"/>
        <v>663.86273899386094</v>
      </c>
      <c r="K1791" s="27">
        <f t="shared" si="221"/>
        <v>-343.01426395782295</v>
      </c>
    </row>
    <row r="1792" spans="1:11">
      <c r="A1792" s="26">
        <v>1742</v>
      </c>
      <c r="B1792" s="82">
        <f t="shared" si="222"/>
        <v>0</v>
      </c>
      <c r="C1792" s="58">
        <f t="shared" si="218"/>
        <v>156.29037528357509</v>
      </c>
      <c r="D1792" s="83">
        <f t="shared" si="223"/>
        <v>666.66666666666663</v>
      </c>
      <c r="E1792">
        <f t="shared" si="219"/>
        <v>0</v>
      </c>
      <c r="G1792">
        <v>1742</v>
      </c>
      <c r="H1792" s="13">
        <f t="shared" si="224"/>
        <v>-7.7831728503952036E-4</v>
      </c>
      <c r="I1792">
        <f t="shared" si="225"/>
        <v>154.93454657303624</v>
      </c>
      <c r="J1792">
        <f t="shared" si="220"/>
        <v>663.8610848278397</v>
      </c>
      <c r="K1792" s="27">
        <f t="shared" si="221"/>
        <v>-343.01255453362245</v>
      </c>
    </row>
    <row r="1793" spans="1:11">
      <c r="A1793" s="26">
        <v>1743</v>
      </c>
      <c r="B1793" s="82">
        <f t="shared" si="222"/>
        <v>0</v>
      </c>
      <c r="C1793" s="58">
        <f t="shared" si="218"/>
        <v>156.29037528357509</v>
      </c>
      <c r="D1793" s="83">
        <f t="shared" si="223"/>
        <v>666.66666666666663</v>
      </c>
      <c r="E1793">
        <f t="shared" si="219"/>
        <v>0</v>
      </c>
      <c r="G1793">
        <v>1743</v>
      </c>
      <c r="H1793" s="13">
        <f t="shared" si="224"/>
        <v>-7.7831728503952036E-4</v>
      </c>
      <c r="I1793">
        <f t="shared" si="225"/>
        <v>154.9337682557512</v>
      </c>
      <c r="J1793">
        <f t="shared" si="220"/>
        <v>663.85943060948421</v>
      </c>
      <c r="K1793" s="27">
        <f t="shared" si="221"/>
        <v>-343.01084505959778</v>
      </c>
    </row>
    <row r="1794" spans="1:11">
      <c r="A1794" s="26">
        <v>1744</v>
      </c>
      <c r="B1794" s="82">
        <f t="shared" si="222"/>
        <v>0</v>
      </c>
      <c r="C1794" s="58">
        <f t="shared" si="218"/>
        <v>156.29037528357509</v>
      </c>
      <c r="D1794" s="83">
        <f t="shared" si="223"/>
        <v>666.66666666666663</v>
      </c>
      <c r="E1794">
        <f t="shared" si="219"/>
        <v>0</v>
      </c>
      <c r="G1794">
        <v>1744</v>
      </c>
      <c r="H1794" s="13">
        <f t="shared" si="224"/>
        <v>-7.7831728503952036E-4</v>
      </c>
      <c r="I1794">
        <f t="shared" si="225"/>
        <v>154.93298993846616</v>
      </c>
      <c r="J1794">
        <f t="shared" si="220"/>
        <v>663.85777633879025</v>
      </c>
      <c r="K1794" s="27">
        <f t="shared" si="221"/>
        <v>-343.00913553574514</v>
      </c>
    </row>
    <row r="1795" spans="1:11">
      <c r="A1795" s="26">
        <v>1745</v>
      </c>
      <c r="B1795" s="82">
        <f t="shared" si="222"/>
        <v>0</v>
      </c>
      <c r="C1795" s="58">
        <f t="shared" si="218"/>
        <v>156.29037528357509</v>
      </c>
      <c r="D1795" s="83">
        <f t="shared" si="223"/>
        <v>666.66666666666663</v>
      </c>
      <c r="E1795">
        <f t="shared" si="219"/>
        <v>0</v>
      </c>
      <c r="G1795">
        <v>1745</v>
      </c>
      <c r="H1795" s="13">
        <f t="shared" si="224"/>
        <v>-7.7831728503952036E-4</v>
      </c>
      <c r="I1795">
        <f t="shared" si="225"/>
        <v>154.93221162118112</v>
      </c>
      <c r="J1795">
        <f t="shared" si="220"/>
        <v>663.85612201575373</v>
      </c>
      <c r="K1795" s="27">
        <f t="shared" si="221"/>
        <v>-343.00742596206072</v>
      </c>
    </row>
    <row r="1796" spans="1:11">
      <c r="A1796" s="26">
        <v>1746</v>
      </c>
      <c r="B1796" s="82">
        <f t="shared" si="222"/>
        <v>0</v>
      </c>
      <c r="C1796" s="58">
        <f t="shared" si="218"/>
        <v>156.29037528357509</v>
      </c>
      <c r="D1796" s="83">
        <f t="shared" si="223"/>
        <v>666.66666666666663</v>
      </c>
      <c r="E1796">
        <f t="shared" si="219"/>
        <v>0</v>
      </c>
      <c r="G1796">
        <v>1746</v>
      </c>
      <c r="H1796" s="13">
        <f t="shared" si="224"/>
        <v>-7.7831728503952036E-4</v>
      </c>
      <c r="I1796">
        <f t="shared" si="225"/>
        <v>154.93143330389609</v>
      </c>
      <c r="J1796">
        <f t="shared" si="220"/>
        <v>663.85446764037056</v>
      </c>
      <c r="K1796" s="27">
        <f t="shared" si="221"/>
        <v>-343.00571633854071</v>
      </c>
    </row>
    <row r="1797" spans="1:11">
      <c r="A1797" s="26">
        <v>1747</v>
      </c>
      <c r="B1797" s="82">
        <f t="shared" si="222"/>
        <v>0</v>
      </c>
      <c r="C1797" s="58">
        <f t="shared" si="218"/>
        <v>156.29037528357509</v>
      </c>
      <c r="D1797" s="83">
        <f t="shared" si="223"/>
        <v>666.66666666666663</v>
      </c>
      <c r="E1797">
        <f t="shared" si="219"/>
        <v>0</v>
      </c>
      <c r="G1797">
        <v>1747</v>
      </c>
      <c r="H1797" s="13">
        <f t="shared" si="224"/>
        <v>-7.7831728503952036E-4</v>
      </c>
      <c r="I1797">
        <f t="shared" si="225"/>
        <v>154.93065498661105</v>
      </c>
      <c r="J1797">
        <f t="shared" si="220"/>
        <v>663.85281321263687</v>
      </c>
      <c r="K1797" s="27">
        <f t="shared" si="221"/>
        <v>-343.00400666518135</v>
      </c>
    </row>
    <row r="1798" spans="1:11">
      <c r="A1798" s="26">
        <v>1748</v>
      </c>
      <c r="B1798" s="82">
        <f t="shared" si="222"/>
        <v>0</v>
      </c>
      <c r="C1798" s="58">
        <f t="shared" si="218"/>
        <v>156.29037528357509</v>
      </c>
      <c r="D1798" s="83">
        <f t="shared" si="223"/>
        <v>666.66666666666663</v>
      </c>
      <c r="E1798">
        <f t="shared" si="219"/>
        <v>0</v>
      </c>
      <c r="G1798">
        <v>1748</v>
      </c>
      <c r="H1798" s="13">
        <f t="shared" si="224"/>
        <v>-7.7831728503952036E-4</v>
      </c>
      <c r="I1798">
        <f t="shared" si="225"/>
        <v>154.92987666932601</v>
      </c>
      <c r="J1798">
        <f t="shared" si="220"/>
        <v>663.85115873254847</v>
      </c>
      <c r="K1798" s="27">
        <f t="shared" si="221"/>
        <v>-343.00229694197884</v>
      </c>
    </row>
    <row r="1799" spans="1:11">
      <c r="A1799" s="26">
        <v>1749</v>
      </c>
      <c r="B1799" s="82">
        <f t="shared" si="222"/>
        <v>0</v>
      </c>
      <c r="C1799" s="58">
        <f t="shared" si="218"/>
        <v>156.29037528357509</v>
      </c>
      <c r="D1799" s="83">
        <f t="shared" si="223"/>
        <v>666.66666666666663</v>
      </c>
      <c r="E1799">
        <f t="shared" si="219"/>
        <v>0</v>
      </c>
      <c r="G1799">
        <v>1749</v>
      </c>
      <c r="H1799" s="13">
        <f t="shared" si="224"/>
        <v>-7.7831728503952036E-4</v>
      </c>
      <c r="I1799">
        <f t="shared" si="225"/>
        <v>154.92909835204097</v>
      </c>
      <c r="J1799">
        <f t="shared" si="220"/>
        <v>663.84950420010125</v>
      </c>
      <c r="K1799" s="27">
        <f t="shared" si="221"/>
        <v>-343.00058716892948</v>
      </c>
    </row>
    <row r="1800" spans="1:11">
      <c r="A1800" s="26">
        <v>1750</v>
      </c>
      <c r="B1800" s="82">
        <f t="shared" si="222"/>
        <v>0</v>
      </c>
      <c r="C1800" s="58">
        <f t="shared" si="218"/>
        <v>156.29037528357509</v>
      </c>
      <c r="D1800" s="83">
        <f t="shared" si="223"/>
        <v>666.66666666666663</v>
      </c>
      <c r="E1800">
        <f t="shared" si="219"/>
        <v>0</v>
      </c>
      <c r="G1800">
        <v>1750</v>
      </c>
      <c r="H1800" s="13">
        <f t="shared" si="224"/>
        <v>-7.7831728503952036E-4</v>
      </c>
      <c r="I1800">
        <f t="shared" si="225"/>
        <v>154.92832003475593</v>
      </c>
      <c r="J1800">
        <f t="shared" si="220"/>
        <v>663.84784961529124</v>
      </c>
      <c r="K1800" s="27">
        <f t="shared" si="221"/>
        <v>-342.99887734602925</v>
      </c>
    </row>
    <row r="1801" spans="1:11">
      <c r="A1801" s="26">
        <v>1751</v>
      </c>
      <c r="B1801" s="82">
        <f t="shared" si="222"/>
        <v>0</v>
      </c>
      <c r="C1801" s="58">
        <f t="shared" si="218"/>
        <v>156.29037528357509</v>
      </c>
      <c r="D1801" s="83">
        <f t="shared" si="223"/>
        <v>666.66666666666663</v>
      </c>
      <c r="E1801">
        <f t="shared" si="219"/>
        <v>0</v>
      </c>
      <c r="G1801">
        <v>1751</v>
      </c>
      <c r="H1801" s="13">
        <f t="shared" si="224"/>
        <v>-7.7831728503952036E-4</v>
      </c>
      <c r="I1801">
        <f t="shared" si="225"/>
        <v>154.92754171747089</v>
      </c>
      <c r="J1801">
        <f t="shared" si="220"/>
        <v>663.84619497811423</v>
      </c>
      <c r="K1801" s="27">
        <f t="shared" si="221"/>
        <v>-342.99716747327443</v>
      </c>
    </row>
    <row r="1802" spans="1:11">
      <c r="A1802" s="26">
        <v>1752</v>
      </c>
      <c r="B1802" s="82">
        <f t="shared" si="222"/>
        <v>0</v>
      </c>
      <c r="C1802" s="58">
        <f t="shared" si="218"/>
        <v>156.29037528357509</v>
      </c>
      <c r="D1802" s="83">
        <f t="shared" si="223"/>
        <v>666.66666666666663</v>
      </c>
      <c r="E1802">
        <f t="shared" si="219"/>
        <v>0</v>
      </c>
      <c r="G1802">
        <v>1752</v>
      </c>
      <c r="H1802" s="13">
        <f t="shared" si="224"/>
        <v>-7.7831728503952036E-4</v>
      </c>
      <c r="I1802">
        <f t="shared" si="225"/>
        <v>154.92676340018585</v>
      </c>
      <c r="J1802">
        <f t="shared" si="220"/>
        <v>663.84454028856635</v>
      </c>
      <c r="K1802" s="27">
        <f t="shared" si="221"/>
        <v>-342.99545755066129</v>
      </c>
    </row>
    <row r="1803" spans="1:11">
      <c r="A1803" s="26">
        <v>1753</v>
      </c>
      <c r="B1803" s="82">
        <f t="shared" si="222"/>
        <v>0</v>
      </c>
      <c r="C1803" s="58">
        <f t="shared" si="218"/>
        <v>156.29037528357509</v>
      </c>
      <c r="D1803" s="83">
        <f t="shared" si="223"/>
        <v>666.66666666666663</v>
      </c>
      <c r="E1803">
        <f t="shared" si="219"/>
        <v>0</v>
      </c>
      <c r="G1803">
        <v>1753</v>
      </c>
      <c r="H1803" s="13">
        <f t="shared" si="224"/>
        <v>-7.7831728503952036E-4</v>
      </c>
      <c r="I1803">
        <f t="shared" si="225"/>
        <v>154.92598508290081</v>
      </c>
      <c r="J1803">
        <f t="shared" si="220"/>
        <v>663.84288554664329</v>
      </c>
      <c r="K1803" s="27">
        <f t="shared" si="221"/>
        <v>-342.99374757818595</v>
      </c>
    </row>
    <row r="1804" spans="1:11">
      <c r="A1804" s="26">
        <v>1754</v>
      </c>
      <c r="B1804" s="82">
        <f t="shared" si="222"/>
        <v>0</v>
      </c>
      <c r="C1804" s="58">
        <f t="shared" si="218"/>
        <v>156.29037528357509</v>
      </c>
      <c r="D1804" s="83">
        <f t="shared" si="223"/>
        <v>666.66666666666663</v>
      </c>
      <c r="E1804">
        <f t="shared" si="219"/>
        <v>0</v>
      </c>
      <c r="G1804">
        <v>1754</v>
      </c>
      <c r="H1804" s="13">
        <f t="shared" si="224"/>
        <v>-7.7831728503952036E-4</v>
      </c>
      <c r="I1804">
        <f t="shared" si="225"/>
        <v>154.92520676561577</v>
      </c>
      <c r="J1804">
        <f t="shared" si="220"/>
        <v>663.84123075234106</v>
      </c>
      <c r="K1804" s="27">
        <f t="shared" si="221"/>
        <v>-342.99203755584455</v>
      </c>
    </row>
    <row r="1805" spans="1:11">
      <c r="A1805" s="26">
        <v>1755</v>
      </c>
      <c r="B1805" s="82">
        <f t="shared" si="222"/>
        <v>0</v>
      </c>
      <c r="C1805" s="58">
        <f t="shared" si="218"/>
        <v>156.29037528357509</v>
      </c>
      <c r="D1805" s="83">
        <f t="shared" si="223"/>
        <v>666.66666666666663</v>
      </c>
      <c r="E1805">
        <f t="shared" si="219"/>
        <v>0</v>
      </c>
      <c r="G1805">
        <v>1755</v>
      </c>
      <c r="H1805" s="13">
        <f t="shared" si="224"/>
        <v>-7.7831728503952036E-4</v>
      </c>
      <c r="I1805">
        <f t="shared" si="225"/>
        <v>154.92442844833073</v>
      </c>
      <c r="J1805">
        <f t="shared" si="220"/>
        <v>663.83957590565569</v>
      </c>
      <c r="K1805" s="27">
        <f t="shared" si="221"/>
        <v>-342.99032748363339</v>
      </c>
    </row>
    <row r="1806" spans="1:11">
      <c r="A1806" s="26">
        <v>1756</v>
      </c>
      <c r="B1806" s="82">
        <f t="shared" si="222"/>
        <v>0</v>
      </c>
      <c r="C1806" s="58">
        <f t="shared" si="218"/>
        <v>156.29037528357509</v>
      </c>
      <c r="D1806" s="83">
        <f t="shared" si="223"/>
        <v>666.66666666666663</v>
      </c>
      <c r="E1806">
        <f t="shared" si="219"/>
        <v>0</v>
      </c>
      <c r="G1806">
        <v>1756</v>
      </c>
      <c r="H1806" s="13">
        <f t="shared" si="224"/>
        <v>-7.7831728503952036E-4</v>
      </c>
      <c r="I1806">
        <f t="shared" si="225"/>
        <v>154.92365013104569</v>
      </c>
      <c r="J1806">
        <f t="shared" si="220"/>
        <v>663.83792100658309</v>
      </c>
      <c r="K1806" s="27">
        <f t="shared" si="221"/>
        <v>-342.98861736154868</v>
      </c>
    </row>
    <row r="1807" spans="1:11">
      <c r="A1807" s="26">
        <v>1757</v>
      </c>
      <c r="B1807" s="82">
        <f t="shared" si="222"/>
        <v>0</v>
      </c>
      <c r="C1807" s="58">
        <f t="shared" si="218"/>
        <v>156.29037528357509</v>
      </c>
      <c r="D1807" s="83">
        <f t="shared" si="223"/>
        <v>666.66666666666663</v>
      </c>
      <c r="E1807">
        <f t="shared" si="219"/>
        <v>0</v>
      </c>
      <c r="G1807">
        <v>1757</v>
      </c>
      <c r="H1807" s="13">
        <f t="shared" si="224"/>
        <v>-7.7831728503952036E-4</v>
      </c>
      <c r="I1807">
        <f t="shared" si="225"/>
        <v>154.92287181376065</v>
      </c>
      <c r="J1807">
        <f t="shared" si="220"/>
        <v>663.83626605511904</v>
      </c>
      <c r="K1807" s="27">
        <f t="shared" si="221"/>
        <v>-342.98690718958659</v>
      </c>
    </row>
    <row r="1808" spans="1:11">
      <c r="A1808" s="26">
        <v>1758</v>
      </c>
      <c r="B1808" s="82">
        <f t="shared" si="222"/>
        <v>0</v>
      </c>
      <c r="C1808" s="58">
        <f t="shared" ref="C1808:C1871" si="226">($C$37-$C$36)/2000+C1807</f>
        <v>156.29037528357509</v>
      </c>
      <c r="D1808" s="83">
        <f t="shared" si="223"/>
        <v>666.66666666666663</v>
      </c>
      <c r="E1808">
        <f t="shared" si="219"/>
        <v>0</v>
      </c>
      <c r="G1808">
        <v>1758</v>
      </c>
      <c r="H1808" s="13">
        <f t="shared" si="224"/>
        <v>-7.7831728503952036E-4</v>
      </c>
      <c r="I1808">
        <f t="shared" si="225"/>
        <v>154.92209349647561</v>
      </c>
      <c r="J1808">
        <f t="shared" si="220"/>
        <v>663.83461105125957</v>
      </c>
      <c r="K1808" s="27">
        <f t="shared" si="221"/>
        <v>-342.98519696774321</v>
      </c>
    </row>
    <row r="1809" spans="1:11">
      <c r="A1809" s="26">
        <v>1759</v>
      </c>
      <c r="B1809" s="82">
        <f t="shared" si="222"/>
        <v>0</v>
      </c>
      <c r="C1809" s="58">
        <f t="shared" si="226"/>
        <v>156.29037528357509</v>
      </c>
      <c r="D1809" s="83">
        <f t="shared" si="223"/>
        <v>666.66666666666663</v>
      </c>
      <c r="E1809">
        <f t="shared" si="219"/>
        <v>0</v>
      </c>
      <c r="G1809">
        <v>1759</v>
      </c>
      <c r="H1809" s="13">
        <f t="shared" si="224"/>
        <v>-7.7831728503952036E-4</v>
      </c>
      <c r="I1809">
        <f t="shared" si="225"/>
        <v>154.92131517919057</v>
      </c>
      <c r="J1809">
        <f t="shared" si="220"/>
        <v>663.83295599500059</v>
      </c>
      <c r="K1809" s="27">
        <f t="shared" si="221"/>
        <v>-342.98348669601495</v>
      </c>
    </row>
    <row r="1810" spans="1:11">
      <c r="A1810" s="26">
        <v>1760</v>
      </c>
      <c r="B1810" s="82">
        <f t="shared" si="222"/>
        <v>0</v>
      </c>
      <c r="C1810" s="58">
        <f t="shared" si="226"/>
        <v>156.29037528357509</v>
      </c>
      <c r="D1810" s="83">
        <f t="shared" si="223"/>
        <v>666.66666666666663</v>
      </c>
      <c r="E1810">
        <f t="shared" si="219"/>
        <v>0</v>
      </c>
      <c r="G1810">
        <v>1760</v>
      </c>
      <c r="H1810" s="13">
        <f t="shared" si="224"/>
        <v>-7.7831728503952036E-4</v>
      </c>
      <c r="I1810">
        <f t="shared" si="225"/>
        <v>154.92053686190553</v>
      </c>
      <c r="J1810">
        <f t="shared" si="220"/>
        <v>663.831300886338</v>
      </c>
      <c r="K1810" s="27">
        <f t="shared" si="221"/>
        <v>-342.98177637439773</v>
      </c>
    </row>
    <row r="1811" spans="1:11">
      <c r="A1811" s="26">
        <v>1761</v>
      </c>
      <c r="B1811" s="82">
        <f t="shared" si="222"/>
        <v>0</v>
      </c>
      <c r="C1811" s="58">
        <f t="shared" si="226"/>
        <v>156.29037528357509</v>
      </c>
      <c r="D1811" s="83">
        <f t="shared" si="223"/>
        <v>666.66666666666663</v>
      </c>
      <c r="E1811">
        <f t="shared" si="219"/>
        <v>0</v>
      </c>
      <c r="G1811">
        <v>1761</v>
      </c>
      <c r="H1811" s="13">
        <f t="shared" si="224"/>
        <v>-7.7831728503952036E-4</v>
      </c>
      <c r="I1811">
        <f t="shared" si="225"/>
        <v>154.91975854462049</v>
      </c>
      <c r="J1811">
        <f t="shared" si="220"/>
        <v>663.82964572526782</v>
      </c>
      <c r="K1811" s="27">
        <f t="shared" si="221"/>
        <v>-342.98006600288795</v>
      </c>
    </row>
    <row r="1812" spans="1:11">
      <c r="A1812" s="26">
        <v>1762</v>
      </c>
      <c r="B1812" s="82">
        <f t="shared" si="222"/>
        <v>0</v>
      </c>
      <c r="C1812" s="58">
        <f t="shared" si="226"/>
        <v>156.29037528357509</v>
      </c>
      <c r="D1812" s="83">
        <f t="shared" si="223"/>
        <v>666.66666666666663</v>
      </c>
      <c r="E1812">
        <f t="shared" si="219"/>
        <v>0</v>
      </c>
      <c r="G1812">
        <v>1762</v>
      </c>
      <c r="H1812" s="13">
        <f t="shared" si="224"/>
        <v>-7.7831728503952036E-4</v>
      </c>
      <c r="I1812">
        <f t="shared" si="225"/>
        <v>154.91898022733545</v>
      </c>
      <c r="J1812">
        <f t="shared" si="220"/>
        <v>663.82799051178586</v>
      </c>
      <c r="K1812" s="27">
        <f t="shared" si="221"/>
        <v>-342.97835558148176</v>
      </c>
    </row>
    <row r="1813" spans="1:11">
      <c r="A1813" s="26">
        <v>1763</v>
      </c>
      <c r="B1813" s="82">
        <f t="shared" si="222"/>
        <v>0</v>
      </c>
      <c r="C1813" s="58">
        <f t="shared" si="226"/>
        <v>156.29037528357509</v>
      </c>
      <c r="D1813" s="83">
        <f t="shared" si="223"/>
        <v>666.66666666666663</v>
      </c>
      <c r="E1813">
        <f t="shared" si="219"/>
        <v>0</v>
      </c>
      <c r="G1813">
        <v>1763</v>
      </c>
      <c r="H1813" s="13">
        <f t="shared" si="224"/>
        <v>-7.7831728503952036E-4</v>
      </c>
      <c r="I1813">
        <f t="shared" si="225"/>
        <v>154.91820191005041</v>
      </c>
      <c r="J1813">
        <f t="shared" si="220"/>
        <v>663.82633524588812</v>
      </c>
      <c r="K1813" s="27">
        <f t="shared" si="221"/>
        <v>-342.9766451101753</v>
      </c>
    </row>
    <row r="1814" spans="1:11">
      <c r="A1814" s="26">
        <v>1764</v>
      </c>
      <c r="B1814" s="82">
        <f t="shared" si="222"/>
        <v>0</v>
      </c>
      <c r="C1814" s="58">
        <f t="shared" si="226"/>
        <v>156.29037528357509</v>
      </c>
      <c r="D1814" s="83">
        <f t="shared" si="223"/>
        <v>666.66666666666663</v>
      </c>
      <c r="E1814">
        <f t="shared" si="219"/>
        <v>0</v>
      </c>
      <c r="G1814">
        <v>1764</v>
      </c>
      <c r="H1814" s="13">
        <f t="shared" si="224"/>
        <v>-7.7831728503952036E-4</v>
      </c>
      <c r="I1814">
        <f t="shared" si="225"/>
        <v>154.91742359276537</v>
      </c>
      <c r="J1814">
        <f t="shared" si="220"/>
        <v>663.8246799275704</v>
      </c>
      <c r="K1814" s="27">
        <f t="shared" si="221"/>
        <v>-342.97493458896474</v>
      </c>
    </row>
    <row r="1815" spans="1:11">
      <c r="A1815" s="26">
        <v>1765</v>
      </c>
      <c r="B1815" s="82">
        <f t="shared" si="222"/>
        <v>0</v>
      </c>
      <c r="C1815" s="58">
        <f t="shared" si="226"/>
        <v>156.29037528357509</v>
      </c>
      <c r="D1815" s="83">
        <f t="shared" si="223"/>
        <v>666.66666666666663</v>
      </c>
      <c r="E1815">
        <f t="shared" si="219"/>
        <v>0</v>
      </c>
      <c r="G1815">
        <v>1765</v>
      </c>
      <c r="H1815" s="13">
        <f t="shared" si="224"/>
        <v>-7.7831728503952036E-4</v>
      </c>
      <c r="I1815">
        <f t="shared" si="225"/>
        <v>154.91664527548033</v>
      </c>
      <c r="J1815">
        <f t="shared" si="220"/>
        <v>663.82302455682873</v>
      </c>
      <c r="K1815" s="27">
        <f t="shared" si="221"/>
        <v>-342.97322401784641</v>
      </c>
    </row>
    <row r="1816" spans="1:11">
      <c r="A1816" s="26">
        <v>1766</v>
      </c>
      <c r="B1816" s="82">
        <f t="shared" si="222"/>
        <v>0</v>
      </c>
      <c r="C1816" s="58">
        <f t="shared" si="226"/>
        <v>156.29037528357509</v>
      </c>
      <c r="D1816" s="83">
        <f t="shared" si="223"/>
        <v>666.66666666666663</v>
      </c>
      <c r="E1816">
        <f t="shared" si="219"/>
        <v>0</v>
      </c>
      <c r="G1816">
        <v>1766</v>
      </c>
      <c r="H1816" s="13">
        <f t="shared" si="224"/>
        <v>-7.7831728503952036E-4</v>
      </c>
      <c r="I1816">
        <f t="shared" si="225"/>
        <v>154.91586695819529</v>
      </c>
      <c r="J1816">
        <f t="shared" si="220"/>
        <v>663.82136913365912</v>
      </c>
      <c r="K1816" s="27">
        <f t="shared" si="221"/>
        <v>-342.97151339681642</v>
      </c>
    </row>
    <row r="1817" spans="1:11">
      <c r="A1817" s="26">
        <v>1767</v>
      </c>
      <c r="B1817" s="82">
        <f t="shared" si="222"/>
        <v>0</v>
      </c>
      <c r="C1817" s="58">
        <f t="shared" si="226"/>
        <v>156.29037528357509</v>
      </c>
      <c r="D1817" s="83">
        <f t="shared" si="223"/>
        <v>666.66666666666663</v>
      </c>
      <c r="E1817">
        <f t="shared" si="219"/>
        <v>0</v>
      </c>
      <c r="G1817">
        <v>1767</v>
      </c>
      <c r="H1817" s="13">
        <f t="shared" si="224"/>
        <v>-7.7831728503952036E-4</v>
      </c>
      <c r="I1817">
        <f t="shared" si="225"/>
        <v>154.91508864091026</v>
      </c>
      <c r="J1817">
        <f t="shared" si="220"/>
        <v>663.81971365805725</v>
      </c>
      <c r="K1817" s="27">
        <f t="shared" si="221"/>
        <v>-342.96980272587081</v>
      </c>
    </row>
    <row r="1818" spans="1:11">
      <c r="A1818" s="26">
        <v>1768</v>
      </c>
      <c r="B1818" s="82">
        <f t="shared" si="222"/>
        <v>0</v>
      </c>
      <c r="C1818" s="58">
        <f t="shared" si="226"/>
        <v>156.29037528357509</v>
      </c>
      <c r="D1818" s="83">
        <f t="shared" si="223"/>
        <v>666.66666666666663</v>
      </c>
      <c r="E1818">
        <f t="shared" si="219"/>
        <v>0</v>
      </c>
      <c r="G1818">
        <v>1768</v>
      </c>
      <c r="H1818" s="13">
        <f t="shared" si="224"/>
        <v>-7.7831728503952036E-4</v>
      </c>
      <c r="I1818">
        <f t="shared" si="225"/>
        <v>154.91431032362522</v>
      </c>
      <c r="J1818">
        <f t="shared" si="220"/>
        <v>663.81805813001915</v>
      </c>
      <c r="K1818" s="27">
        <f t="shared" si="221"/>
        <v>-342.96809200500599</v>
      </c>
    </row>
    <row r="1819" spans="1:11">
      <c r="A1819" s="26">
        <v>1769</v>
      </c>
      <c r="B1819" s="82">
        <f t="shared" si="222"/>
        <v>0</v>
      </c>
      <c r="C1819" s="58">
        <f t="shared" si="226"/>
        <v>156.29037528357509</v>
      </c>
      <c r="D1819" s="83">
        <f t="shared" si="223"/>
        <v>666.66666666666663</v>
      </c>
      <c r="E1819">
        <f t="shared" si="219"/>
        <v>0</v>
      </c>
      <c r="G1819">
        <v>1769</v>
      </c>
      <c r="H1819" s="13">
        <f t="shared" si="224"/>
        <v>-7.7831728503952036E-4</v>
      </c>
      <c r="I1819">
        <f t="shared" si="225"/>
        <v>154.91353200634018</v>
      </c>
      <c r="J1819">
        <f t="shared" si="220"/>
        <v>663.81640254954084</v>
      </c>
      <c r="K1819" s="27">
        <f t="shared" si="221"/>
        <v>-342.96638123421809</v>
      </c>
    </row>
    <row r="1820" spans="1:11">
      <c r="A1820" s="26">
        <v>1770</v>
      </c>
      <c r="B1820" s="82">
        <f t="shared" si="222"/>
        <v>0</v>
      </c>
      <c r="C1820" s="58">
        <f t="shared" si="226"/>
        <v>156.29037528357509</v>
      </c>
      <c r="D1820" s="83">
        <f t="shared" si="223"/>
        <v>666.66666666666663</v>
      </c>
      <c r="E1820">
        <f t="shared" si="219"/>
        <v>0</v>
      </c>
      <c r="G1820">
        <v>1770</v>
      </c>
      <c r="H1820" s="13">
        <f t="shared" si="224"/>
        <v>-7.7831728503952036E-4</v>
      </c>
      <c r="I1820">
        <f t="shared" si="225"/>
        <v>154.91275368905514</v>
      </c>
      <c r="J1820">
        <f t="shared" si="220"/>
        <v>663.81474691661822</v>
      </c>
      <c r="K1820" s="27">
        <f t="shared" si="221"/>
        <v>-342.96467041350326</v>
      </c>
    </row>
    <row r="1821" spans="1:11">
      <c r="A1821" s="26">
        <v>1771</v>
      </c>
      <c r="B1821" s="82">
        <f t="shared" si="222"/>
        <v>0</v>
      </c>
      <c r="C1821" s="58">
        <f t="shared" si="226"/>
        <v>156.29037528357509</v>
      </c>
      <c r="D1821" s="83">
        <f t="shared" si="223"/>
        <v>666.66666666666663</v>
      </c>
      <c r="E1821">
        <f t="shared" si="219"/>
        <v>0</v>
      </c>
      <c r="G1821">
        <v>1771</v>
      </c>
      <c r="H1821" s="13">
        <f t="shared" si="224"/>
        <v>-7.7831728503952036E-4</v>
      </c>
      <c r="I1821">
        <f t="shared" si="225"/>
        <v>154.9119753717701</v>
      </c>
      <c r="J1821">
        <f t="shared" si="220"/>
        <v>663.81309123124697</v>
      </c>
      <c r="K1821" s="27">
        <f t="shared" si="221"/>
        <v>-342.96295954285773</v>
      </c>
    </row>
    <row r="1822" spans="1:11">
      <c r="A1822" s="26">
        <v>1772</v>
      </c>
      <c r="B1822" s="82">
        <f t="shared" si="222"/>
        <v>0</v>
      </c>
      <c r="C1822" s="58">
        <f t="shared" si="226"/>
        <v>156.29037528357509</v>
      </c>
      <c r="D1822" s="83">
        <f t="shared" si="223"/>
        <v>666.66666666666663</v>
      </c>
      <c r="E1822">
        <f t="shared" si="219"/>
        <v>0</v>
      </c>
      <c r="G1822">
        <v>1772</v>
      </c>
      <c r="H1822" s="13">
        <f t="shared" si="224"/>
        <v>-7.7831728503952036E-4</v>
      </c>
      <c r="I1822">
        <f t="shared" si="225"/>
        <v>154.91119705448506</v>
      </c>
      <c r="J1822">
        <f t="shared" si="220"/>
        <v>663.81143549342335</v>
      </c>
      <c r="K1822" s="27">
        <f t="shared" si="221"/>
        <v>-342.96124862227771</v>
      </c>
    </row>
    <row r="1823" spans="1:11">
      <c r="A1823" s="26">
        <v>1773</v>
      </c>
      <c r="B1823" s="82">
        <f t="shared" si="222"/>
        <v>0</v>
      </c>
      <c r="C1823" s="58">
        <f t="shared" si="226"/>
        <v>156.29037528357509</v>
      </c>
      <c r="D1823" s="83">
        <f t="shared" si="223"/>
        <v>666.66666666666663</v>
      </c>
      <c r="E1823">
        <f t="shared" si="219"/>
        <v>0</v>
      </c>
      <c r="G1823">
        <v>1773</v>
      </c>
      <c r="H1823" s="13">
        <f t="shared" si="224"/>
        <v>-7.7831728503952036E-4</v>
      </c>
      <c r="I1823">
        <f t="shared" si="225"/>
        <v>154.91041873720002</v>
      </c>
      <c r="J1823">
        <f t="shared" si="220"/>
        <v>663.80977970314302</v>
      </c>
      <c r="K1823" s="27">
        <f t="shared" si="221"/>
        <v>-342.95953765175909</v>
      </c>
    </row>
    <row r="1824" spans="1:11">
      <c r="A1824" s="26">
        <v>1774</v>
      </c>
      <c r="B1824" s="82">
        <f t="shared" si="222"/>
        <v>0</v>
      </c>
      <c r="C1824" s="58">
        <f t="shared" si="226"/>
        <v>156.29037528357509</v>
      </c>
      <c r="D1824" s="83">
        <f t="shared" si="223"/>
        <v>666.66666666666663</v>
      </c>
      <c r="E1824">
        <f t="shared" si="219"/>
        <v>0</v>
      </c>
      <c r="G1824">
        <v>1774</v>
      </c>
      <c r="H1824" s="13">
        <f t="shared" si="224"/>
        <v>-7.7831728503952036E-4</v>
      </c>
      <c r="I1824">
        <f t="shared" si="225"/>
        <v>154.90964041991498</v>
      </c>
      <c r="J1824">
        <f t="shared" si="220"/>
        <v>663.80812386040191</v>
      </c>
      <c r="K1824" s="27">
        <f t="shared" si="221"/>
        <v>-342.95782663129847</v>
      </c>
    </row>
    <row r="1825" spans="1:11">
      <c r="A1825" s="26">
        <v>1775</v>
      </c>
      <c r="B1825" s="82">
        <f t="shared" si="222"/>
        <v>0</v>
      </c>
      <c r="C1825" s="58">
        <f t="shared" si="226"/>
        <v>156.29037528357509</v>
      </c>
      <c r="D1825" s="83">
        <f t="shared" si="223"/>
        <v>666.66666666666663</v>
      </c>
      <c r="E1825">
        <f t="shared" si="219"/>
        <v>0</v>
      </c>
      <c r="G1825">
        <v>1775</v>
      </c>
      <c r="H1825" s="13">
        <f t="shared" si="224"/>
        <v>-7.7831728503952036E-4</v>
      </c>
      <c r="I1825">
        <f t="shared" si="225"/>
        <v>154.90886210262994</v>
      </c>
      <c r="J1825">
        <f t="shared" si="220"/>
        <v>663.80646796519613</v>
      </c>
      <c r="K1825" s="27">
        <f t="shared" si="221"/>
        <v>-342.95611556089187</v>
      </c>
    </row>
    <row r="1826" spans="1:11">
      <c r="A1826" s="26">
        <v>1776</v>
      </c>
      <c r="B1826" s="82">
        <f t="shared" si="222"/>
        <v>0</v>
      </c>
      <c r="C1826" s="58">
        <f t="shared" si="226"/>
        <v>156.29037528357509</v>
      </c>
      <c r="D1826" s="83">
        <f t="shared" si="223"/>
        <v>666.66666666666663</v>
      </c>
      <c r="E1826">
        <f t="shared" si="219"/>
        <v>0</v>
      </c>
      <c r="G1826">
        <v>1776</v>
      </c>
      <c r="H1826" s="13">
        <f t="shared" si="224"/>
        <v>-7.7831728503952036E-4</v>
      </c>
      <c r="I1826">
        <f t="shared" si="225"/>
        <v>154.9080837853449</v>
      </c>
      <c r="J1826">
        <f t="shared" si="220"/>
        <v>663.8048120175215</v>
      </c>
      <c r="K1826" s="27">
        <f t="shared" si="221"/>
        <v>-342.95440444053548</v>
      </c>
    </row>
    <row r="1827" spans="1:11">
      <c r="A1827" s="26">
        <v>1777</v>
      </c>
      <c r="B1827" s="82">
        <f t="shared" si="222"/>
        <v>0</v>
      </c>
      <c r="C1827" s="58">
        <f t="shared" si="226"/>
        <v>156.29037528357509</v>
      </c>
      <c r="D1827" s="83">
        <f t="shared" si="223"/>
        <v>666.66666666666663</v>
      </c>
      <c r="E1827">
        <f t="shared" si="219"/>
        <v>0</v>
      </c>
      <c r="G1827">
        <v>1777</v>
      </c>
      <c r="H1827" s="13">
        <f t="shared" si="224"/>
        <v>-7.7831728503952036E-4</v>
      </c>
      <c r="I1827">
        <f t="shared" si="225"/>
        <v>154.90730546805986</v>
      </c>
      <c r="J1827">
        <f t="shared" si="220"/>
        <v>663.80315601737379</v>
      </c>
      <c r="K1827" s="27">
        <f t="shared" si="221"/>
        <v>-342.95269327022538</v>
      </c>
    </row>
    <row r="1828" spans="1:11">
      <c r="A1828" s="26">
        <v>1778</v>
      </c>
      <c r="B1828" s="82">
        <f t="shared" si="222"/>
        <v>0</v>
      </c>
      <c r="C1828" s="58">
        <f t="shared" si="226"/>
        <v>156.29037528357509</v>
      </c>
      <c r="D1828" s="83">
        <f t="shared" si="223"/>
        <v>666.66666666666663</v>
      </c>
      <c r="E1828">
        <f t="shared" si="219"/>
        <v>0</v>
      </c>
      <c r="G1828">
        <v>1778</v>
      </c>
      <c r="H1828" s="13">
        <f t="shared" si="224"/>
        <v>-7.7831728503952036E-4</v>
      </c>
      <c r="I1828">
        <f t="shared" si="225"/>
        <v>154.90652715077482</v>
      </c>
      <c r="J1828">
        <f t="shared" si="220"/>
        <v>663.80149996474904</v>
      </c>
      <c r="K1828" s="27">
        <f t="shared" si="221"/>
        <v>-342.95098204995793</v>
      </c>
    </row>
    <row r="1829" spans="1:11">
      <c r="A1829" s="26">
        <v>1779</v>
      </c>
      <c r="B1829" s="82">
        <f t="shared" si="222"/>
        <v>0</v>
      </c>
      <c r="C1829" s="58">
        <f t="shared" si="226"/>
        <v>156.29037528357509</v>
      </c>
      <c r="D1829" s="83">
        <f t="shared" si="223"/>
        <v>666.66666666666663</v>
      </c>
      <c r="E1829">
        <f t="shared" si="219"/>
        <v>0</v>
      </c>
      <c r="G1829">
        <v>1779</v>
      </c>
      <c r="H1829" s="13">
        <f t="shared" si="224"/>
        <v>-7.7831728503952036E-4</v>
      </c>
      <c r="I1829">
        <f t="shared" si="225"/>
        <v>154.90574883348978</v>
      </c>
      <c r="J1829">
        <f t="shared" si="220"/>
        <v>663.79984385964326</v>
      </c>
      <c r="K1829" s="27">
        <f t="shared" si="221"/>
        <v>-342.9492707797292</v>
      </c>
    </row>
    <row r="1830" spans="1:11">
      <c r="A1830" s="26">
        <v>1780</v>
      </c>
      <c r="B1830" s="82">
        <f t="shared" si="222"/>
        <v>0</v>
      </c>
      <c r="C1830" s="58">
        <f t="shared" si="226"/>
        <v>156.29037528357509</v>
      </c>
      <c r="D1830" s="83">
        <f t="shared" si="223"/>
        <v>666.66666666666663</v>
      </c>
      <c r="E1830">
        <f t="shared" si="219"/>
        <v>0</v>
      </c>
      <c r="G1830">
        <v>1780</v>
      </c>
      <c r="H1830" s="13">
        <f t="shared" si="224"/>
        <v>-7.7831728503952036E-4</v>
      </c>
      <c r="I1830">
        <f t="shared" si="225"/>
        <v>154.90497051620474</v>
      </c>
      <c r="J1830">
        <f t="shared" si="220"/>
        <v>663.79818770205225</v>
      </c>
      <c r="K1830" s="27">
        <f t="shared" si="221"/>
        <v>-342.9475594595354</v>
      </c>
    </row>
    <row r="1831" spans="1:11">
      <c r="A1831" s="26">
        <v>1781</v>
      </c>
      <c r="B1831" s="82">
        <f t="shared" si="222"/>
        <v>0</v>
      </c>
      <c r="C1831" s="58">
        <f t="shared" si="226"/>
        <v>156.29037528357509</v>
      </c>
      <c r="D1831" s="83">
        <f t="shared" si="223"/>
        <v>666.66666666666663</v>
      </c>
      <c r="E1831">
        <f t="shared" si="219"/>
        <v>0</v>
      </c>
      <c r="G1831">
        <v>1781</v>
      </c>
      <c r="H1831" s="13">
        <f t="shared" si="224"/>
        <v>-7.7831728503952036E-4</v>
      </c>
      <c r="I1831">
        <f t="shared" si="225"/>
        <v>154.9041921989197</v>
      </c>
      <c r="J1831">
        <f t="shared" si="220"/>
        <v>663.79653149197179</v>
      </c>
      <c r="K1831" s="27">
        <f t="shared" si="221"/>
        <v>-342.9458480893727</v>
      </c>
    </row>
    <row r="1832" spans="1:11">
      <c r="A1832" s="26">
        <v>1782</v>
      </c>
      <c r="B1832" s="82">
        <f t="shared" si="222"/>
        <v>0</v>
      </c>
      <c r="C1832" s="58">
        <f t="shared" si="226"/>
        <v>156.29037528357509</v>
      </c>
      <c r="D1832" s="83">
        <f t="shared" si="223"/>
        <v>666.66666666666663</v>
      </c>
      <c r="E1832">
        <f t="shared" si="219"/>
        <v>0</v>
      </c>
      <c r="G1832">
        <v>1782</v>
      </c>
      <c r="H1832" s="13">
        <f t="shared" si="224"/>
        <v>-7.7831728503952036E-4</v>
      </c>
      <c r="I1832">
        <f t="shared" si="225"/>
        <v>154.90341388163466</v>
      </c>
      <c r="J1832">
        <f t="shared" si="220"/>
        <v>663.79487522939803</v>
      </c>
      <c r="K1832" s="27">
        <f t="shared" si="221"/>
        <v>-342.94413666923737</v>
      </c>
    </row>
    <row r="1833" spans="1:11">
      <c r="A1833" s="26">
        <v>1783</v>
      </c>
      <c r="B1833" s="82">
        <f t="shared" si="222"/>
        <v>0</v>
      </c>
      <c r="C1833" s="58">
        <f t="shared" si="226"/>
        <v>156.29037528357509</v>
      </c>
      <c r="D1833" s="83">
        <f t="shared" si="223"/>
        <v>666.66666666666663</v>
      </c>
      <c r="E1833">
        <f t="shared" si="219"/>
        <v>0</v>
      </c>
      <c r="G1833">
        <v>1783</v>
      </c>
      <c r="H1833" s="13">
        <f t="shared" si="224"/>
        <v>-7.7831728503952036E-4</v>
      </c>
      <c r="I1833">
        <f t="shared" si="225"/>
        <v>154.90263556434962</v>
      </c>
      <c r="J1833">
        <f t="shared" si="220"/>
        <v>663.79321891432687</v>
      </c>
      <c r="K1833" s="27">
        <f t="shared" si="221"/>
        <v>-342.94242519912547</v>
      </c>
    </row>
    <row r="1834" spans="1:11">
      <c r="A1834" s="26">
        <v>1784</v>
      </c>
      <c r="B1834" s="82">
        <f t="shared" si="222"/>
        <v>0</v>
      </c>
      <c r="C1834" s="58">
        <f t="shared" si="226"/>
        <v>156.29037528357509</v>
      </c>
      <c r="D1834" s="83">
        <f t="shared" si="223"/>
        <v>666.66666666666663</v>
      </c>
      <c r="E1834">
        <f t="shared" si="219"/>
        <v>0</v>
      </c>
      <c r="G1834">
        <v>1784</v>
      </c>
      <c r="H1834" s="13">
        <f t="shared" si="224"/>
        <v>-7.7831728503952036E-4</v>
      </c>
      <c r="I1834">
        <f t="shared" si="225"/>
        <v>154.90185724706458</v>
      </c>
      <c r="J1834">
        <f t="shared" si="220"/>
        <v>663.79156254675399</v>
      </c>
      <c r="K1834" s="27">
        <f t="shared" si="221"/>
        <v>-342.94071367903319</v>
      </c>
    </row>
    <row r="1835" spans="1:11">
      <c r="A1835" s="26">
        <v>1785</v>
      </c>
      <c r="B1835" s="82">
        <f t="shared" si="222"/>
        <v>0</v>
      </c>
      <c r="C1835" s="58">
        <f t="shared" si="226"/>
        <v>156.29037528357509</v>
      </c>
      <c r="D1835" s="83">
        <f t="shared" si="223"/>
        <v>666.66666666666663</v>
      </c>
      <c r="E1835">
        <f t="shared" si="219"/>
        <v>0</v>
      </c>
      <c r="G1835">
        <v>1785</v>
      </c>
      <c r="H1835" s="13">
        <f t="shared" si="224"/>
        <v>-7.7831728503952036E-4</v>
      </c>
      <c r="I1835">
        <f t="shared" si="225"/>
        <v>154.90107892977954</v>
      </c>
      <c r="J1835">
        <f t="shared" si="220"/>
        <v>663.78990612667553</v>
      </c>
      <c r="K1835" s="27">
        <f t="shared" si="221"/>
        <v>-342.93900210895669</v>
      </c>
    </row>
    <row r="1836" spans="1:11">
      <c r="A1836" s="26">
        <v>1786</v>
      </c>
      <c r="B1836" s="82">
        <f t="shared" si="222"/>
        <v>0</v>
      </c>
      <c r="C1836" s="58">
        <f t="shared" si="226"/>
        <v>156.29037528357509</v>
      </c>
      <c r="D1836" s="83">
        <f t="shared" si="223"/>
        <v>666.66666666666663</v>
      </c>
      <c r="E1836">
        <f t="shared" si="219"/>
        <v>0</v>
      </c>
      <c r="G1836">
        <v>1786</v>
      </c>
      <c r="H1836" s="13">
        <f t="shared" si="224"/>
        <v>-7.7831728503952036E-4</v>
      </c>
      <c r="I1836">
        <f t="shared" si="225"/>
        <v>154.9003006124945</v>
      </c>
      <c r="J1836">
        <f t="shared" si="220"/>
        <v>663.78824965408728</v>
      </c>
      <c r="K1836" s="27">
        <f t="shared" si="221"/>
        <v>-342.93729048889236</v>
      </c>
    </row>
    <row r="1837" spans="1:11">
      <c r="A1837" s="26">
        <v>1787</v>
      </c>
      <c r="B1837" s="82">
        <f t="shared" si="222"/>
        <v>0</v>
      </c>
      <c r="C1837" s="58">
        <f t="shared" si="226"/>
        <v>156.29037528357509</v>
      </c>
      <c r="D1837" s="83">
        <f t="shared" si="223"/>
        <v>666.66666666666663</v>
      </c>
      <c r="E1837">
        <f t="shared" si="219"/>
        <v>0</v>
      </c>
      <c r="G1837">
        <v>1787</v>
      </c>
      <c r="H1837" s="13">
        <f t="shared" si="224"/>
        <v>-7.7831728503952036E-4</v>
      </c>
      <c r="I1837">
        <f t="shared" si="225"/>
        <v>154.89952229520947</v>
      </c>
      <c r="J1837">
        <f t="shared" si="220"/>
        <v>663.78659312898526</v>
      </c>
      <c r="K1837" s="27">
        <f t="shared" si="221"/>
        <v>-342.93557881883618</v>
      </c>
    </row>
    <row r="1838" spans="1:11">
      <c r="A1838" s="26">
        <v>1788</v>
      </c>
      <c r="B1838" s="82">
        <f t="shared" si="222"/>
        <v>0</v>
      </c>
      <c r="C1838" s="58">
        <f t="shared" si="226"/>
        <v>156.29037528357509</v>
      </c>
      <c r="D1838" s="83">
        <f t="shared" si="223"/>
        <v>666.66666666666663</v>
      </c>
      <c r="E1838">
        <f t="shared" si="219"/>
        <v>0</v>
      </c>
      <c r="G1838">
        <v>1788</v>
      </c>
      <c r="H1838" s="13">
        <f t="shared" si="224"/>
        <v>-7.7831728503952036E-4</v>
      </c>
      <c r="I1838">
        <f t="shared" si="225"/>
        <v>154.89874397792443</v>
      </c>
      <c r="J1838">
        <f t="shared" si="220"/>
        <v>663.78493655136526</v>
      </c>
      <c r="K1838" s="27">
        <f t="shared" si="221"/>
        <v>-342.93386709878428</v>
      </c>
    </row>
    <row r="1839" spans="1:11">
      <c r="A1839" s="26">
        <v>1789</v>
      </c>
      <c r="B1839" s="82">
        <f t="shared" si="222"/>
        <v>0</v>
      </c>
      <c r="C1839" s="58">
        <f t="shared" si="226"/>
        <v>156.29037528357509</v>
      </c>
      <c r="D1839" s="83">
        <f t="shared" si="223"/>
        <v>666.66666666666663</v>
      </c>
      <c r="E1839">
        <f t="shared" si="219"/>
        <v>0</v>
      </c>
      <c r="G1839">
        <v>1789</v>
      </c>
      <c r="H1839" s="13">
        <f t="shared" si="224"/>
        <v>-7.7831728503952036E-4</v>
      </c>
      <c r="I1839">
        <f t="shared" si="225"/>
        <v>154.89796566063939</v>
      </c>
      <c r="J1839">
        <f t="shared" si="220"/>
        <v>663.78327992122308</v>
      </c>
      <c r="K1839" s="27">
        <f t="shared" si="221"/>
        <v>-342.93215532873296</v>
      </c>
    </row>
    <row r="1840" spans="1:11">
      <c r="A1840" s="26">
        <v>1790</v>
      </c>
      <c r="B1840" s="82">
        <f t="shared" si="222"/>
        <v>0</v>
      </c>
      <c r="C1840" s="58">
        <f t="shared" si="226"/>
        <v>156.29037528357509</v>
      </c>
      <c r="D1840" s="83">
        <f t="shared" si="223"/>
        <v>666.66666666666663</v>
      </c>
      <c r="E1840">
        <f t="shared" si="219"/>
        <v>0</v>
      </c>
      <c r="G1840">
        <v>1790</v>
      </c>
      <c r="H1840" s="13">
        <f t="shared" si="224"/>
        <v>-7.7831728503952036E-4</v>
      </c>
      <c r="I1840">
        <f t="shared" si="225"/>
        <v>154.89718734335435</v>
      </c>
      <c r="J1840">
        <f t="shared" si="220"/>
        <v>663.78162323855497</v>
      </c>
      <c r="K1840" s="27">
        <f t="shared" si="221"/>
        <v>-342.93044350867848</v>
      </c>
    </row>
    <row r="1841" spans="1:11">
      <c r="A1841" s="26">
        <v>1791</v>
      </c>
      <c r="B1841" s="82">
        <f t="shared" si="222"/>
        <v>0</v>
      </c>
      <c r="C1841" s="58">
        <f t="shared" si="226"/>
        <v>156.29037528357509</v>
      </c>
      <c r="D1841" s="83">
        <f t="shared" si="223"/>
        <v>666.66666666666663</v>
      </c>
      <c r="E1841">
        <f t="shared" si="219"/>
        <v>0</v>
      </c>
      <c r="G1841">
        <v>1791</v>
      </c>
      <c r="H1841" s="13">
        <f t="shared" si="224"/>
        <v>-7.7831728503952036E-4</v>
      </c>
      <c r="I1841">
        <f t="shared" si="225"/>
        <v>154.89640902606931</v>
      </c>
      <c r="J1841">
        <f t="shared" si="220"/>
        <v>663.7799665033566</v>
      </c>
      <c r="K1841" s="27">
        <f t="shared" si="221"/>
        <v>-342.92873163861674</v>
      </c>
    </row>
    <row r="1842" spans="1:11">
      <c r="A1842" s="26">
        <v>1792</v>
      </c>
      <c r="B1842" s="82">
        <f t="shared" si="222"/>
        <v>0</v>
      </c>
      <c r="C1842" s="58">
        <f t="shared" si="226"/>
        <v>156.29037528357509</v>
      </c>
      <c r="D1842" s="83">
        <f t="shared" si="223"/>
        <v>666.66666666666663</v>
      </c>
      <c r="E1842">
        <f t="shared" si="219"/>
        <v>0</v>
      </c>
      <c r="G1842">
        <v>1792</v>
      </c>
      <c r="H1842" s="13">
        <f t="shared" si="224"/>
        <v>-7.7831728503952036E-4</v>
      </c>
      <c r="I1842">
        <f t="shared" si="225"/>
        <v>154.89563070878427</v>
      </c>
      <c r="J1842">
        <f t="shared" si="220"/>
        <v>663.77830971562389</v>
      </c>
      <c r="K1842" s="27">
        <f t="shared" si="221"/>
        <v>-342.92701971854422</v>
      </c>
    </row>
    <row r="1843" spans="1:11">
      <c r="A1843" s="26">
        <v>1793</v>
      </c>
      <c r="B1843" s="82">
        <f t="shared" si="222"/>
        <v>0</v>
      </c>
      <c r="C1843" s="58">
        <f t="shared" si="226"/>
        <v>156.29037528357509</v>
      </c>
      <c r="D1843" s="83">
        <f t="shared" si="223"/>
        <v>666.66666666666663</v>
      </c>
      <c r="E1843">
        <f t="shared" ref="E1843:E1906" si="227">((D1843^2)+(D1843*D1844)+(D1844^2))*B1844/3</f>
        <v>0</v>
      </c>
      <c r="G1843">
        <v>1793</v>
      </c>
      <c r="H1843" s="13">
        <f t="shared" si="224"/>
        <v>-7.7831728503952036E-4</v>
      </c>
      <c r="I1843">
        <f t="shared" si="225"/>
        <v>154.89485239149923</v>
      </c>
      <c r="J1843">
        <f t="shared" ref="J1843:J1906" si="228">IF($G$28&lt;$C$14,0,((($C$11^2)-((I1843-$C$13)^2))^0.5)+$C$16)</f>
        <v>663.77665287535285</v>
      </c>
      <c r="K1843" s="27">
        <f t="shared" ref="K1843:K1906" si="229">((J1843^2)+(J1843*J1844)+(J1844^2))*H1844/3</f>
        <v>-342.92530774845699</v>
      </c>
    </row>
    <row r="1844" spans="1:11">
      <c r="A1844" s="26">
        <v>1794</v>
      </c>
      <c r="B1844" s="82">
        <f t="shared" ref="B1844:B1907" si="230">C1844-C1843</f>
        <v>0</v>
      </c>
      <c r="C1844" s="58">
        <f t="shared" si="226"/>
        <v>156.29037528357509</v>
      </c>
      <c r="D1844" s="83">
        <f t="shared" ref="D1844:D1907" si="231">IF($G$28&lt;$C$14,0,((($C$11^2)-((C1844-$C$13)^2))^0.5)+$C$16)</f>
        <v>666.66666666666663</v>
      </c>
      <c r="E1844">
        <f t="shared" si="227"/>
        <v>0</v>
      </c>
      <c r="G1844">
        <v>1794</v>
      </c>
      <c r="H1844" s="13">
        <f t="shared" ref="H1844:H1907" si="232">I1844-I1843</f>
        <v>-7.7831728503952036E-4</v>
      </c>
      <c r="I1844">
        <f t="shared" ref="I1844:I1907" si="233">($G$27-$C$14)/2000+I1843</f>
        <v>154.89407407421419</v>
      </c>
      <c r="J1844">
        <f t="shared" si="228"/>
        <v>663.77499598253928</v>
      </c>
      <c r="K1844" s="27">
        <f t="shared" si="229"/>
        <v>-342.92359572835107</v>
      </c>
    </row>
    <row r="1845" spans="1:11">
      <c r="A1845" s="26">
        <v>1795</v>
      </c>
      <c r="B1845" s="82">
        <f t="shared" si="230"/>
        <v>0</v>
      </c>
      <c r="C1845" s="58">
        <f t="shared" si="226"/>
        <v>156.29037528357509</v>
      </c>
      <c r="D1845" s="83">
        <f t="shared" si="231"/>
        <v>666.66666666666663</v>
      </c>
      <c r="E1845">
        <f t="shared" si="227"/>
        <v>0</v>
      </c>
      <c r="G1845">
        <v>1795</v>
      </c>
      <c r="H1845" s="13">
        <f t="shared" si="232"/>
        <v>-7.7831728503952036E-4</v>
      </c>
      <c r="I1845">
        <f t="shared" si="233"/>
        <v>154.89329575692915</v>
      </c>
      <c r="J1845">
        <f t="shared" si="228"/>
        <v>663.77333903717908</v>
      </c>
      <c r="K1845" s="27">
        <f t="shared" si="229"/>
        <v>-342.92188365822284</v>
      </c>
    </row>
    <row r="1846" spans="1:11">
      <c r="A1846" s="26">
        <v>1796</v>
      </c>
      <c r="B1846" s="82">
        <f t="shared" si="230"/>
        <v>0</v>
      </c>
      <c r="C1846" s="58">
        <f t="shared" si="226"/>
        <v>156.29037528357509</v>
      </c>
      <c r="D1846" s="83">
        <f t="shared" si="231"/>
        <v>666.66666666666663</v>
      </c>
      <c r="E1846">
        <f t="shared" si="227"/>
        <v>0</v>
      </c>
      <c r="G1846">
        <v>1796</v>
      </c>
      <c r="H1846" s="13">
        <f t="shared" si="232"/>
        <v>-7.7831728503952036E-4</v>
      </c>
      <c r="I1846">
        <f t="shared" si="233"/>
        <v>154.89251743964411</v>
      </c>
      <c r="J1846">
        <f t="shared" si="228"/>
        <v>663.77168203926817</v>
      </c>
      <c r="K1846" s="27">
        <f t="shared" si="229"/>
        <v>-342.92017153806836</v>
      </c>
    </row>
    <row r="1847" spans="1:11">
      <c r="A1847" s="26">
        <v>1797</v>
      </c>
      <c r="B1847" s="82">
        <f t="shared" si="230"/>
        <v>0</v>
      </c>
      <c r="C1847" s="58">
        <f t="shared" si="226"/>
        <v>156.29037528357509</v>
      </c>
      <c r="D1847" s="83">
        <f t="shared" si="231"/>
        <v>666.66666666666663</v>
      </c>
      <c r="E1847">
        <f t="shared" si="227"/>
        <v>0</v>
      </c>
      <c r="G1847">
        <v>1797</v>
      </c>
      <c r="H1847" s="13">
        <f t="shared" si="232"/>
        <v>-7.7831728503952036E-4</v>
      </c>
      <c r="I1847">
        <f t="shared" si="233"/>
        <v>154.89173912235907</v>
      </c>
      <c r="J1847">
        <f t="shared" si="228"/>
        <v>663.77002498880256</v>
      </c>
      <c r="K1847" s="27">
        <f t="shared" si="229"/>
        <v>-342.91845936788377</v>
      </c>
    </row>
    <row r="1848" spans="1:11">
      <c r="A1848" s="26">
        <v>1798</v>
      </c>
      <c r="B1848" s="82">
        <f t="shared" si="230"/>
        <v>0</v>
      </c>
      <c r="C1848" s="58">
        <f t="shared" si="226"/>
        <v>156.29037528357509</v>
      </c>
      <c r="D1848" s="83">
        <f t="shared" si="231"/>
        <v>666.66666666666663</v>
      </c>
      <c r="E1848">
        <f t="shared" si="227"/>
        <v>0</v>
      </c>
      <c r="G1848">
        <v>1798</v>
      </c>
      <c r="H1848" s="13">
        <f t="shared" si="232"/>
        <v>-7.7831728503952036E-4</v>
      </c>
      <c r="I1848">
        <f t="shared" si="233"/>
        <v>154.89096080507403</v>
      </c>
      <c r="J1848">
        <f t="shared" si="228"/>
        <v>663.76836788577805</v>
      </c>
      <c r="K1848" s="27">
        <f t="shared" si="229"/>
        <v>-342.91674714766549</v>
      </c>
    </row>
    <row r="1849" spans="1:11">
      <c r="A1849" s="26">
        <v>1799</v>
      </c>
      <c r="B1849" s="82">
        <f t="shared" si="230"/>
        <v>0</v>
      </c>
      <c r="C1849" s="58">
        <f t="shared" si="226"/>
        <v>156.29037528357509</v>
      </c>
      <c r="D1849" s="83">
        <f t="shared" si="231"/>
        <v>666.66666666666663</v>
      </c>
      <c r="E1849">
        <f t="shared" si="227"/>
        <v>0</v>
      </c>
      <c r="G1849">
        <v>1799</v>
      </c>
      <c r="H1849" s="13">
        <f t="shared" si="232"/>
        <v>-7.7831728503952036E-4</v>
      </c>
      <c r="I1849">
        <f t="shared" si="233"/>
        <v>154.89018248778899</v>
      </c>
      <c r="J1849">
        <f t="shared" si="228"/>
        <v>663.76671073019054</v>
      </c>
      <c r="K1849" s="27">
        <f t="shared" si="229"/>
        <v>-342.91503487740925</v>
      </c>
    </row>
    <row r="1850" spans="1:11">
      <c r="A1850" s="26">
        <v>1800</v>
      </c>
      <c r="B1850" s="82">
        <f t="shared" si="230"/>
        <v>0</v>
      </c>
      <c r="C1850" s="58">
        <f t="shared" si="226"/>
        <v>156.29037528357509</v>
      </c>
      <c r="D1850" s="83">
        <f t="shared" si="231"/>
        <v>666.66666666666663</v>
      </c>
      <c r="E1850">
        <f t="shared" si="227"/>
        <v>0</v>
      </c>
      <c r="G1850">
        <v>1800</v>
      </c>
      <c r="H1850" s="13">
        <f t="shared" si="232"/>
        <v>-7.7831728503952036E-4</v>
      </c>
      <c r="I1850">
        <f t="shared" si="233"/>
        <v>154.88940417050395</v>
      </c>
      <c r="J1850">
        <f t="shared" si="228"/>
        <v>663.76505352203594</v>
      </c>
      <c r="K1850" s="27">
        <f t="shared" si="229"/>
        <v>-342.91332255711171</v>
      </c>
    </row>
    <row r="1851" spans="1:11">
      <c r="A1851" s="26">
        <v>1801</v>
      </c>
      <c r="B1851" s="82">
        <f t="shared" si="230"/>
        <v>0</v>
      </c>
      <c r="C1851" s="58">
        <f t="shared" si="226"/>
        <v>156.29037528357509</v>
      </c>
      <c r="D1851" s="83">
        <f t="shared" si="231"/>
        <v>666.66666666666663</v>
      </c>
      <c r="E1851">
        <f t="shared" si="227"/>
        <v>0</v>
      </c>
      <c r="G1851">
        <v>1801</v>
      </c>
      <c r="H1851" s="13">
        <f t="shared" si="232"/>
        <v>-7.7831728503952036E-4</v>
      </c>
      <c r="I1851">
        <f t="shared" si="233"/>
        <v>154.88862585321891</v>
      </c>
      <c r="J1851">
        <f t="shared" si="228"/>
        <v>663.76339626131016</v>
      </c>
      <c r="K1851" s="27">
        <f t="shared" si="229"/>
        <v>-342.91161018676871</v>
      </c>
    </row>
    <row r="1852" spans="1:11">
      <c r="A1852" s="26">
        <v>1802</v>
      </c>
      <c r="B1852" s="82">
        <f t="shared" si="230"/>
        <v>0</v>
      </c>
      <c r="C1852" s="58">
        <f t="shared" si="226"/>
        <v>156.29037528357509</v>
      </c>
      <c r="D1852" s="83">
        <f t="shared" si="231"/>
        <v>666.66666666666663</v>
      </c>
      <c r="E1852">
        <f t="shared" si="227"/>
        <v>0</v>
      </c>
      <c r="G1852">
        <v>1802</v>
      </c>
      <c r="H1852" s="13">
        <f t="shared" si="232"/>
        <v>-7.7831728503952036E-4</v>
      </c>
      <c r="I1852">
        <f t="shared" si="233"/>
        <v>154.88784753593387</v>
      </c>
      <c r="J1852">
        <f t="shared" si="228"/>
        <v>663.76173894800922</v>
      </c>
      <c r="K1852" s="27">
        <f t="shared" si="229"/>
        <v>-342.90989776637662</v>
      </c>
    </row>
    <row r="1853" spans="1:11">
      <c r="A1853" s="26">
        <v>1803</v>
      </c>
      <c r="B1853" s="82">
        <f t="shared" si="230"/>
        <v>0</v>
      </c>
      <c r="C1853" s="58">
        <f t="shared" si="226"/>
        <v>156.29037528357509</v>
      </c>
      <c r="D1853" s="83">
        <f t="shared" si="231"/>
        <v>666.66666666666663</v>
      </c>
      <c r="E1853">
        <f t="shared" si="227"/>
        <v>0</v>
      </c>
      <c r="G1853">
        <v>1803</v>
      </c>
      <c r="H1853" s="13">
        <f t="shared" si="232"/>
        <v>-7.7831728503952036E-4</v>
      </c>
      <c r="I1853">
        <f t="shared" si="233"/>
        <v>154.88706921864883</v>
      </c>
      <c r="J1853">
        <f t="shared" si="228"/>
        <v>663.76008158212881</v>
      </c>
      <c r="K1853" s="27">
        <f t="shared" si="229"/>
        <v>-342.90818529593145</v>
      </c>
    </row>
    <row r="1854" spans="1:11">
      <c r="A1854" s="26">
        <v>1804</v>
      </c>
      <c r="B1854" s="82">
        <f t="shared" si="230"/>
        <v>0</v>
      </c>
      <c r="C1854" s="58">
        <f t="shared" si="226"/>
        <v>156.29037528357509</v>
      </c>
      <c r="D1854" s="83">
        <f t="shared" si="231"/>
        <v>666.66666666666663</v>
      </c>
      <c r="E1854">
        <f t="shared" si="227"/>
        <v>0</v>
      </c>
      <c r="G1854">
        <v>1804</v>
      </c>
      <c r="H1854" s="13">
        <f t="shared" si="232"/>
        <v>-7.7831728503952036E-4</v>
      </c>
      <c r="I1854">
        <f t="shared" si="233"/>
        <v>154.88629090136379</v>
      </c>
      <c r="J1854">
        <f t="shared" si="228"/>
        <v>663.75842416366493</v>
      </c>
      <c r="K1854" s="27">
        <f t="shared" si="229"/>
        <v>-342.90647277542939</v>
      </c>
    </row>
    <row r="1855" spans="1:11">
      <c r="A1855" s="26">
        <v>1805</v>
      </c>
      <c r="B1855" s="82">
        <f t="shared" si="230"/>
        <v>0</v>
      </c>
      <c r="C1855" s="58">
        <f t="shared" si="226"/>
        <v>156.29037528357509</v>
      </c>
      <c r="D1855" s="83">
        <f t="shared" si="231"/>
        <v>666.66666666666663</v>
      </c>
      <c r="E1855">
        <f t="shared" si="227"/>
        <v>0</v>
      </c>
      <c r="G1855">
        <v>1805</v>
      </c>
      <c r="H1855" s="13">
        <f t="shared" si="232"/>
        <v>-7.7831728503952036E-4</v>
      </c>
      <c r="I1855">
        <f t="shared" si="233"/>
        <v>154.88551258407875</v>
      </c>
      <c r="J1855">
        <f t="shared" si="228"/>
        <v>663.7567666926135</v>
      </c>
      <c r="K1855" s="27">
        <f t="shared" si="229"/>
        <v>-342.9047602048667</v>
      </c>
    </row>
    <row r="1856" spans="1:11">
      <c r="A1856" s="26">
        <v>1806</v>
      </c>
      <c r="B1856" s="82">
        <f t="shared" si="230"/>
        <v>0</v>
      </c>
      <c r="C1856" s="58">
        <f t="shared" si="226"/>
        <v>156.29037528357509</v>
      </c>
      <c r="D1856" s="83">
        <f t="shared" si="231"/>
        <v>666.66666666666663</v>
      </c>
      <c r="E1856">
        <f t="shared" si="227"/>
        <v>0</v>
      </c>
      <c r="G1856">
        <v>1806</v>
      </c>
      <c r="H1856" s="13">
        <f t="shared" si="232"/>
        <v>-7.7831728503952036E-4</v>
      </c>
      <c r="I1856">
        <f t="shared" si="233"/>
        <v>154.88473426679371</v>
      </c>
      <c r="J1856">
        <f t="shared" si="228"/>
        <v>663.75510916897031</v>
      </c>
      <c r="K1856" s="27">
        <f t="shared" si="229"/>
        <v>-342.90304758423946</v>
      </c>
    </row>
    <row r="1857" spans="1:11">
      <c r="A1857" s="26">
        <v>1807</v>
      </c>
      <c r="B1857" s="82">
        <f t="shared" si="230"/>
        <v>0</v>
      </c>
      <c r="C1857" s="58">
        <f t="shared" si="226"/>
        <v>156.29037528357509</v>
      </c>
      <c r="D1857" s="83">
        <f t="shared" si="231"/>
        <v>666.66666666666663</v>
      </c>
      <c r="E1857">
        <f t="shared" si="227"/>
        <v>0</v>
      </c>
      <c r="G1857">
        <v>1807</v>
      </c>
      <c r="H1857" s="13">
        <f t="shared" si="232"/>
        <v>-7.7831728503952036E-4</v>
      </c>
      <c r="I1857">
        <f t="shared" si="233"/>
        <v>154.88395594950867</v>
      </c>
      <c r="J1857">
        <f t="shared" si="228"/>
        <v>663.75345159273138</v>
      </c>
      <c r="K1857" s="27">
        <f t="shared" si="229"/>
        <v>-342.90133491354396</v>
      </c>
    </row>
    <row r="1858" spans="1:11">
      <c r="A1858" s="26">
        <v>1808</v>
      </c>
      <c r="B1858" s="82">
        <f t="shared" si="230"/>
        <v>0</v>
      </c>
      <c r="C1858" s="58">
        <f t="shared" si="226"/>
        <v>156.29037528357509</v>
      </c>
      <c r="D1858" s="83">
        <f t="shared" si="231"/>
        <v>666.66666666666663</v>
      </c>
      <c r="E1858">
        <f t="shared" si="227"/>
        <v>0</v>
      </c>
      <c r="G1858">
        <v>1808</v>
      </c>
      <c r="H1858" s="13">
        <f t="shared" si="232"/>
        <v>-7.7831728503952036E-4</v>
      </c>
      <c r="I1858">
        <f t="shared" si="233"/>
        <v>154.88317763222364</v>
      </c>
      <c r="J1858">
        <f t="shared" si="228"/>
        <v>663.75179396389262</v>
      </c>
      <c r="K1858" s="27">
        <f t="shared" si="229"/>
        <v>-342.89962219277623</v>
      </c>
    </row>
    <row r="1859" spans="1:11">
      <c r="A1859" s="26">
        <v>1809</v>
      </c>
      <c r="B1859" s="82">
        <f t="shared" si="230"/>
        <v>0</v>
      </c>
      <c r="C1859" s="58">
        <f t="shared" si="226"/>
        <v>156.29037528357509</v>
      </c>
      <c r="D1859" s="83">
        <f t="shared" si="231"/>
        <v>666.66666666666663</v>
      </c>
      <c r="E1859">
        <f t="shared" si="227"/>
        <v>0</v>
      </c>
      <c r="G1859">
        <v>1809</v>
      </c>
      <c r="H1859" s="13">
        <f t="shared" si="232"/>
        <v>-7.7831728503952036E-4</v>
      </c>
      <c r="I1859">
        <f t="shared" si="233"/>
        <v>154.8823993149386</v>
      </c>
      <c r="J1859">
        <f t="shared" si="228"/>
        <v>663.75013628244983</v>
      </c>
      <c r="K1859" s="27">
        <f t="shared" si="229"/>
        <v>-342.89790942193264</v>
      </c>
    </row>
    <row r="1860" spans="1:11">
      <c r="A1860" s="26">
        <v>1810</v>
      </c>
      <c r="B1860" s="82">
        <f t="shared" si="230"/>
        <v>0</v>
      </c>
      <c r="C1860" s="58">
        <f t="shared" si="226"/>
        <v>156.29037528357509</v>
      </c>
      <c r="D1860" s="83">
        <f t="shared" si="231"/>
        <v>666.66666666666663</v>
      </c>
      <c r="E1860">
        <f t="shared" si="227"/>
        <v>0</v>
      </c>
      <c r="G1860">
        <v>1810</v>
      </c>
      <c r="H1860" s="13">
        <f t="shared" si="232"/>
        <v>-7.7831728503952036E-4</v>
      </c>
      <c r="I1860">
        <f t="shared" si="233"/>
        <v>154.88162099765356</v>
      </c>
      <c r="J1860">
        <f t="shared" si="228"/>
        <v>663.74847854839902</v>
      </c>
      <c r="K1860" s="27">
        <f t="shared" si="229"/>
        <v>-342.89619660100919</v>
      </c>
    </row>
    <row r="1861" spans="1:11">
      <c r="A1861" s="26">
        <v>1811</v>
      </c>
      <c r="B1861" s="82">
        <f t="shared" si="230"/>
        <v>0</v>
      </c>
      <c r="C1861" s="58">
        <f t="shared" si="226"/>
        <v>156.29037528357509</v>
      </c>
      <c r="D1861" s="83">
        <f t="shared" si="231"/>
        <v>666.66666666666663</v>
      </c>
      <c r="E1861">
        <f t="shared" si="227"/>
        <v>0</v>
      </c>
      <c r="G1861">
        <v>1811</v>
      </c>
      <c r="H1861" s="13">
        <f t="shared" si="232"/>
        <v>-7.7831728503952036E-4</v>
      </c>
      <c r="I1861">
        <f t="shared" si="233"/>
        <v>154.88084268036852</v>
      </c>
      <c r="J1861">
        <f t="shared" si="228"/>
        <v>663.74682076173599</v>
      </c>
      <c r="K1861" s="27">
        <f t="shared" si="229"/>
        <v>-342.89448373000204</v>
      </c>
    </row>
    <row r="1862" spans="1:11">
      <c r="A1862" s="26">
        <v>1812</v>
      </c>
      <c r="B1862" s="82">
        <f t="shared" si="230"/>
        <v>0</v>
      </c>
      <c r="C1862" s="58">
        <f t="shared" si="226"/>
        <v>156.29037528357509</v>
      </c>
      <c r="D1862" s="83">
        <f t="shared" si="231"/>
        <v>666.66666666666663</v>
      </c>
      <c r="E1862">
        <f t="shared" si="227"/>
        <v>0</v>
      </c>
      <c r="G1862">
        <v>1812</v>
      </c>
      <c r="H1862" s="13">
        <f t="shared" si="232"/>
        <v>-7.7831728503952036E-4</v>
      </c>
      <c r="I1862">
        <f t="shared" si="233"/>
        <v>154.88006436308348</v>
      </c>
      <c r="J1862">
        <f t="shared" si="228"/>
        <v>663.74516292245664</v>
      </c>
      <c r="K1862" s="27">
        <f t="shared" si="229"/>
        <v>-342.8927708089073</v>
      </c>
    </row>
    <row r="1863" spans="1:11">
      <c r="A1863" s="26">
        <v>1813</v>
      </c>
      <c r="B1863" s="82">
        <f t="shared" si="230"/>
        <v>0</v>
      </c>
      <c r="C1863" s="58">
        <f t="shared" si="226"/>
        <v>156.29037528357509</v>
      </c>
      <c r="D1863" s="83">
        <f t="shared" si="231"/>
        <v>666.66666666666663</v>
      </c>
      <c r="E1863">
        <f t="shared" si="227"/>
        <v>0</v>
      </c>
      <c r="G1863">
        <v>1813</v>
      </c>
      <c r="H1863" s="13">
        <f t="shared" si="232"/>
        <v>-7.7831728503952036E-4</v>
      </c>
      <c r="I1863">
        <f t="shared" si="233"/>
        <v>154.87928604579844</v>
      </c>
      <c r="J1863">
        <f t="shared" si="228"/>
        <v>663.74350503055689</v>
      </c>
      <c r="K1863" s="27">
        <f t="shared" si="229"/>
        <v>-342.89105783772129</v>
      </c>
    </row>
    <row r="1864" spans="1:11">
      <c r="A1864" s="26">
        <v>1814</v>
      </c>
      <c r="B1864" s="82">
        <f t="shared" si="230"/>
        <v>0</v>
      </c>
      <c r="C1864" s="58">
        <f t="shared" si="226"/>
        <v>156.29037528357509</v>
      </c>
      <c r="D1864" s="83">
        <f t="shared" si="231"/>
        <v>666.66666666666663</v>
      </c>
      <c r="E1864">
        <f t="shared" si="227"/>
        <v>0</v>
      </c>
      <c r="G1864">
        <v>1814</v>
      </c>
      <c r="H1864" s="13">
        <f t="shared" si="232"/>
        <v>-7.7831728503952036E-4</v>
      </c>
      <c r="I1864">
        <f t="shared" si="233"/>
        <v>154.8785077285134</v>
      </c>
      <c r="J1864">
        <f t="shared" si="228"/>
        <v>663.74184708603264</v>
      </c>
      <c r="K1864" s="27">
        <f t="shared" si="229"/>
        <v>-342.88934481644014</v>
      </c>
    </row>
    <row r="1865" spans="1:11">
      <c r="A1865" s="26">
        <v>1815</v>
      </c>
      <c r="B1865" s="82">
        <f t="shared" si="230"/>
        <v>0</v>
      </c>
      <c r="C1865" s="58">
        <f t="shared" si="226"/>
        <v>156.29037528357509</v>
      </c>
      <c r="D1865" s="83">
        <f t="shared" si="231"/>
        <v>666.66666666666663</v>
      </c>
      <c r="E1865">
        <f t="shared" si="227"/>
        <v>0</v>
      </c>
      <c r="G1865">
        <v>1815</v>
      </c>
      <c r="H1865" s="13">
        <f t="shared" si="232"/>
        <v>-7.7831728503952036E-4</v>
      </c>
      <c r="I1865">
        <f t="shared" si="233"/>
        <v>154.87772941122836</v>
      </c>
      <c r="J1865">
        <f t="shared" si="228"/>
        <v>663.74018908887979</v>
      </c>
      <c r="K1865" s="27">
        <f t="shared" si="229"/>
        <v>-342.88763174505993</v>
      </c>
    </row>
    <row r="1866" spans="1:11">
      <c r="A1866" s="26">
        <v>1816</v>
      </c>
      <c r="B1866" s="82">
        <f t="shared" si="230"/>
        <v>0</v>
      </c>
      <c r="C1866" s="58">
        <f t="shared" si="226"/>
        <v>156.29037528357509</v>
      </c>
      <c r="D1866" s="83">
        <f t="shared" si="231"/>
        <v>666.66666666666663</v>
      </c>
      <c r="E1866">
        <f t="shared" si="227"/>
        <v>0</v>
      </c>
      <c r="G1866">
        <v>1816</v>
      </c>
      <c r="H1866" s="13">
        <f t="shared" si="232"/>
        <v>-7.7831728503952036E-4</v>
      </c>
      <c r="I1866">
        <f t="shared" si="233"/>
        <v>154.87695109394332</v>
      </c>
      <c r="J1866">
        <f t="shared" si="228"/>
        <v>663.73853103909414</v>
      </c>
      <c r="K1866" s="27">
        <f t="shared" si="229"/>
        <v>-342.88591862357686</v>
      </c>
    </row>
    <row r="1867" spans="1:11">
      <c r="A1867" s="26">
        <v>1817</v>
      </c>
      <c r="B1867" s="82">
        <f t="shared" si="230"/>
        <v>0</v>
      </c>
      <c r="C1867" s="58">
        <f t="shared" si="226"/>
        <v>156.29037528357509</v>
      </c>
      <c r="D1867" s="83">
        <f t="shared" si="231"/>
        <v>666.66666666666663</v>
      </c>
      <c r="E1867">
        <f t="shared" si="227"/>
        <v>0</v>
      </c>
      <c r="G1867">
        <v>1817</v>
      </c>
      <c r="H1867" s="13">
        <f t="shared" si="232"/>
        <v>-7.7831728503952036E-4</v>
      </c>
      <c r="I1867">
        <f t="shared" si="233"/>
        <v>154.87617277665828</v>
      </c>
      <c r="J1867">
        <f t="shared" si="228"/>
        <v>663.73687293667172</v>
      </c>
      <c r="K1867" s="27">
        <f t="shared" si="229"/>
        <v>-342.8842054519871</v>
      </c>
    </row>
    <row r="1868" spans="1:11">
      <c r="A1868" s="26">
        <v>1818</v>
      </c>
      <c r="B1868" s="82">
        <f t="shared" si="230"/>
        <v>0</v>
      </c>
      <c r="C1868" s="58">
        <f t="shared" si="226"/>
        <v>156.29037528357509</v>
      </c>
      <c r="D1868" s="83">
        <f t="shared" si="231"/>
        <v>666.66666666666663</v>
      </c>
      <c r="E1868">
        <f t="shared" si="227"/>
        <v>0</v>
      </c>
      <c r="G1868">
        <v>1818</v>
      </c>
      <c r="H1868" s="13">
        <f t="shared" si="232"/>
        <v>-7.7831728503952036E-4</v>
      </c>
      <c r="I1868">
        <f t="shared" si="233"/>
        <v>154.87539445937324</v>
      </c>
      <c r="J1868">
        <f t="shared" si="228"/>
        <v>663.73521478160831</v>
      </c>
      <c r="K1868" s="27">
        <f t="shared" si="229"/>
        <v>-342.88249223028691</v>
      </c>
    </row>
    <row r="1869" spans="1:11">
      <c r="A1869" s="26">
        <v>1819</v>
      </c>
      <c r="B1869" s="82">
        <f t="shared" si="230"/>
        <v>0</v>
      </c>
      <c r="C1869" s="58">
        <f t="shared" si="226"/>
        <v>156.29037528357509</v>
      </c>
      <c r="D1869" s="83">
        <f t="shared" si="231"/>
        <v>666.66666666666663</v>
      </c>
      <c r="E1869">
        <f t="shared" si="227"/>
        <v>0</v>
      </c>
      <c r="G1869">
        <v>1819</v>
      </c>
      <c r="H1869" s="13">
        <f t="shared" si="232"/>
        <v>-7.7831728503952036E-4</v>
      </c>
      <c r="I1869">
        <f t="shared" si="233"/>
        <v>154.8746161420882</v>
      </c>
      <c r="J1869">
        <f t="shared" si="228"/>
        <v>663.73355657389993</v>
      </c>
      <c r="K1869" s="27">
        <f t="shared" si="229"/>
        <v>-342.88077895847232</v>
      </c>
    </row>
    <row r="1870" spans="1:11">
      <c r="A1870" s="26">
        <v>1820</v>
      </c>
      <c r="B1870" s="82">
        <f t="shared" si="230"/>
        <v>0</v>
      </c>
      <c r="C1870" s="58">
        <f t="shared" si="226"/>
        <v>156.29037528357509</v>
      </c>
      <c r="D1870" s="83">
        <f t="shared" si="231"/>
        <v>666.66666666666663</v>
      </c>
      <c r="E1870">
        <f t="shared" si="227"/>
        <v>0</v>
      </c>
      <c r="G1870">
        <v>1820</v>
      </c>
      <c r="H1870" s="13">
        <f t="shared" si="232"/>
        <v>-7.7831728503952036E-4</v>
      </c>
      <c r="I1870">
        <f t="shared" si="233"/>
        <v>154.87383782480316</v>
      </c>
      <c r="J1870">
        <f t="shared" si="228"/>
        <v>663.73189831354239</v>
      </c>
      <c r="K1870" s="27">
        <f t="shared" si="229"/>
        <v>-342.87906563653956</v>
      </c>
    </row>
    <row r="1871" spans="1:11">
      <c r="A1871" s="26">
        <v>1821</v>
      </c>
      <c r="B1871" s="82">
        <f t="shared" si="230"/>
        <v>0</v>
      </c>
      <c r="C1871" s="58">
        <f t="shared" si="226"/>
        <v>156.29037528357509</v>
      </c>
      <c r="D1871" s="83">
        <f t="shared" si="231"/>
        <v>666.66666666666663</v>
      </c>
      <c r="E1871">
        <f t="shared" si="227"/>
        <v>0</v>
      </c>
      <c r="G1871">
        <v>1821</v>
      </c>
      <c r="H1871" s="13">
        <f t="shared" si="232"/>
        <v>-7.7831728503952036E-4</v>
      </c>
      <c r="I1871">
        <f t="shared" si="233"/>
        <v>154.87305950751812</v>
      </c>
      <c r="J1871">
        <f t="shared" si="228"/>
        <v>663.73024000053158</v>
      </c>
      <c r="K1871" s="27">
        <f t="shared" si="229"/>
        <v>-342.87735226448467</v>
      </c>
    </row>
    <row r="1872" spans="1:11">
      <c r="A1872" s="26">
        <v>1822</v>
      </c>
      <c r="B1872" s="82">
        <f t="shared" si="230"/>
        <v>0</v>
      </c>
      <c r="C1872" s="58">
        <f t="shared" ref="C1872:C1935" si="234">($C$37-$C$36)/2000+C1871</f>
        <v>156.29037528357509</v>
      </c>
      <c r="D1872" s="83">
        <f t="shared" si="231"/>
        <v>666.66666666666663</v>
      </c>
      <c r="E1872">
        <f t="shared" si="227"/>
        <v>0</v>
      </c>
      <c r="G1872">
        <v>1822</v>
      </c>
      <c r="H1872" s="13">
        <f t="shared" si="232"/>
        <v>-7.7831728503952036E-4</v>
      </c>
      <c r="I1872">
        <f t="shared" si="233"/>
        <v>154.87228119023308</v>
      </c>
      <c r="J1872">
        <f t="shared" si="228"/>
        <v>663.7285816348633</v>
      </c>
      <c r="K1872" s="27">
        <f t="shared" si="229"/>
        <v>-342.87563884230411</v>
      </c>
    </row>
    <row r="1873" spans="1:11">
      <c r="A1873" s="26">
        <v>1823</v>
      </c>
      <c r="B1873" s="82">
        <f t="shared" si="230"/>
        <v>0</v>
      </c>
      <c r="C1873" s="58">
        <f t="shared" si="234"/>
        <v>156.29037528357509</v>
      </c>
      <c r="D1873" s="83">
        <f t="shared" si="231"/>
        <v>666.66666666666663</v>
      </c>
      <c r="E1873">
        <f t="shared" si="227"/>
        <v>0</v>
      </c>
      <c r="G1873">
        <v>1823</v>
      </c>
      <c r="H1873" s="13">
        <f t="shared" si="232"/>
        <v>-7.7831728503952036E-4</v>
      </c>
      <c r="I1873">
        <f t="shared" si="233"/>
        <v>154.87150287294804</v>
      </c>
      <c r="J1873">
        <f t="shared" si="228"/>
        <v>663.72692321653369</v>
      </c>
      <c r="K1873" s="27">
        <f t="shared" si="229"/>
        <v>-342.87392536999369</v>
      </c>
    </row>
    <row r="1874" spans="1:11">
      <c r="A1874" s="26">
        <v>1824</v>
      </c>
      <c r="B1874" s="82">
        <f t="shared" si="230"/>
        <v>0</v>
      </c>
      <c r="C1874" s="58">
        <f t="shared" si="234"/>
        <v>156.29037528357509</v>
      </c>
      <c r="D1874" s="83">
        <f t="shared" si="231"/>
        <v>666.66666666666663</v>
      </c>
      <c r="E1874">
        <f t="shared" si="227"/>
        <v>0</v>
      </c>
      <c r="G1874">
        <v>1824</v>
      </c>
      <c r="H1874" s="13">
        <f t="shared" si="232"/>
        <v>-7.7831728503952036E-4</v>
      </c>
      <c r="I1874">
        <f t="shared" si="233"/>
        <v>154.870724555663</v>
      </c>
      <c r="J1874">
        <f t="shared" si="228"/>
        <v>663.72526474553831</v>
      </c>
      <c r="K1874" s="27">
        <f t="shared" si="229"/>
        <v>-342.87221184754981</v>
      </c>
    </row>
    <row r="1875" spans="1:11">
      <c r="A1875" s="26">
        <v>1825</v>
      </c>
      <c r="B1875" s="82">
        <f t="shared" si="230"/>
        <v>0</v>
      </c>
      <c r="C1875" s="58">
        <f t="shared" si="234"/>
        <v>156.29037528357509</v>
      </c>
      <c r="D1875" s="83">
        <f t="shared" si="231"/>
        <v>666.66666666666663</v>
      </c>
      <c r="E1875">
        <f t="shared" si="227"/>
        <v>0</v>
      </c>
      <c r="G1875">
        <v>1825</v>
      </c>
      <c r="H1875" s="13">
        <f t="shared" si="232"/>
        <v>-7.7831728503952036E-4</v>
      </c>
      <c r="I1875">
        <f t="shared" si="233"/>
        <v>154.86994623837796</v>
      </c>
      <c r="J1875">
        <f t="shared" si="228"/>
        <v>663.72360622187341</v>
      </c>
      <c r="K1875" s="27">
        <f t="shared" si="229"/>
        <v>-342.87049827496844</v>
      </c>
    </row>
    <row r="1876" spans="1:11">
      <c r="A1876" s="26">
        <v>1826</v>
      </c>
      <c r="B1876" s="82">
        <f t="shared" si="230"/>
        <v>0</v>
      </c>
      <c r="C1876" s="58">
        <f t="shared" si="234"/>
        <v>156.29037528357509</v>
      </c>
      <c r="D1876" s="83">
        <f t="shared" si="231"/>
        <v>666.66666666666663</v>
      </c>
      <c r="E1876">
        <f t="shared" si="227"/>
        <v>0</v>
      </c>
      <c r="G1876">
        <v>1826</v>
      </c>
      <c r="H1876" s="13">
        <f t="shared" si="232"/>
        <v>-7.7831728503952036E-4</v>
      </c>
      <c r="I1876">
        <f t="shared" si="233"/>
        <v>154.86916792109292</v>
      </c>
      <c r="J1876">
        <f t="shared" si="228"/>
        <v>663.72194764553456</v>
      </c>
      <c r="K1876" s="27">
        <f t="shared" si="229"/>
        <v>-342.86878465224589</v>
      </c>
    </row>
    <row r="1877" spans="1:11">
      <c r="A1877" s="26">
        <v>1827</v>
      </c>
      <c r="B1877" s="82">
        <f t="shared" si="230"/>
        <v>0</v>
      </c>
      <c r="C1877" s="58">
        <f t="shared" si="234"/>
        <v>156.29037528357509</v>
      </c>
      <c r="D1877" s="83">
        <f t="shared" si="231"/>
        <v>666.66666666666663</v>
      </c>
      <c r="E1877">
        <f t="shared" si="227"/>
        <v>0</v>
      </c>
      <c r="G1877">
        <v>1827</v>
      </c>
      <c r="H1877" s="13">
        <f t="shared" si="232"/>
        <v>-7.7831728503952036E-4</v>
      </c>
      <c r="I1877">
        <f t="shared" si="233"/>
        <v>154.86838960380788</v>
      </c>
      <c r="J1877">
        <f t="shared" si="228"/>
        <v>663.72028901651777</v>
      </c>
      <c r="K1877" s="27">
        <f t="shared" si="229"/>
        <v>-342.86707097937824</v>
      </c>
    </row>
    <row r="1878" spans="1:11">
      <c r="A1878" s="26">
        <v>1828</v>
      </c>
      <c r="B1878" s="82">
        <f t="shared" si="230"/>
        <v>0</v>
      </c>
      <c r="C1878" s="58">
        <f t="shared" si="234"/>
        <v>156.29037528357509</v>
      </c>
      <c r="D1878" s="83">
        <f t="shared" si="231"/>
        <v>666.66666666666663</v>
      </c>
      <c r="E1878">
        <f t="shared" si="227"/>
        <v>0</v>
      </c>
      <c r="G1878">
        <v>1828</v>
      </c>
      <c r="H1878" s="13">
        <f t="shared" si="232"/>
        <v>-7.7831728503952036E-4</v>
      </c>
      <c r="I1878">
        <f t="shared" si="233"/>
        <v>154.86761128652284</v>
      </c>
      <c r="J1878">
        <f t="shared" si="228"/>
        <v>663.71863033481895</v>
      </c>
      <c r="K1878" s="27">
        <f t="shared" si="229"/>
        <v>-342.86535725636168</v>
      </c>
    </row>
    <row r="1879" spans="1:11">
      <c r="A1879" s="26">
        <v>1829</v>
      </c>
      <c r="B1879" s="82">
        <f t="shared" si="230"/>
        <v>0</v>
      </c>
      <c r="C1879" s="58">
        <f t="shared" si="234"/>
        <v>156.29037528357509</v>
      </c>
      <c r="D1879" s="83">
        <f t="shared" si="231"/>
        <v>666.66666666666663</v>
      </c>
      <c r="E1879">
        <f t="shared" si="227"/>
        <v>0</v>
      </c>
      <c r="G1879">
        <v>1829</v>
      </c>
      <c r="H1879" s="13">
        <f t="shared" si="232"/>
        <v>-7.7831728503952036E-4</v>
      </c>
      <c r="I1879">
        <f t="shared" si="233"/>
        <v>154.86683296923781</v>
      </c>
      <c r="J1879">
        <f t="shared" si="228"/>
        <v>663.71697160043402</v>
      </c>
      <c r="K1879" s="27">
        <f t="shared" si="229"/>
        <v>-342.86364348319245</v>
      </c>
    </row>
    <row r="1880" spans="1:11">
      <c r="A1880" s="26">
        <v>1830</v>
      </c>
      <c r="B1880" s="82">
        <f t="shared" si="230"/>
        <v>0</v>
      </c>
      <c r="C1880" s="58">
        <f t="shared" si="234"/>
        <v>156.29037528357509</v>
      </c>
      <c r="D1880" s="83">
        <f t="shared" si="231"/>
        <v>666.66666666666663</v>
      </c>
      <c r="E1880">
        <f t="shared" si="227"/>
        <v>0</v>
      </c>
      <c r="G1880">
        <v>1830</v>
      </c>
      <c r="H1880" s="13">
        <f t="shared" si="232"/>
        <v>-7.7831728503952036E-4</v>
      </c>
      <c r="I1880">
        <f t="shared" si="233"/>
        <v>154.86605465195277</v>
      </c>
      <c r="J1880">
        <f t="shared" si="228"/>
        <v>663.71531281335876</v>
      </c>
      <c r="K1880" s="27">
        <f t="shared" si="229"/>
        <v>-342.86192965986652</v>
      </c>
    </row>
    <row r="1881" spans="1:11">
      <c r="A1881" s="26">
        <v>1831</v>
      </c>
      <c r="B1881" s="82">
        <f t="shared" si="230"/>
        <v>0</v>
      </c>
      <c r="C1881" s="58">
        <f t="shared" si="234"/>
        <v>156.29037528357509</v>
      </c>
      <c r="D1881" s="83">
        <f t="shared" si="231"/>
        <v>666.66666666666663</v>
      </c>
      <c r="E1881">
        <f t="shared" si="227"/>
        <v>0</v>
      </c>
      <c r="G1881">
        <v>1831</v>
      </c>
      <c r="H1881" s="13">
        <f t="shared" si="232"/>
        <v>-7.7831728503952036E-4</v>
      </c>
      <c r="I1881">
        <f t="shared" si="233"/>
        <v>154.86527633466773</v>
      </c>
      <c r="J1881">
        <f t="shared" si="228"/>
        <v>663.7136539735892</v>
      </c>
      <c r="K1881" s="27">
        <f t="shared" si="229"/>
        <v>-342.86021578638019</v>
      </c>
    </row>
    <row r="1882" spans="1:11">
      <c r="A1882" s="26">
        <v>1832</v>
      </c>
      <c r="B1882" s="82">
        <f t="shared" si="230"/>
        <v>0</v>
      </c>
      <c r="C1882" s="58">
        <f t="shared" si="234"/>
        <v>156.29037528357509</v>
      </c>
      <c r="D1882" s="83">
        <f t="shared" si="231"/>
        <v>666.66666666666663</v>
      </c>
      <c r="E1882">
        <f t="shared" si="227"/>
        <v>0</v>
      </c>
      <c r="G1882">
        <v>1832</v>
      </c>
      <c r="H1882" s="13">
        <f t="shared" si="232"/>
        <v>-7.7831728503952036E-4</v>
      </c>
      <c r="I1882">
        <f t="shared" si="233"/>
        <v>154.86449801738269</v>
      </c>
      <c r="J1882">
        <f t="shared" si="228"/>
        <v>663.71199508112102</v>
      </c>
      <c r="K1882" s="27">
        <f t="shared" si="229"/>
        <v>-342.85850186272955</v>
      </c>
    </row>
    <row r="1883" spans="1:11">
      <c r="A1883" s="26">
        <v>1833</v>
      </c>
      <c r="B1883" s="82">
        <f t="shared" si="230"/>
        <v>0</v>
      </c>
      <c r="C1883" s="58">
        <f t="shared" si="234"/>
        <v>156.29037528357509</v>
      </c>
      <c r="D1883" s="83">
        <f t="shared" si="231"/>
        <v>666.66666666666663</v>
      </c>
      <c r="E1883">
        <f t="shared" si="227"/>
        <v>0</v>
      </c>
      <c r="G1883">
        <v>1833</v>
      </c>
      <c r="H1883" s="13">
        <f t="shared" si="232"/>
        <v>-7.7831728503952036E-4</v>
      </c>
      <c r="I1883">
        <f t="shared" si="233"/>
        <v>154.86371970009765</v>
      </c>
      <c r="J1883">
        <f t="shared" si="228"/>
        <v>663.71033613595023</v>
      </c>
      <c r="K1883" s="27">
        <f t="shared" si="229"/>
        <v>-342.85678788891079</v>
      </c>
    </row>
    <row r="1884" spans="1:11">
      <c r="A1884" s="26">
        <v>1834</v>
      </c>
      <c r="B1884" s="82">
        <f t="shared" si="230"/>
        <v>0</v>
      </c>
      <c r="C1884" s="58">
        <f t="shared" si="234"/>
        <v>156.29037528357509</v>
      </c>
      <c r="D1884" s="83">
        <f t="shared" si="231"/>
        <v>666.66666666666663</v>
      </c>
      <c r="E1884">
        <f t="shared" si="227"/>
        <v>0</v>
      </c>
      <c r="G1884">
        <v>1834</v>
      </c>
      <c r="H1884" s="13">
        <f t="shared" si="232"/>
        <v>-7.7831728503952036E-4</v>
      </c>
      <c r="I1884">
        <f t="shared" si="233"/>
        <v>154.86294138281261</v>
      </c>
      <c r="J1884">
        <f t="shared" si="228"/>
        <v>663.70867713807274</v>
      </c>
      <c r="K1884" s="27">
        <f t="shared" si="229"/>
        <v>-342.85507386492009</v>
      </c>
    </row>
    <row r="1885" spans="1:11">
      <c r="A1885" s="26">
        <v>1835</v>
      </c>
      <c r="B1885" s="82">
        <f t="shared" si="230"/>
        <v>0</v>
      </c>
      <c r="C1885" s="58">
        <f t="shared" si="234"/>
        <v>156.29037528357509</v>
      </c>
      <c r="D1885" s="83">
        <f t="shared" si="231"/>
        <v>666.66666666666663</v>
      </c>
      <c r="E1885">
        <f t="shared" si="227"/>
        <v>0</v>
      </c>
      <c r="G1885">
        <v>1835</v>
      </c>
      <c r="H1885" s="13">
        <f t="shared" si="232"/>
        <v>-7.7831728503952036E-4</v>
      </c>
      <c r="I1885">
        <f t="shared" si="233"/>
        <v>154.86216306552757</v>
      </c>
      <c r="J1885">
        <f t="shared" si="228"/>
        <v>663.70701808748436</v>
      </c>
      <c r="K1885" s="27">
        <f t="shared" si="229"/>
        <v>-342.85335979075353</v>
      </c>
    </row>
    <row r="1886" spans="1:11">
      <c r="A1886" s="26">
        <v>1836</v>
      </c>
      <c r="B1886" s="82">
        <f t="shared" si="230"/>
        <v>0</v>
      </c>
      <c r="C1886" s="58">
        <f t="shared" si="234"/>
        <v>156.29037528357509</v>
      </c>
      <c r="D1886" s="83">
        <f t="shared" si="231"/>
        <v>666.66666666666663</v>
      </c>
      <c r="E1886">
        <f t="shared" si="227"/>
        <v>0</v>
      </c>
      <c r="G1886">
        <v>1836</v>
      </c>
      <c r="H1886" s="13">
        <f t="shared" si="232"/>
        <v>-7.7831728503952036E-4</v>
      </c>
      <c r="I1886">
        <f t="shared" si="233"/>
        <v>154.86138474824253</v>
      </c>
      <c r="J1886">
        <f t="shared" si="228"/>
        <v>663.70535898418098</v>
      </c>
      <c r="K1886" s="27">
        <f t="shared" si="229"/>
        <v>-342.85164566640725</v>
      </c>
    </row>
    <row r="1887" spans="1:11">
      <c r="A1887" s="26">
        <v>1837</v>
      </c>
      <c r="B1887" s="82">
        <f t="shared" si="230"/>
        <v>0</v>
      </c>
      <c r="C1887" s="58">
        <f t="shared" si="234"/>
        <v>156.29037528357509</v>
      </c>
      <c r="D1887" s="83">
        <f t="shared" si="231"/>
        <v>666.66666666666663</v>
      </c>
      <c r="E1887">
        <f t="shared" si="227"/>
        <v>0</v>
      </c>
      <c r="G1887">
        <v>1837</v>
      </c>
      <c r="H1887" s="13">
        <f t="shared" si="232"/>
        <v>-7.7831728503952036E-4</v>
      </c>
      <c r="I1887">
        <f t="shared" si="233"/>
        <v>154.86060643095749</v>
      </c>
      <c r="J1887">
        <f t="shared" si="228"/>
        <v>663.70369982815851</v>
      </c>
      <c r="K1887" s="27">
        <f t="shared" si="229"/>
        <v>-342.84993149187744</v>
      </c>
    </row>
    <row r="1888" spans="1:11">
      <c r="A1888" s="26">
        <v>1838</v>
      </c>
      <c r="B1888" s="82">
        <f t="shared" si="230"/>
        <v>0</v>
      </c>
      <c r="C1888" s="58">
        <f t="shared" si="234"/>
        <v>156.29037528357509</v>
      </c>
      <c r="D1888" s="83">
        <f t="shared" si="231"/>
        <v>666.66666666666663</v>
      </c>
      <c r="E1888">
        <f t="shared" si="227"/>
        <v>0</v>
      </c>
      <c r="G1888">
        <v>1838</v>
      </c>
      <c r="H1888" s="13">
        <f t="shared" si="232"/>
        <v>-7.7831728503952036E-4</v>
      </c>
      <c r="I1888">
        <f t="shared" si="233"/>
        <v>154.85982811367245</v>
      </c>
      <c r="J1888">
        <f t="shared" si="228"/>
        <v>663.70204061941286</v>
      </c>
      <c r="K1888" s="27">
        <f t="shared" si="229"/>
        <v>-342.84821726716035</v>
      </c>
    </row>
    <row r="1889" spans="1:11">
      <c r="A1889" s="26">
        <v>1839</v>
      </c>
      <c r="B1889" s="82">
        <f t="shared" si="230"/>
        <v>0</v>
      </c>
      <c r="C1889" s="58">
        <f t="shared" si="234"/>
        <v>156.29037528357509</v>
      </c>
      <c r="D1889" s="83">
        <f t="shared" si="231"/>
        <v>666.66666666666663</v>
      </c>
      <c r="E1889">
        <f t="shared" si="227"/>
        <v>0</v>
      </c>
      <c r="G1889">
        <v>1839</v>
      </c>
      <c r="H1889" s="13">
        <f t="shared" si="232"/>
        <v>-7.7831728503952036E-4</v>
      </c>
      <c r="I1889">
        <f t="shared" si="233"/>
        <v>154.85904979638741</v>
      </c>
      <c r="J1889">
        <f t="shared" si="228"/>
        <v>663.70038135793982</v>
      </c>
      <c r="K1889" s="27">
        <f t="shared" si="229"/>
        <v>-342.846502992252</v>
      </c>
    </row>
    <row r="1890" spans="1:11">
      <c r="A1890" s="26">
        <v>1840</v>
      </c>
      <c r="B1890" s="82">
        <f t="shared" si="230"/>
        <v>0</v>
      </c>
      <c r="C1890" s="58">
        <f t="shared" si="234"/>
        <v>156.29037528357509</v>
      </c>
      <c r="D1890" s="83">
        <f t="shared" si="231"/>
        <v>666.66666666666663</v>
      </c>
      <c r="E1890">
        <f t="shared" si="227"/>
        <v>0</v>
      </c>
      <c r="G1890">
        <v>1840</v>
      </c>
      <c r="H1890" s="13">
        <f t="shared" si="232"/>
        <v>-7.7831728503952036E-4</v>
      </c>
      <c r="I1890">
        <f t="shared" si="233"/>
        <v>154.85827147910237</v>
      </c>
      <c r="J1890">
        <f t="shared" si="228"/>
        <v>663.69872204373542</v>
      </c>
      <c r="K1890" s="27">
        <f t="shared" si="229"/>
        <v>-342.84478866714863</v>
      </c>
    </row>
    <row r="1891" spans="1:11">
      <c r="A1891" s="26">
        <v>1841</v>
      </c>
      <c r="B1891" s="82">
        <f t="shared" si="230"/>
        <v>0</v>
      </c>
      <c r="C1891" s="58">
        <f t="shared" si="234"/>
        <v>156.29037528357509</v>
      </c>
      <c r="D1891" s="83">
        <f t="shared" si="231"/>
        <v>666.66666666666663</v>
      </c>
      <c r="E1891">
        <f t="shared" si="227"/>
        <v>0</v>
      </c>
      <c r="G1891">
        <v>1841</v>
      </c>
      <c r="H1891" s="13">
        <f t="shared" si="232"/>
        <v>-7.7831728503952036E-4</v>
      </c>
      <c r="I1891">
        <f t="shared" si="233"/>
        <v>154.85749316181733</v>
      </c>
      <c r="J1891">
        <f t="shared" si="228"/>
        <v>663.69706267679533</v>
      </c>
      <c r="K1891" s="27">
        <f t="shared" si="229"/>
        <v>-342.84307429184622</v>
      </c>
    </row>
    <row r="1892" spans="1:11">
      <c r="A1892" s="26">
        <v>1842</v>
      </c>
      <c r="B1892" s="82">
        <f t="shared" si="230"/>
        <v>0</v>
      </c>
      <c r="C1892" s="58">
        <f t="shared" si="234"/>
        <v>156.29037528357509</v>
      </c>
      <c r="D1892" s="83">
        <f t="shared" si="231"/>
        <v>666.66666666666663</v>
      </c>
      <c r="E1892">
        <f t="shared" si="227"/>
        <v>0</v>
      </c>
      <c r="G1892">
        <v>1842</v>
      </c>
      <c r="H1892" s="13">
        <f t="shared" si="232"/>
        <v>-7.7831728503952036E-4</v>
      </c>
      <c r="I1892">
        <f t="shared" si="233"/>
        <v>154.85671484453229</v>
      </c>
      <c r="J1892">
        <f t="shared" si="228"/>
        <v>663.69540325711557</v>
      </c>
      <c r="K1892" s="27">
        <f t="shared" si="229"/>
        <v>-342.84135986634118</v>
      </c>
    </row>
    <row r="1893" spans="1:11">
      <c r="A1893" s="26">
        <v>1843</v>
      </c>
      <c r="B1893" s="82">
        <f t="shared" si="230"/>
        <v>0</v>
      </c>
      <c r="C1893" s="58">
        <f t="shared" si="234"/>
        <v>156.29037528357509</v>
      </c>
      <c r="D1893" s="83">
        <f t="shared" si="231"/>
        <v>666.66666666666663</v>
      </c>
      <c r="E1893">
        <f t="shared" si="227"/>
        <v>0</v>
      </c>
      <c r="G1893">
        <v>1843</v>
      </c>
      <c r="H1893" s="13">
        <f t="shared" si="232"/>
        <v>-7.7831728503952036E-4</v>
      </c>
      <c r="I1893">
        <f t="shared" si="233"/>
        <v>154.85593652724725</v>
      </c>
      <c r="J1893">
        <f t="shared" si="228"/>
        <v>663.69374378469206</v>
      </c>
      <c r="K1893" s="27">
        <f t="shared" si="229"/>
        <v>-342.83964539062953</v>
      </c>
    </row>
    <row r="1894" spans="1:11">
      <c r="A1894" s="26">
        <v>1844</v>
      </c>
      <c r="B1894" s="82">
        <f t="shared" si="230"/>
        <v>0</v>
      </c>
      <c r="C1894" s="58">
        <f t="shared" si="234"/>
        <v>156.29037528357509</v>
      </c>
      <c r="D1894" s="83">
        <f t="shared" si="231"/>
        <v>666.66666666666663</v>
      </c>
      <c r="E1894">
        <f t="shared" si="227"/>
        <v>0</v>
      </c>
      <c r="G1894">
        <v>1844</v>
      </c>
      <c r="H1894" s="13">
        <f t="shared" si="232"/>
        <v>-7.7831728503952036E-4</v>
      </c>
      <c r="I1894">
        <f t="shared" si="233"/>
        <v>154.85515820996221</v>
      </c>
      <c r="J1894">
        <f t="shared" si="228"/>
        <v>663.69208425952058</v>
      </c>
      <c r="K1894" s="27">
        <f t="shared" si="229"/>
        <v>-342.83793086470729</v>
      </c>
    </row>
    <row r="1895" spans="1:11">
      <c r="A1895" s="26">
        <v>1845</v>
      </c>
      <c r="B1895" s="82">
        <f t="shared" si="230"/>
        <v>0</v>
      </c>
      <c r="C1895" s="58">
        <f t="shared" si="234"/>
        <v>156.29037528357509</v>
      </c>
      <c r="D1895" s="83">
        <f t="shared" si="231"/>
        <v>666.66666666666663</v>
      </c>
      <c r="E1895">
        <f t="shared" si="227"/>
        <v>0</v>
      </c>
      <c r="G1895">
        <v>1845</v>
      </c>
      <c r="H1895" s="13">
        <f t="shared" si="232"/>
        <v>-7.7831728503952036E-4</v>
      </c>
      <c r="I1895">
        <f t="shared" si="233"/>
        <v>154.85437989267717</v>
      </c>
      <c r="J1895">
        <f t="shared" si="228"/>
        <v>663.69042468159694</v>
      </c>
      <c r="K1895" s="27">
        <f t="shared" si="229"/>
        <v>-342.83621628857077</v>
      </c>
    </row>
    <row r="1896" spans="1:11">
      <c r="A1896" s="26">
        <v>1846</v>
      </c>
      <c r="B1896" s="82">
        <f t="shared" si="230"/>
        <v>0</v>
      </c>
      <c r="C1896" s="58">
        <f t="shared" si="234"/>
        <v>156.29037528357509</v>
      </c>
      <c r="D1896" s="83">
        <f t="shared" si="231"/>
        <v>666.66666666666663</v>
      </c>
      <c r="E1896">
        <f t="shared" si="227"/>
        <v>0</v>
      </c>
      <c r="G1896">
        <v>1846</v>
      </c>
      <c r="H1896" s="13">
        <f t="shared" si="232"/>
        <v>-7.7831728503952036E-4</v>
      </c>
      <c r="I1896">
        <f t="shared" si="233"/>
        <v>154.85360157539213</v>
      </c>
      <c r="J1896">
        <f t="shared" si="228"/>
        <v>663.68876505091714</v>
      </c>
      <c r="K1896" s="27">
        <f t="shared" si="229"/>
        <v>-342.83450166221616</v>
      </c>
    </row>
    <row r="1897" spans="1:11">
      <c r="A1897" s="26">
        <v>1847</v>
      </c>
      <c r="B1897" s="82">
        <f t="shared" si="230"/>
        <v>0</v>
      </c>
      <c r="C1897" s="58">
        <f t="shared" si="234"/>
        <v>156.29037528357509</v>
      </c>
      <c r="D1897" s="83">
        <f t="shared" si="231"/>
        <v>666.66666666666663</v>
      </c>
      <c r="E1897">
        <f t="shared" si="227"/>
        <v>0</v>
      </c>
      <c r="G1897">
        <v>1847</v>
      </c>
      <c r="H1897" s="13">
        <f t="shared" si="232"/>
        <v>-7.7831728503952036E-4</v>
      </c>
      <c r="I1897">
        <f t="shared" si="233"/>
        <v>154.85282325810709</v>
      </c>
      <c r="J1897">
        <f t="shared" si="228"/>
        <v>663.6871053674771</v>
      </c>
      <c r="K1897" s="27">
        <f t="shared" si="229"/>
        <v>-342.83278698563953</v>
      </c>
    </row>
    <row r="1898" spans="1:11">
      <c r="A1898" s="26">
        <v>1848</v>
      </c>
      <c r="B1898" s="82">
        <f t="shared" si="230"/>
        <v>0</v>
      </c>
      <c r="C1898" s="58">
        <f t="shared" si="234"/>
        <v>156.29037528357509</v>
      </c>
      <c r="D1898" s="83">
        <f t="shared" si="231"/>
        <v>666.66666666666663</v>
      </c>
      <c r="E1898">
        <f t="shared" si="227"/>
        <v>0</v>
      </c>
      <c r="G1898">
        <v>1848</v>
      </c>
      <c r="H1898" s="13">
        <f t="shared" si="232"/>
        <v>-7.7831728503952036E-4</v>
      </c>
      <c r="I1898">
        <f t="shared" si="233"/>
        <v>154.85204494082205</v>
      </c>
      <c r="J1898">
        <f t="shared" si="228"/>
        <v>663.68544563127261</v>
      </c>
      <c r="K1898" s="27">
        <f t="shared" si="229"/>
        <v>-342.83107225883697</v>
      </c>
    </row>
    <row r="1899" spans="1:11">
      <c r="A1899" s="26">
        <v>1849</v>
      </c>
      <c r="B1899" s="82">
        <f t="shared" si="230"/>
        <v>0</v>
      </c>
      <c r="C1899" s="58">
        <f t="shared" si="234"/>
        <v>156.29037528357509</v>
      </c>
      <c r="D1899" s="83">
        <f t="shared" si="231"/>
        <v>666.66666666666663</v>
      </c>
      <c r="E1899">
        <f t="shared" si="227"/>
        <v>0</v>
      </c>
      <c r="G1899">
        <v>1849</v>
      </c>
      <c r="H1899" s="13">
        <f t="shared" si="232"/>
        <v>-7.7831728503952036E-4</v>
      </c>
      <c r="I1899">
        <f t="shared" si="233"/>
        <v>154.85126662353701</v>
      </c>
      <c r="J1899">
        <f t="shared" si="228"/>
        <v>663.68378584229947</v>
      </c>
      <c r="K1899" s="27">
        <f t="shared" si="229"/>
        <v>-342.82935748180466</v>
      </c>
    </row>
    <row r="1900" spans="1:11">
      <c r="A1900" s="26">
        <v>1850</v>
      </c>
      <c r="B1900" s="82">
        <f t="shared" si="230"/>
        <v>0</v>
      </c>
      <c r="C1900" s="58">
        <f t="shared" si="234"/>
        <v>156.29037528357509</v>
      </c>
      <c r="D1900" s="83">
        <f t="shared" si="231"/>
        <v>666.66666666666663</v>
      </c>
      <c r="E1900">
        <f t="shared" si="227"/>
        <v>0</v>
      </c>
      <c r="G1900">
        <v>1850</v>
      </c>
      <c r="H1900" s="13">
        <f t="shared" si="232"/>
        <v>-7.7831728503952036E-4</v>
      </c>
      <c r="I1900">
        <f t="shared" si="233"/>
        <v>154.85048830625198</v>
      </c>
      <c r="J1900">
        <f t="shared" si="228"/>
        <v>663.68212600055369</v>
      </c>
      <c r="K1900" s="27">
        <f t="shared" si="229"/>
        <v>-342.82764265453881</v>
      </c>
    </row>
    <row r="1901" spans="1:11">
      <c r="A1901" s="26">
        <v>1851</v>
      </c>
      <c r="B1901" s="82">
        <f t="shared" si="230"/>
        <v>0</v>
      </c>
      <c r="C1901" s="58">
        <f t="shared" si="234"/>
        <v>156.29037528357509</v>
      </c>
      <c r="D1901" s="83">
        <f t="shared" si="231"/>
        <v>666.66666666666663</v>
      </c>
      <c r="E1901">
        <f t="shared" si="227"/>
        <v>0</v>
      </c>
      <c r="G1901">
        <v>1851</v>
      </c>
      <c r="H1901" s="13">
        <f t="shared" si="232"/>
        <v>-7.7831728503952036E-4</v>
      </c>
      <c r="I1901">
        <f t="shared" si="233"/>
        <v>154.84970998896694</v>
      </c>
      <c r="J1901">
        <f t="shared" si="228"/>
        <v>663.68046610603108</v>
      </c>
      <c r="K1901" s="27">
        <f t="shared" si="229"/>
        <v>-342.82592777703547</v>
      </c>
    </row>
    <row r="1902" spans="1:11">
      <c r="A1902" s="26">
        <v>1852</v>
      </c>
      <c r="B1902" s="82">
        <f t="shared" si="230"/>
        <v>0</v>
      </c>
      <c r="C1902" s="58">
        <f t="shared" si="234"/>
        <v>156.29037528357509</v>
      </c>
      <c r="D1902" s="83">
        <f t="shared" si="231"/>
        <v>666.66666666666663</v>
      </c>
      <c r="E1902">
        <f t="shared" si="227"/>
        <v>0</v>
      </c>
      <c r="G1902">
        <v>1852</v>
      </c>
      <c r="H1902" s="13">
        <f t="shared" si="232"/>
        <v>-7.7831728503952036E-4</v>
      </c>
      <c r="I1902">
        <f t="shared" si="233"/>
        <v>154.8489316716819</v>
      </c>
      <c r="J1902">
        <f t="shared" si="228"/>
        <v>663.67880615872753</v>
      </c>
      <c r="K1902" s="27">
        <f t="shared" si="229"/>
        <v>-342.82421284929092</v>
      </c>
    </row>
    <row r="1903" spans="1:11">
      <c r="A1903" s="26">
        <v>1853</v>
      </c>
      <c r="B1903" s="82">
        <f t="shared" si="230"/>
        <v>0</v>
      </c>
      <c r="C1903" s="58">
        <f t="shared" si="234"/>
        <v>156.29037528357509</v>
      </c>
      <c r="D1903" s="83">
        <f t="shared" si="231"/>
        <v>666.66666666666663</v>
      </c>
      <c r="E1903">
        <f t="shared" si="227"/>
        <v>0</v>
      </c>
      <c r="G1903">
        <v>1853</v>
      </c>
      <c r="H1903" s="13">
        <f t="shared" si="232"/>
        <v>-7.7831728503952036E-4</v>
      </c>
      <c r="I1903">
        <f t="shared" si="233"/>
        <v>154.84815335439686</v>
      </c>
      <c r="J1903">
        <f t="shared" si="228"/>
        <v>663.67714615863895</v>
      </c>
      <c r="K1903" s="27">
        <f t="shared" si="229"/>
        <v>-342.82249787130127</v>
      </c>
    </row>
    <row r="1904" spans="1:11">
      <c r="A1904" s="26">
        <v>1854</v>
      </c>
      <c r="B1904" s="82">
        <f t="shared" si="230"/>
        <v>0</v>
      </c>
      <c r="C1904" s="58">
        <f t="shared" si="234"/>
        <v>156.29037528357509</v>
      </c>
      <c r="D1904" s="83">
        <f t="shared" si="231"/>
        <v>666.66666666666663</v>
      </c>
      <c r="E1904">
        <f t="shared" si="227"/>
        <v>0</v>
      </c>
      <c r="G1904">
        <v>1854</v>
      </c>
      <c r="H1904" s="13">
        <f t="shared" si="232"/>
        <v>-7.7831728503952036E-4</v>
      </c>
      <c r="I1904">
        <f t="shared" si="233"/>
        <v>154.84737503711182</v>
      </c>
      <c r="J1904">
        <f t="shared" si="228"/>
        <v>663.67548610576114</v>
      </c>
      <c r="K1904" s="27">
        <f t="shared" si="229"/>
        <v>-342.82078284306249</v>
      </c>
    </row>
    <row r="1905" spans="1:11">
      <c r="A1905" s="26">
        <v>1855</v>
      </c>
      <c r="B1905" s="82">
        <f t="shared" si="230"/>
        <v>0</v>
      </c>
      <c r="C1905" s="58">
        <f t="shared" si="234"/>
        <v>156.29037528357509</v>
      </c>
      <c r="D1905" s="83">
        <f t="shared" si="231"/>
        <v>666.66666666666663</v>
      </c>
      <c r="E1905">
        <f t="shared" si="227"/>
        <v>0</v>
      </c>
      <c r="G1905">
        <v>1855</v>
      </c>
      <c r="H1905" s="13">
        <f t="shared" si="232"/>
        <v>-7.7831728503952036E-4</v>
      </c>
      <c r="I1905">
        <f t="shared" si="233"/>
        <v>154.84659671982678</v>
      </c>
      <c r="J1905">
        <f t="shared" si="228"/>
        <v>663.67382600009</v>
      </c>
      <c r="K1905" s="27">
        <f t="shared" si="229"/>
        <v>-342.81906776457095</v>
      </c>
    </row>
    <row r="1906" spans="1:11">
      <c r="A1906" s="26">
        <v>1856</v>
      </c>
      <c r="B1906" s="82">
        <f t="shared" si="230"/>
        <v>0</v>
      </c>
      <c r="C1906" s="58">
        <f t="shared" si="234"/>
        <v>156.29037528357509</v>
      </c>
      <c r="D1906" s="83">
        <f t="shared" si="231"/>
        <v>666.66666666666663</v>
      </c>
      <c r="E1906">
        <f t="shared" si="227"/>
        <v>0</v>
      </c>
      <c r="G1906">
        <v>1856</v>
      </c>
      <c r="H1906" s="13">
        <f t="shared" si="232"/>
        <v>-7.7831728503952036E-4</v>
      </c>
      <c r="I1906">
        <f t="shared" si="233"/>
        <v>154.84581840254174</v>
      </c>
      <c r="J1906">
        <f t="shared" si="228"/>
        <v>663.67216584162134</v>
      </c>
      <c r="K1906" s="27">
        <f t="shared" si="229"/>
        <v>-342.8173526358226</v>
      </c>
    </row>
    <row r="1907" spans="1:11">
      <c r="A1907" s="26">
        <v>1857</v>
      </c>
      <c r="B1907" s="82">
        <f t="shared" si="230"/>
        <v>0</v>
      </c>
      <c r="C1907" s="58">
        <f t="shared" si="234"/>
        <v>156.29037528357509</v>
      </c>
      <c r="D1907" s="83">
        <f t="shared" si="231"/>
        <v>666.66666666666663</v>
      </c>
      <c r="E1907">
        <f t="shared" ref="E1907:E1970" si="235">((D1907^2)+(D1907*D1908)+(D1908^2))*B1908/3</f>
        <v>0</v>
      </c>
      <c r="G1907">
        <v>1857</v>
      </c>
      <c r="H1907" s="13">
        <f t="shared" si="232"/>
        <v>-7.7831728503952036E-4</v>
      </c>
      <c r="I1907">
        <f t="shared" si="233"/>
        <v>154.8450400852567</v>
      </c>
      <c r="J1907">
        <f t="shared" ref="J1907:J1970" si="236">IF($G$28&lt;$C$14,0,((($C$11^2)-((I1907-$C$13)^2))^0.5)+$C$16)</f>
        <v>663.67050563035116</v>
      </c>
      <c r="K1907" s="27">
        <f t="shared" ref="K1907:K1970" si="237">((J1907^2)+(J1907*J1908)+(J1908^2))*H1908/3</f>
        <v>-342.81563745681382</v>
      </c>
    </row>
    <row r="1908" spans="1:11">
      <c r="A1908" s="26">
        <v>1858</v>
      </c>
      <c r="B1908" s="82">
        <f t="shared" ref="B1908:B1971" si="238">C1908-C1907</f>
        <v>0</v>
      </c>
      <c r="C1908" s="58">
        <f t="shared" si="234"/>
        <v>156.29037528357509</v>
      </c>
      <c r="D1908" s="83">
        <f t="shared" ref="D1908:D1971" si="239">IF($G$28&lt;$C$14,0,((($C$11^2)-((C1908-$C$13)^2))^0.5)+$C$16)</f>
        <v>666.66666666666663</v>
      </c>
      <c r="E1908">
        <f t="shared" si="235"/>
        <v>0</v>
      </c>
      <c r="G1908">
        <v>1858</v>
      </c>
      <c r="H1908" s="13">
        <f t="shared" ref="H1908:H1971" si="240">I1908-I1907</f>
        <v>-7.7831728503952036E-4</v>
      </c>
      <c r="I1908">
        <f t="shared" ref="I1908:I1971" si="241">($G$27-$C$14)/2000+I1907</f>
        <v>154.84426176797166</v>
      </c>
      <c r="J1908">
        <f t="shared" si="236"/>
        <v>663.66884536627526</v>
      </c>
      <c r="K1908" s="27">
        <f t="shared" si="237"/>
        <v>-342.81392222754056</v>
      </c>
    </row>
    <row r="1909" spans="1:11">
      <c r="A1909" s="26">
        <v>1859</v>
      </c>
      <c r="B1909" s="82">
        <f t="shared" si="238"/>
        <v>0</v>
      </c>
      <c r="C1909" s="58">
        <f t="shared" si="234"/>
        <v>156.29037528357509</v>
      </c>
      <c r="D1909" s="83">
        <f t="shared" si="239"/>
        <v>666.66666666666663</v>
      </c>
      <c r="E1909">
        <f t="shared" si="235"/>
        <v>0</v>
      </c>
      <c r="G1909">
        <v>1859</v>
      </c>
      <c r="H1909" s="13">
        <f t="shared" si="240"/>
        <v>-7.7831728503952036E-4</v>
      </c>
      <c r="I1909">
        <f t="shared" si="241"/>
        <v>154.84348345068662</v>
      </c>
      <c r="J1909">
        <f t="shared" si="236"/>
        <v>663.66718504938945</v>
      </c>
      <c r="K1909" s="27">
        <f t="shared" si="237"/>
        <v>-342.8122069479989</v>
      </c>
    </row>
    <row r="1910" spans="1:11">
      <c r="A1910" s="26">
        <v>1860</v>
      </c>
      <c r="B1910" s="82">
        <f t="shared" si="238"/>
        <v>0</v>
      </c>
      <c r="C1910" s="58">
        <f t="shared" si="234"/>
        <v>156.29037528357509</v>
      </c>
      <c r="D1910" s="83">
        <f t="shared" si="239"/>
        <v>666.66666666666663</v>
      </c>
      <c r="E1910">
        <f t="shared" si="235"/>
        <v>0</v>
      </c>
      <c r="G1910">
        <v>1860</v>
      </c>
      <c r="H1910" s="13">
        <f t="shared" si="240"/>
        <v>-7.7831728503952036E-4</v>
      </c>
      <c r="I1910">
        <f t="shared" si="241"/>
        <v>154.84270513340158</v>
      </c>
      <c r="J1910">
        <f t="shared" si="236"/>
        <v>663.66552467968972</v>
      </c>
      <c r="K1910" s="27">
        <f t="shared" si="237"/>
        <v>-342.81049161818527</v>
      </c>
    </row>
    <row r="1911" spans="1:11">
      <c r="A1911" s="26">
        <v>1861</v>
      </c>
      <c r="B1911" s="82">
        <f t="shared" si="238"/>
        <v>0</v>
      </c>
      <c r="C1911" s="58">
        <f t="shared" si="234"/>
        <v>156.29037528357509</v>
      </c>
      <c r="D1911" s="83">
        <f t="shared" si="239"/>
        <v>666.66666666666663</v>
      </c>
      <c r="E1911">
        <f t="shared" si="235"/>
        <v>0</v>
      </c>
      <c r="G1911">
        <v>1861</v>
      </c>
      <c r="H1911" s="13">
        <f t="shared" si="240"/>
        <v>-7.7831728503952036E-4</v>
      </c>
      <c r="I1911">
        <f t="shared" si="241"/>
        <v>154.84192681611654</v>
      </c>
      <c r="J1911">
        <f t="shared" si="236"/>
        <v>663.66386425717189</v>
      </c>
      <c r="K1911" s="27">
        <f t="shared" si="237"/>
        <v>-342.8087762380955</v>
      </c>
    </row>
    <row r="1912" spans="1:11">
      <c r="A1912" s="26">
        <v>1862</v>
      </c>
      <c r="B1912" s="82">
        <f t="shared" si="238"/>
        <v>0</v>
      </c>
      <c r="C1912" s="58">
        <f t="shared" si="234"/>
        <v>156.29037528357509</v>
      </c>
      <c r="D1912" s="83">
        <f t="shared" si="239"/>
        <v>666.66666666666663</v>
      </c>
      <c r="E1912">
        <f t="shared" si="235"/>
        <v>0</v>
      </c>
      <c r="G1912">
        <v>1862</v>
      </c>
      <c r="H1912" s="13">
        <f t="shared" si="240"/>
        <v>-7.7831728503952036E-4</v>
      </c>
      <c r="I1912">
        <f t="shared" si="241"/>
        <v>154.8411484988315</v>
      </c>
      <c r="J1912">
        <f t="shared" si="236"/>
        <v>663.66220378183175</v>
      </c>
      <c r="K1912" s="27">
        <f t="shared" si="237"/>
        <v>-342.80706080772592</v>
      </c>
    </row>
    <row r="1913" spans="1:11">
      <c r="A1913" s="26">
        <v>1863</v>
      </c>
      <c r="B1913" s="82">
        <f t="shared" si="238"/>
        <v>0</v>
      </c>
      <c r="C1913" s="58">
        <f t="shared" si="234"/>
        <v>156.29037528357509</v>
      </c>
      <c r="D1913" s="83">
        <f t="shared" si="239"/>
        <v>666.66666666666663</v>
      </c>
      <c r="E1913">
        <f t="shared" si="235"/>
        <v>0</v>
      </c>
      <c r="G1913">
        <v>1863</v>
      </c>
      <c r="H1913" s="13">
        <f t="shared" si="240"/>
        <v>-7.7831728503952036E-4</v>
      </c>
      <c r="I1913">
        <f t="shared" si="241"/>
        <v>154.84037018154646</v>
      </c>
      <c r="J1913">
        <f t="shared" si="236"/>
        <v>663.6605432536652</v>
      </c>
      <c r="K1913" s="27">
        <f t="shared" si="237"/>
        <v>-342.80534532707253</v>
      </c>
    </row>
    <row r="1914" spans="1:11">
      <c r="A1914" s="26">
        <v>1864</v>
      </c>
      <c r="B1914" s="82">
        <f t="shared" si="238"/>
        <v>0</v>
      </c>
      <c r="C1914" s="58">
        <f t="shared" si="234"/>
        <v>156.29037528357509</v>
      </c>
      <c r="D1914" s="83">
        <f t="shared" si="239"/>
        <v>666.66666666666663</v>
      </c>
      <c r="E1914">
        <f t="shared" si="235"/>
        <v>0</v>
      </c>
      <c r="G1914">
        <v>1864</v>
      </c>
      <c r="H1914" s="13">
        <f t="shared" si="240"/>
        <v>-7.7831728503952036E-4</v>
      </c>
      <c r="I1914">
        <f t="shared" si="241"/>
        <v>154.83959186426142</v>
      </c>
      <c r="J1914">
        <f t="shared" si="236"/>
        <v>663.65888267266826</v>
      </c>
      <c r="K1914" s="27">
        <f t="shared" si="237"/>
        <v>-342.80362979613159</v>
      </c>
    </row>
    <row r="1915" spans="1:11">
      <c r="A1915" s="26">
        <v>1865</v>
      </c>
      <c r="B1915" s="82">
        <f t="shared" si="238"/>
        <v>0</v>
      </c>
      <c r="C1915" s="58">
        <f t="shared" si="234"/>
        <v>156.29037528357509</v>
      </c>
      <c r="D1915" s="83">
        <f t="shared" si="239"/>
        <v>666.66666666666663</v>
      </c>
      <c r="E1915">
        <f t="shared" si="235"/>
        <v>0</v>
      </c>
      <c r="G1915">
        <v>1865</v>
      </c>
      <c r="H1915" s="13">
        <f t="shared" si="240"/>
        <v>-7.7831728503952036E-4</v>
      </c>
      <c r="I1915">
        <f t="shared" si="241"/>
        <v>154.83881354697638</v>
      </c>
      <c r="J1915">
        <f t="shared" si="236"/>
        <v>663.65722203883649</v>
      </c>
      <c r="K1915" s="27">
        <f t="shared" si="237"/>
        <v>-342.80191421489917</v>
      </c>
    </row>
    <row r="1916" spans="1:11">
      <c r="A1916" s="26">
        <v>1866</v>
      </c>
      <c r="B1916" s="82">
        <f t="shared" si="238"/>
        <v>0</v>
      </c>
      <c r="C1916" s="58">
        <f t="shared" si="234"/>
        <v>156.29037528357509</v>
      </c>
      <c r="D1916" s="83">
        <f t="shared" si="239"/>
        <v>666.66666666666663</v>
      </c>
      <c r="E1916">
        <f t="shared" si="235"/>
        <v>0</v>
      </c>
      <c r="G1916">
        <v>1866</v>
      </c>
      <c r="H1916" s="13">
        <f t="shared" si="240"/>
        <v>-7.7831728503952036E-4</v>
      </c>
      <c r="I1916">
        <f t="shared" si="241"/>
        <v>154.83803522969134</v>
      </c>
      <c r="J1916">
        <f t="shared" si="236"/>
        <v>663.65556135216605</v>
      </c>
      <c r="K1916" s="27">
        <f t="shared" si="237"/>
        <v>-342.80019858337147</v>
      </c>
    </row>
    <row r="1917" spans="1:11">
      <c r="A1917" s="26">
        <v>1867</v>
      </c>
      <c r="B1917" s="82">
        <f t="shared" si="238"/>
        <v>0</v>
      </c>
      <c r="C1917" s="58">
        <f t="shared" si="234"/>
        <v>156.29037528357509</v>
      </c>
      <c r="D1917" s="83">
        <f t="shared" si="239"/>
        <v>666.66666666666663</v>
      </c>
      <c r="E1917">
        <f t="shared" si="235"/>
        <v>0</v>
      </c>
      <c r="G1917">
        <v>1867</v>
      </c>
      <c r="H1917" s="13">
        <f t="shared" si="240"/>
        <v>-7.7831728503952036E-4</v>
      </c>
      <c r="I1917">
        <f t="shared" si="241"/>
        <v>154.8372569124063</v>
      </c>
      <c r="J1917">
        <f t="shared" si="236"/>
        <v>663.65390061265271</v>
      </c>
      <c r="K1917" s="27">
        <f t="shared" si="237"/>
        <v>-342.79848290154467</v>
      </c>
    </row>
    <row r="1918" spans="1:11">
      <c r="A1918" s="26">
        <v>1868</v>
      </c>
      <c r="B1918" s="82">
        <f t="shared" si="238"/>
        <v>0</v>
      </c>
      <c r="C1918" s="58">
        <f t="shared" si="234"/>
        <v>156.29037528357509</v>
      </c>
      <c r="D1918" s="83">
        <f t="shared" si="239"/>
        <v>666.66666666666663</v>
      </c>
      <c r="E1918">
        <f t="shared" si="235"/>
        <v>0</v>
      </c>
      <c r="G1918">
        <v>1868</v>
      </c>
      <c r="H1918" s="13">
        <f t="shared" si="240"/>
        <v>-7.7831728503952036E-4</v>
      </c>
      <c r="I1918">
        <f t="shared" si="241"/>
        <v>154.83647859512126</v>
      </c>
      <c r="J1918">
        <f t="shared" si="236"/>
        <v>663.65223982029227</v>
      </c>
      <c r="K1918" s="27">
        <f t="shared" si="237"/>
        <v>-342.79676716941481</v>
      </c>
    </row>
    <row r="1919" spans="1:11">
      <c r="A1919" s="26">
        <v>1869</v>
      </c>
      <c r="B1919" s="82">
        <f t="shared" si="238"/>
        <v>0</v>
      </c>
      <c r="C1919" s="58">
        <f t="shared" si="234"/>
        <v>156.29037528357509</v>
      </c>
      <c r="D1919" s="83">
        <f t="shared" si="239"/>
        <v>666.66666666666663</v>
      </c>
      <c r="E1919">
        <f t="shared" si="235"/>
        <v>0</v>
      </c>
      <c r="G1919">
        <v>1869</v>
      </c>
      <c r="H1919" s="13">
        <f t="shared" si="240"/>
        <v>-7.7831728503952036E-4</v>
      </c>
      <c r="I1919">
        <f t="shared" si="241"/>
        <v>154.83570027783622</v>
      </c>
      <c r="J1919">
        <f t="shared" si="236"/>
        <v>663.65057897508063</v>
      </c>
      <c r="K1919" s="27">
        <f t="shared" si="237"/>
        <v>-342.79505138697795</v>
      </c>
    </row>
    <row r="1920" spans="1:11">
      <c r="A1920" s="26">
        <v>1870</v>
      </c>
      <c r="B1920" s="82">
        <f t="shared" si="238"/>
        <v>0</v>
      </c>
      <c r="C1920" s="58">
        <f t="shared" si="234"/>
        <v>156.29037528357509</v>
      </c>
      <c r="D1920" s="83">
        <f t="shared" si="239"/>
        <v>666.66666666666663</v>
      </c>
      <c r="E1920">
        <f t="shared" si="235"/>
        <v>0</v>
      </c>
      <c r="G1920">
        <v>1870</v>
      </c>
      <c r="H1920" s="13">
        <f t="shared" si="240"/>
        <v>-7.7831728503952036E-4</v>
      </c>
      <c r="I1920">
        <f t="shared" si="241"/>
        <v>154.83492196055118</v>
      </c>
      <c r="J1920">
        <f t="shared" si="236"/>
        <v>663.64891807701372</v>
      </c>
      <c r="K1920" s="27">
        <f t="shared" si="237"/>
        <v>-342.7933355542304</v>
      </c>
    </row>
    <row r="1921" spans="1:11">
      <c r="A1921" s="26">
        <v>1871</v>
      </c>
      <c r="B1921" s="82">
        <f t="shared" si="238"/>
        <v>0</v>
      </c>
      <c r="C1921" s="58">
        <f t="shared" si="234"/>
        <v>156.29037528357509</v>
      </c>
      <c r="D1921" s="83">
        <f t="shared" si="239"/>
        <v>666.66666666666663</v>
      </c>
      <c r="E1921">
        <f t="shared" si="235"/>
        <v>0</v>
      </c>
      <c r="G1921">
        <v>1871</v>
      </c>
      <c r="H1921" s="13">
        <f t="shared" si="240"/>
        <v>-7.7831728503952036E-4</v>
      </c>
      <c r="I1921">
        <f t="shared" si="241"/>
        <v>154.83414364326615</v>
      </c>
      <c r="J1921">
        <f t="shared" si="236"/>
        <v>663.64725712608731</v>
      </c>
      <c r="K1921" s="27">
        <f t="shared" si="237"/>
        <v>-342.79161967116823</v>
      </c>
    </row>
    <row r="1922" spans="1:11">
      <c r="A1922" s="26">
        <v>1872</v>
      </c>
      <c r="B1922" s="82">
        <f t="shared" si="238"/>
        <v>0</v>
      </c>
      <c r="C1922" s="58">
        <f t="shared" si="234"/>
        <v>156.29037528357509</v>
      </c>
      <c r="D1922" s="83">
        <f t="shared" si="239"/>
        <v>666.66666666666663</v>
      </c>
      <c r="E1922">
        <f t="shared" si="235"/>
        <v>0</v>
      </c>
      <c r="G1922">
        <v>1872</v>
      </c>
      <c r="H1922" s="13">
        <f t="shared" si="240"/>
        <v>-7.7831728503952036E-4</v>
      </c>
      <c r="I1922">
        <f t="shared" si="241"/>
        <v>154.83336532598111</v>
      </c>
      <c r="J1922">
        <f t="shared" si="236"/>
        <v>663.64559612229721</v>
      </c>
      <c r="K1922" s="27">
        <f t="shared" si="237"/>
        <v>-342.78990373778743</v>
      </c>
    </row>
    <row r="1923" spans="1:11">
      <c r="A1923" s="26">
        <v>1873</v>
      </c>
      <c r="B1923" s="82">
        <f t="shared" si="238"/>
        <v>0</v>
      </c>
      <c r="C1923" s="58">
        <f t="shared" si="234"/>
        <v>156.29037528357509</v>
      </c>
      <c r="D1923" s="83">
        <f t="shared" si="239"/>
        <v>666.66666666666663</v>
      </c>
      <c r="E1923">
        <f t="shared" si="235"/>
        <v>0</v>
      </c>
      <c r="G1923">
        <v>1873</v>
      </c>
      <c r="H1923" s="13">
        <f t="shared" si="240"/>
        <v>-7.7831728503952036E-4</v>
      </c>
      <c r="I1923">
        <f t="shared" si="241"/>
        <v>154.83258700869607</v>
      </c>
      <c r="J1923">
        <f t="shared" si="236"/>
        <v>663.64393506563943</v>
      </c>
      <c r="K1923" s="27">
        <f t="shared" si="237"/>
        <v>-342.78818775408439</v>
      </c>
    </row>
    <row r="1924" spans="1:11">
      <c r="A1924" s="26">
        <v>1874</v>
      </c>
      <c r="B1924" s="82">
        <f t="shared" si="238"/>
        <v>0</v>
      </c>
      <c r="C1924" s="58">
        <f t="shared" si="234"/>
        <v>156.29037528357509</v>
      </c>
      <c r="D1924" s="83">
        <f t="shared" si="239"/>
        <v>666.66666666666663</v>
      </c>
      <c r="E1924">
        <f t="shared" si="235"/>
        <v>0</v>
      </c>
      <c r="G1924">
        <v>1874</v>
      </c>
      <c r="H1924" s="13">
        <f t="shared" si="240"/>
        <v>-7.7831728503952036E-4</v>
      </c>
      <c r="I1924">
        <f t="shared" si="241"/>
        <v>154.83180869141103</v>
      </c>
      <c r="J1924">
        <f t="shared" si="236"/>
        <v>663.64227395610976</v>
      </c>
      <c r="K1924" s="27">
        <f t="shared" si="237"/>
        <v>-342.78647172005503</v>
      </c>
    </row>
    <row r="1925" spans="1:11">
      <c r="A1925" s="26">
        <v>1875</v>
      </c>
      <c r="B1925" s="82">
        <f t="shared" si="238"/>
        <v>0</v>
      </c>
      <c r="C1925" s="58">
        <f t="shared" si="234"/>
        <v>156.29037528357509</v>
      </c>
      <c r="D1925" s="83">
        <f t="shared" si="239"/>
        <v>666.66666666666663</v>
      </c>
      <c r="E1925">
        <f t="shared" si="235"/>
        <v>0</v>
      </c>
      <c r="G1925">
        <v>1875</v>
      </c>
      <c r="H1925" s="13">
        <f t="shared" si="240"/>
        <v>-7.7831728503952036E-4</v>
      </c>
      <c r="I1925">
        <f t="shared" si="241"/>
        <v>154.83103037412599</v>
      </c>
      <c r="J1925">
        <f t="shared" si="236"/>
        <v>663.64061279370412</v>
      </c>
      <c r="K1925" s="27">
        <f t="shared" si="237"/>
        <v>-342.78475563569572</v>
      </c>
    </row>
    <row r="1926" spans="1:11">
      <c r="A1926" s="26">
        <v>1876</v>
      </c>
      <c r="B1926" s="82">
        <f t="shared" si="238"/>
        <v>0</v>
      </c>
      <c r="C1926" s="58">
        <f t="shared" si="234"/>
        <v>156.29037528357509</v>
      </c>
      <c r="D1926" s="83">
        <f t="shared" si="239"/>
        <v>666.66666666666663</v>
      </c>
      <c r="E1926">
        <f t="shared" si="235"/>
        <v>0</v>
      </c>
      <c r="G1926">
        <v>1876</v>
      </c>
      <c r="H1926" s="13">
        <f t="shared" si="240"/>
        <v>-7.7831728503952036E-4</v>
      </c>
      <c r="I1926">
        <f t="shared" si="241"/>
        <v>154.83025205684095</v>
      </c>
      <c r="J1926">
        <f t="shared" si="236"/>
        <v>663.6389515784183</v>
      </c>
      <c r="K1926" s="27">
        <f t="shared" si="237"/>
        <v>-342.78303950100235</v>
      </c>
    </row>
    <row r="1927" spans="1:11">
      <c r="A1927" s="26">
        <v>1877</v>
      </c>
      <c r="B1927" s="82">
        <f t="shared" si="238"/>
        <v>0</v>
      </c>
      <c r="C1927" s="58">
        <f t="shared" si="234"/>
        <v>156.29037528357509</v>
      </c>
      <c r="D1927" s="83">
        <f t="shared" si="239"/>
        <v>666.66666666666663</v>
      </c>
      <c r="E1927">
        <f t="shared" si="235"/>
        <v>0</v>
      </c>
      <c r="G1927">
        <v>1877</v>
      </c>
      <c r="H1927" s="13">
        <f t="shared" si="240"/>
        <v>-7.7831728503952036E-4</v>
      </c>
      <c r="I1927">
        <f t="shared" si="241"/>
        <v>154.82947373955591</v>
      </c>
      <c r="J1927">
        <f t="shared" si="236"/>
        <v>663.63729031024809</v>
      </c>
      <c r="K1927" s="27">
        <f t="shared" si="237"/>
        <v>-342.78132331597112</v>
      </c>
    </row>
    <row r="1928" spans="1:11">
      <c r="A1928" s="26">
        <v>1878</v>
      </c>
      <c r="B1928" s="82">
        <f t="shared" si="238"/>
        <v>0</v>
      </c>
      <c r="C1928" s="58">
        <f t="shared" si="234"/>
        <v>156.29037528357509</v>
      </c>
      <c r="D1928" s="83">
        <f t="shared" si="239"/>
        <v>666.66666666666663</v>
      </c>
      <c r="E1928">
        <f t="shared" si="235"/>
        <v>0</v>
      </c>
      <c r="G1928">
        <v>1878</v>
      </c>
      <c r="H1928" s="13">
        <f t="shared" si="240"/>
        <v>-7.7831728503952036E-4</v>
      </c>
      <c r="I1928">
        <f t="shared" si="241"/>
        <v>154.82869542227087</v>
      </c>
      <c r="J1928">
        <f t="shared" si="236"/>
        <v>663.63562898918951</v>
      </c>
      <c r="K1928" s="27">
        <f t="shared" si="237"/>
        <v>-342.77960708059828</v>
      </c>
    </row>
    <row r="1929" spans="1:11">
      <c r="A1929" s="26">
        <v>1879</v>
      </c>
      <c r="B1929" s="82">
        <f t="shared" si="238"/>
        <v>0</v>
      </c>
      <c r="C1929" s="58">
        <f t="shared" si="234"/>
        <v>156.29037528357509</v>
      </c>
      <c r="D1929" s="83">
        <f t="shared" si="239"/>
        <v>666.66666666666663</v>
      </c>
      <c r="E1929">
        <f t="shared" si="235"/>
        <v>0</v>
      </c>
      <c r="G1929">
        <v>1879</v>
      </c>
      <c r="H1929" s="13">
        <f t="shared" si="240"/>
        <v>-7.7831728503952036E-4</v>
      </c>
      <c r="I1929">
        <f t="shared" si="241"/>
        <v>154.82791710498583</v>
      </c>
      <c r="J1929">
        <f t="shared" si="236"/>
        <v>663.63396761523836</v>
      </c>
      <c r="K1929" s="27">
        <f t="shared" si="237"/>
        <v>-342.77789079487974</v>
      </c>
    </row>
    <row r="1930" spans="1:11">
      <c r="A1930" s="26">
        <v>1880</v>
      </c>
      <c r="B1930" s="82">
        <f t="shared" si="238"/>
        <v>0</v>
      </c>
      <c r="C1930" s="58">
        <f t="shared" si="234"/>
        <v>156.29037528357509</v>
      </c>
      <c r="D1930" s="83">
        <f t="shared" si="239"/>
        <v>666.66666666666663</v>
      </c>
      <c r="E1930">
        <f t="shared" si="235"/>
        <v>0</v>
      </c>
      <c r="G1930">
        <v>1880</v>
      </c>
      <c r="H1930" s="13">
        <f t="shared" si="240"/>
        <v>-7.7831728503952036E-4</v>
      </c>
      <c r="I1930">
        <f t="shared" si="241"/>
        <v>154.82713878770079</v>
      </c>
      <c r="J1930">
        <f t="shared" si="236"/>
        <v>663.63230618839032</v>
      </c>
      <c r="K1930" s="27">
        <f t="shared" si="237"/>
        <v>-342.77617445881174</v>
      </c>
    </row>
    <row r="1931" spans="1:11">
      <c r="A1931" s="26">
        <v>1881</v>
      </c>
      <c r="B1931" s="82">
        <f t="shared" si="238"/>
        <v>0</v>
      </c>
      <c r="C1931" s="58">
        <f t="shared" si="234"/>
        <v>156.29037528357509</v>
      </c>
      <c r="D1931" s="83">
        <f t="shared" si="239"/>
        <v>666.66666666666663</v>
      </c>
      <c r="E1931">
        <f t="shared" si="235"/>
        <v>0</v>
      </c>
      <c r="G1931">
        <v>1881</v>
      </c>
      <c r="H1931" s="13">
        <f t="shared" si="240"/>
        <v>-7.7831728503952036E-4</v>
      </c>
      <c r="I1931">
        <f t="shared" si="241"/>
        <v>154.82636047041575</v>
      </c>
      <c r="J1931">
        <f t="shared" si="236"/>
        <v>663.63064470864151</v>
      </c>
      <c r="K1931" s="27">
        <f t="shared" si="237"/>
        <v>-342.77445807239064</v>
      </c>
    </row>
    <row r="1932" spans="1:11">
      <c r="A1932" s="26">
        <v>1882</v>
      </c>
      <c r="B1932" s="82">
        <f t="shared" si="238"/>
        <v>0</v>
      </c>
      <c r="C1932" s="58">
        <f t="shared" si="234"/>
        <v>156.29037528357509</v>
      </c>
      <c r="D1932" s="83">
        <f t="shared" si="239"/>
        <v>666.66666666666663</v>
      </c>
      <c r="E1932">
        <f t="shared" si="235"/>
        <v>0</v>
      </c>
      <c r="G1932">
        <v>1882</v>
      </c>
      <c r="H1932" s="13">
        <f t="shared" si="240"/>
        <v>-7.7831728503952036E-4</v>
      </c>
      <c r="I1932">
        <f t="shared" si="241"/>
        <v>154.82558215313071</v>
      </c>
      <c r="J1932">
        <f t="shared" si="236"/>
        <v>663.62898317598774</v>
      </c>
      <c r="K1932" s="27">
        <f t="shared" si="237"/>
        <v>-342.77274163561225</v>
      </c>
    </row>
    <row r="1933" spans="1:11">
      <c r="A1933" s="26">
        <v>1883</v>
      </c>
      <c r="B1933" s="82">
        <f t="shared" si="238"/>
        <v>0</v>
      </c>
      <c r="C1933" s="58">
        <f t="shared" si="234"/>
        <v>156.29037528357509</v>
      </c>
      <c r="D1933" s="83">
        <f t="shared" si="239"/>
        <v>666.66666666666663</v>
      </c>
      <c r="E1933">
        <f t="shared" si="235"/>
        <v>0</v>
      </c>
      <c r="G1933">
        <v>1883</v>
      </c>
      <c r="H1933" s="13">
        <f t="shared" si="240"/>
        <v>-7.7831728503952036E-4</v>
      </c>
      <c r="I1933">
        <f t="shared" si="241"/>
        <v>154.82480383584567</v>
      </c>
      <c r="J1933">
        <f t="shared" si="236"/>
        <v>663.62732159042469</v>
      </c>
      <c r="K1933" s="27">
        <f t="shared" si="237"/>
        <v>-342.77102514847275</v>
      </c>
    </row>
    <row r="1934" spans="1:11">
      <c r="A1934" s="26">
        <v>1884</v>
      </c>
      <c r="B1934" s="82">
        <f t="shared" si="238"/>
        <v>0</v>
      </c>
      <c r="C1934" s="58">
        <f t="shared" si="234"/>
        <v>156.29037528357509</v>
      </c>
      <c r="D1934" s="83">
        <f t="shared" si="239"/>
        <v>666.66666666666663</v>
      </c>
      <c r="E1934">
        <f t="shared" si="235"/>
        <v>0</v>
      </c>
      <c r="G1934">
        <v>1884</v>
      </c>
      <c r="H1934" s="13">
        <f t="shared" si="240"/>
        <v>-7.7831728503952036E-4</v>
      </c>
      <c r="I1934">
        <f t="shared" si="241"/>
        <v>154.82402551856063</v>
      </c>
      <c r="J1934">
        <f t="shared" si="236"/>
        <v>663.62565995194836</v>
      </c>
      <c r="K1934" s="27">
        <f t="shared" si="237"/>
        <v>-342.76930861096838</v>
      </c>
    </row>
    <row r="1935" spans="1:11">
      <c r="A1935" s="26">
        <v>1885</v>
      </c>
      <c r="B1935" s="82">
        <f t="shared" si="238"/>
        <v>0</v>
      </c>
      <c r="C1935" s="58">
        <f t="shared" si="234"/>
        <v>156.29037528357509</v>
      </c>
      <c r="D1935" s="83">
        <f t="shared" si="239"/>
        <v>666.66666666666663</v>
      </c>
      <c r="E1935">
        <f t="shared" si="235"/>
        <v>0</v>
      </c>
      <c r="G1935">
        <v>1885</v>
      </c>
      <c r="H1935" s="13">
        <f t="shared" si="240"/>
        <v>-7.7831728503952036E-4</v>
      </c>
      <c r="I1935">
        <f t="shared" si="241"/>
        <v>154.82324720127559</v>
      </c>
      <c r="J1935">
        <f t="shared" si="236"/>
        <v>663.62399826055457</v>
      </c>
      <c r="K1935" s="27">
        <f t="shared" si="237"/>
        <v>-342.76759202309518</v>
      </c>
    </row>
    <row r="1936" spans="1:11">
      <c r="A1936" s="26">
        <v>1886</v>
      </c>
      <c r="B1936" s="82">
        <f t="shared" si="238"/>
        <v>0</v>
      </c>
      <c r="C1936" s="58">
        <f t="shared" ref="C1936:C1999" si="242">($C$37-$C$36)/2000+C1935</f>
        <v>156.29037528357509</v>
      </c>
      <c r="D1936" s="83">
        <f t="shared" si="239"/>
        <v>666.66666666666663</v>
      </c>
      <c r="E1936">
        <f t="shared" si="235"/>
        <v>0</v>
      </c>
      <c r="G1936">
        <v>1886</v>
      </c>
      <c r="H1936" s="13">
        <f t="shared" si="240"/>
        <v>-7.7831728503952036E-4</v>
      </c>
      <c r="I1936">
        <f t="shared" si="241"/>
        <v>154.82246888399055</v>
      </c>
      <c r="J1936">
        <f t="shared" si="236"/>
        <v>663.62233651623922</v>
      </c>
      <c r="K1936" s="27">
        <f t="shared" si="237"/>
        <v>-342.76587538484932</v>
      </c>
    </row>
    <row r="1937" spans="1:11">
      <c r="A1937" s="26">
        <v>1887</v>
      </c>
      <c r="B1937" s="82">
        <f t="shared" si="238"/>
        <v>0</v>
      </c>
      <c r="C1937" s="58">
        <f t="shared" si="242"/>
        <v>156.29037528357509</v>
      </c>
      <c r="D1937" s="83">
        <f t="shared" si="239"/>
        <v>666.66666666666663</v>
      </c>
      <c r="E1937">
        <f t="shared" si="235"/>
        <v>0</v>
      </c>
      <c r="G1937">
        <v>1887</v>
      </c>
      <c r="H1937" s="13">
        <f t="shared" si="240"/>
        <v>-7.7831728503952036E-4</v>
      </c>
      <c r="I1937">
        <f t="shared" si="241"/>
        <v>154.82169056670551</v>
      </c>
      <c r="J1937">
        <f t="shared" si="236"/>
        <v>663.62067471899809</v>
      </c>
      <c r="K1937" s="27">
        <f t="shared" si="237"/>
        <v>-342.76415869622701</v>
      </c>
    </row>
    <row r="1938" spans="1:11">
      <c r="A1938" s="26">
        <v>1888</v>
      </c>
      <c r="B1938" s="82">
        <f t="shared" si="238"/>
        <v>0</v>
      </c>
      <c r="C1938" s="58">
        <f t="shared" si="242"/>
        <v>156.29037528357509</v>
      </c>
      <c r="D1938" s="83">
        <f t="shared" si="239"/>
        <v>666.66666666666663</v>
      </c>
      <c r="E1938">
        <f t="shared" si="235"/>
        <v>0</v>
      </c>
      <c r="G1938">
        <v>1888</v>
      </c>
      <c r="H1938" s="13">
        <f t="shared" si="240"/>
        <v>-7.7831728503952036E-4</v>
      </c>
      <c r="I1938">
        <f t="shared" si="241"/>
        <v>154.82091224942047</v>
      </c>
      <c r="J1938">
        <f t="shared" si="236"/>
        <v>663.6190128688271</v>
      </c>
      <c r="K1938" s="27">
        <f t="shared" si="237"/>
        <v>-342.76244195722415</v>
      </c>
    </row>
    <row r="1939" spans="1:11">
      <c r="A1939" s="26">
        <v>1889</v>
      </c>
      <c r="B1939" s="82">
        <f t="shared" si="238"/>
        <v>0</v>
      </c>
      <c r="C1939" s="58">
        <f t="shared" si="242"/>
        <v>156.29037528357509</v>
      </c>
      <c r="D1939" s="83">
        <f t="shared" si="239"/>
        <v>666.66666666666663</v>
      </c>
      <c r="E1939">
        <f t="shared" si="235"/>
        <v>0</v>
      </c>
      <c r="G1939">
        <v>1889</v>
      </c>
      <c r="H1939" s="13">
        <f t="shared" si="240"/>
        <v>-7.7831728503952036E-4</v>
      </c>
      <c r="I1939">
        <f t="shared" si="241"/>
        <v>154.82013393213543</v>
      </c>
      <c r="J1939">
        <f t="shared" si="236"/>
        <v>663.61735096572204</v>
      </c>
      <c r="K1939" s="27">
        <f t="shared" si="237"/>
        <v>-342.76072516783705</v>
      </c>
    </row>
    <row r="1940" spans="1:11">
      <c r="A1940" s="26">
        <v>1890</v>
      </c>
      <c r="B1940" s="82">
        <f t="shared" si="238"/>
        <v>0</v>
      </c>
      <c r="C1940" s="58">
        <f t="shared" si="242"/>
        <v>156.29037528357509</v>
      </c>
      <c r="D1940" s="83">
        <f t="shared" si="239"/>
        <v>666.66666666666663</v>
      </c>
      <c r="E1940">
        <f t="shared" si="235"/>
        <v>0</v>
      </c>
      <c r="G1940">
        <v>1890</v>
      </c>
      <c r="H1940" s="13">
        <f t="shared" si="240"/>
        <v>-7.7831728503952036E-4</v>
      </c>
      <c r="I1940">
        <f t="shared" si="241"/>
        <v>154.81935561485039</v>
      </c>
      <c r="J1940">
        <f t="shared" si="236"/>
        <v>663.61568900967882</v>
      </c>
      <c r="K1940" s="27">
        <f t="shared" si="237"/>
        <v>-342.75900832806178</v>
      </c>
    </row>
    <row r="1941" spans="1:11">
      <c r="A1941" s="26">
        <v>1891</v>
      </c>
      <c r="B1941" s="82">
        <f t="shared" si="238"/>
        <v>0</v>
      </c>
      <c r="C1941" s="58">
        <f t="shared" si="242"/>
        <v>156.29037528357509</v>
      </c>
      <c r="D1941" s="83">
        <f t="shared" si="239"/>
        <v>666.66666666666663</v>
      </c>
      <c r="E1941">
        <f t="shared" si="235"/>
        <v>0</v>
      </c>
      <c r="G1941">
        <v>1891</v>
      </c>
      <c r="H1941" s="13">
        <f t="shared" si="240"/>
        <v>-7.7831728503952036E-4</v>
      </c>
      <c r="I1941">
        <f t="shared" si="241"/>
        <v>154.81857729756535</v>
      </c>
      <c r="J1941">
        <f t="shared" si="236"/>
        <v>663.61402700069311</v>
      </c>
      <c r="K1941" s="27">
        <f t="shared" si="237"/>
        <v>-342.75729143789448</v>
      </c>
    </row>
    <row r="1942" spans="1:11">
      <c r="A1942" s="26">
        <v>1892</v>
      </c>
      <c r="B1942" s="82">
        <f t="shared" si="238"/>
        <v>0</v>
      </c>
      <c r="C1942" s="58">
        <f t="shared" si="242"/>
        <v>156.29037528357509</v>
      </c>
      <c r="D1942" s="83">
        <f t="shared" si="239"/>
        <v>666.66666666666663</v>
      </c>
      <c r="E1942">
        <f t="shared" si="235"/>
        <v>0</v>
      </c>
      <c r="G1942">
        <v>1892</v>
      </c>
      <c r="H1942" s="13">
        <f t="shared" si="240"/>
        <v>-7.7831728503952036E-4</v>
      </c>
      <c r="I1942">
        <f t="shared" si="241"/>
        <v>154.81779898028032</v>
      </c>
      <c r="J1942">
        <f t="shared" si="236"/>
        <v>663.61236493876106</v>
      </c>
      <c r="K1942" s="27">
        <f t="shared" si="237"/>
        <v>-342.75557449733128</v>
      </c>
    </row>
    <row r="1943" spans="1:11">
      <c r="A1943" s="26">
        <v>1893</v>
      </c>
      <c r="B1943" s="82">
        <f t="shared" si="238"/>
        <v>0</v>
      </c>
      <c r="C1943" s="58">
        <f t="shared" si="242"/>
        <v>156.29037528357509</v>
      </c>
      <c r="D1943" s="83">
        <f t="shared" si="239"/>
        <v>666.66666666666663</v>
      </c>
      <c r="E1943">
        <f t="shared" si="235"/>
        <v>0</v>
      </c>
      <c r="G1943">
        <v>1893</v>
      </c>
      <c r="H1943" s="13">
        <f t="shared" si="240"/>
        <v>-7.7831728503952036E-4</v>
      </c>
      <c r="I1943">
        <f t="shared" si="241"/>
        <v>154.81702066299528</v>
      </c>
      <c r="J1943">
        <f t="shared" si="236"/>
        <v>663.61070282387834</v>
      </c>
      <c r="K1943" s="27">
        <f t="shared" si="237"/>
        <v>-342.75385750636821</v>
      </c>
    </row>
    <row r="1944" spans="1:11">
      <c r="A1944" s="26">
        <v>1894</v>
      </c>
      <c r="B1944" s="82">
        <f t="shared" si="238"/>
        <v>0</v>
      </c>
      <c r="C1944" s="58">
        <f t="shared" si="242"/>
        <v>156.29037528357509</v>
      </c>
      <c r="D1944" s="83">
        <f t="shared" si="239"/>
        <v>666.66666666666663</v>
      </c>
      <c r="E1944">
        <f t="shared" si="235"/>
        <v>0</v>
      </c>
      <c r="G1944">
        <v>1894</v>
      </c>
      <c r="H1944" s="13">
        <f t="shared" si="240"/>
        <v>-7.7831728503952036E-4</v>
      </c>
      <c r="I1944">
        <f t="shared" si="241"/>
        <v>154.81624234571024</v>
      </c>
      <c r="J1944">
        <f t="shared" si="236"/>
        <v>663.60904065604075</v>
      </c>
      <c r="K1944" s="27">
        <f t="shared" si="237"/>
        <v>-342.7521404650015</v>
      </c>
    </row>
    <row r="1945" spans="1:11">
      <c r="A1945" s="26">
        <v>1895</v>
      </c>
      <c r="B1945" s="82">
        <f t="shared" si="238"/>
        <v>0</v>
      </c>
      <c r="C1945" s="58">
        <f t="shared" si="242"/>
        <v>156.29037528357509</v>
      </c>
      <c r="D1945" s="83">
        <f t="shared" si="239"/>
        <v>666.66666666666663</v>
      </c>
      <c r="E1945">
        <f t="shared" si="235"/>
        <v>0</v>
      </c>
      <c r="G1945">
        <v>1895</v>
      </c>
      <c r="H1945" s="13">
        <f t="shared" si="240"/>
        <v>-7.7831728503952036E-4</v>
      </c>
      <c r="I1945">
        <f t="shared" si="241"/>
        <v>154.8154640284252</v>
      </c>
      <c r="J1945">
        <f t="shared" si="236"/>
        <v>663.6073784352443</v>
      </c>
      <c r="K1945" s="27">
        <f t="shared" si="237"/>
        <v>-342.75042337322731</v>
      </c>
    </row>
    <row r="1946" spans="1:11">
      <c r="A1946" s="26">
        <v>1896</v>
      </c>
      <c r="B1946" s="82">
        <f t="shared" si="238"/>
        <v>0</v>
      </c>
      <c r="C1946" s="58">
        <f t="shared" si="242"/>
        <v>156.29037528357509</v>
      </c>
      <c r="D1946" s="83">
        <f t="shared" si="239"/>
        <v>666.66666666666663</v>
      </c>
      <c r="E1946">
        <f t="shared" si="235"/>
        <v>0</v>
      </c>
      <c r="G1946">
        <v>1896</v>
      </c>
      <c r="H1946" s="13">
        <f t="shared" si="240"/>
        <v>-7.7831728503952036E-4</v>
      </c>
      <c r="I1946">
        <f t="shared" si="241"/>
        <v>154.81468571114016</v>
      </c>
      <c r="J1946">
        <f t="shared" si="236"/>
        <v>663.60571616148468</v>
      </c>
      <c r="K1946" s="27">
        <f t="shared" si="237"/>
        <v>-342.74870623104169</v>
      </c>
    </row>
    <row r="1947" spans="1:11">
      <c r="A1947" s="26">
        <v>1897</v>
      </c>
      <c r="B1947" s="82">
        <f t="shared" si="238"/>
        <v>0</v>
      </c>
      <c r="C1947" s="58">
        <f t="shared" si="242"/>
        <v>156.29037528357509</v>
      </c>
      <c r="D1947" s="83">
        <f t="shared" si="239"/>
        <v>666.66666666666663</v>
      </c>
      <c r="E1947">
        <f t="shared" si="235"/>
        <v>0</v>
      </c>
      <c r="G1947">
        <v>1897</v>
      </c>
      <c r="H1947" s="13">
        <f t="shared" si="240"/>
        <v>-7.7831728503952036E-4</v>
      </c>
      <c r="I1947">
        <f t="shared" si="241"/>
        <v>154.81390739385512</v>
      </c>
      <c r="J1947">
        <f t="shared" si="236"/>
        <v>663.60405383475791</v>
      </c>
      <c r="K1947" s="27">
        <f t="shared" si="237"/>
        <v>-342.74698903844069</v>
      </c>
    </row>
    <row r="1948" spans="1:11">
      <c r="A1948" s="26">
        <v>1898</v>
      </c>
      <c r="B1948" s="82">
        <f t="shared" si="238"/>
        <v>0</v>
      </c>
      <c r="C1948" s="58">
        <f t="shared" si="242"/>
        <v>156.29037528357509</v>
      </c>
      <c r="D1948" s="83">
        <f t="shared" si="239"/>
        <v>666.66666666666663</v>
      </c>
      <c r="E1948">
        <f t="shared" si="235"/>
        <v>0</v>
      </c>
      <c r="G1948">
        <v>1898</v>
      </c>
      <c r="H1948" s="13">
        <f t="shared" si="240"/>
        <v>-7.7831728503952036E-4</v>
      </c>
      <c r="I1948">
        <f t="shared" si="241"/>
        <v>154.81312907657008</v>
      </c>
      <c r="J1948">
        <f t="shared" si="236"/>
        <v>663.60239145505966</v>
      </c>
      <c r="K1948" s="27">
        <f t="shared" si="237"/>
        <v>-342.74527179542048</v>
      </c>
    </row>
    <row r="1949" spans="1:11">
      <c r="A1949" s="26">
        <v>1899</v>
      </c>
      <c r="B1949" s="82">
        <f t="shared" si="238"/>
        <v>0</v>
      </c>
      <c r="C1949" s="58">
        <f t="shared" si="242"/>
        <v>156.29037528357509</v>
      </c>
      <c r="D1949" s="83">
        <f t="shared" si="239"/>
        <v>666.66666666666663</v>
      </c>
      <c r="E1949">
        <f t="shared" si="235"/>
        <v>0</v>
      </c>
      <c r="G1949">
        <v>1899</v>
      </c>
      <c r="H1949" s="13">
        <f t="shared" si="240"/>
        <v>-7.7831728503952036E-4</v>
      </c>
      <c r="I1949">
        <f t="shared" si="241"/>
        <v>154.81235075928504</v>
      </c>
      <c r="J1949">
        <f t="shared" si="236"/>
        <v>663.60072902238585</v>
      </c>
      <c r="K1949" s="27">
        <f t="shared" si="237"/>
        <v>-342.74355450197731</v>
      </c>
    </row>
    <row r="1950" spans="1:11">
      <c r="A1950" s="26">
        <v>1900</v>
      </c>
      <c r="B1950" s="82">
        <f t="shared" si="238"/>
        <v>0</v>
      </c>
      <c r="C1950" s="58">
        <f t="shared" si="242"/>
        <v>156.29037528357509</v>
      </c>
      <c r="D1950" s="83">
        <f t="shared" si="239"/>
        <v>666.66666666666663</v>
      </c>
      <c r="E1950">
        <f t="shared" si="235"/>
        <v>0</v>
      </c>
      <c r="G1950">
        <v>1900</v>
      </c>
      <c r="H1950" s="13">
        <f t="shared" si="240"/>
        <v>-7.7831728503952036E-4</v>
      </c>
      <c r="I1950">
        <f t="shared" si="241"/>
        <v>154.811572442</v>
      </c>
      <c r="J1950">
        <f t="shared" si="236"/>
        <v>663.59906653673238</v>
      </c>
      <c r="K1950" s="27">
        <f t="shared" si="237"/>
        <v>-342.74183715810705</v>
      </c>
    </row>
    <row r="1951" spans="1:11">
      <c r="A1951" s="26">
        <v>1901</v>
      </c>
      <c r="B1951" s="82">
        <f t="shared" si="238"/>
        <v>0</v>
      </c>
      <c r="C1951" s="58">
        <f t="shared" si="242"/>
        <v>156.29037528357509</v>
      </c>
      <c r="D1951" s="83">
        <f t="shared" si="239"/>
        <v>666.66666666666663</v>
      </c>
      <c r="E1951">
        <f t="shared" si="235"/>
        <v>0</v>
      </c>
      <c r="G1951">
        <v>1901</v>
      </c>
      <c r="H1951" s="13">
        <f t="shared" si="240"/>
        <v>-7.7831728503952036E-4</v>
      </c>
      <c r="I1951">
        <f t="shared" si="241"/>
        <v>154.81079412471496</v>
      </c>
      <c r="J1951">
        <f t="shared" si="236"/>
        <v>663.59740399809493</v>
      </c>
      <c r="K1951" s="27">
        <f t="shared" si="237"/>
        <v>-342.74011976380615</v>
      </c>
    </row>
    <row r="1952" spans="1:11">
      <c r="A1952" s="26">
        <v>1902</v>
      </c>
      <c r="B1952" s="82">
        <f t="shared" si="238"/>
        <v>0</v>
      </c>
      <c r="C1952" s="58">
        <f t="shared" si="242"/>
        <v>156.29037528357509</v>
      </c>
      <c r="D1952" s="83">
        <f t="shared" si="239"/>
        <v>666.66666666666663</v>
      </c>
      <c r="E1952">
        <f t="shared" si="235"/>
        <v>0</v>
      </c>
      <c r="G1952">
        <v>1902</v>
      </c>
      <c r="H1952" s="13">
        <f t="shared" si="240"/>
        <v>-7.7831728503952036E-4</v>
      </c>
      <c r="I1952">
        <f t="shared" si="241"/>
        <v>154.81001580742992</v>
      </c>
      <c r="J1952">
        <f t="shared" si="236"/>
        <v>663.59574140646964</v>
      </c>
      <c r="K1952" s="27">
        <f t="shared" si="237"/>
        <v>-342.73840231907042</v>
      </c>
    </row>
    <row r="1953" spans="1:11">
      <c r="A1953" s="26">
        <v>1903</v>
      </c>
      <c r="B1953" s="82">
        <f t="shared" si="238"/>
        <v>0</v>
      </c>
      <c r="C1953" s="58">
        <f t="shared" si="242"/>
        <v>156.29037528357509</v>
      </c>
      <c r="D1953" s="83">
        <f t="shared" si="239"/>
        <v>666.66666666666663</v>
      </c>
      <c r="E1953">
        <f t="shared" si="235"/>
        <v>0</v>
      </c>
      <c r="G1953">
        <v>1903</v>
      </c>
      <c r="H1953" s="13">
        <f t="shared" si="240"/>
        <v>-7.7831728503952036E-4</v>
      </c>
      <c r="I1953">
        <f t="shared" si="241"/>
        <v>154.80923749014488</v>
      </c>
      <c r="J1953">
        <f t="shared" si="236"/>
        <v>663.59407876185196</v>
      </c>
      <c r="K1953" s="27">
        <f t="shared" si="237"/>
        <v>-342.73668482389604</v>
      </c>
    </row>
    <row r="1954" spans="1:11">
      <c r="A1954" s="26">
        <v>1904</v>
      </c>
      <c r="B1954" s="82">
        <f t="shared" si="238"/>
        <v>0</v>
      </c>
      <c r="C1954" s="58">
        <f t="shared" si="242"/>
        <v>156.29037528357509</v>
      </c>
      <c r="D1954" s="83">
        <f t="shared" si="239"/>
        <v>666.66666666666663</v>
      </c>
      <c r="E1954">
        <f t="shared" si="235"/>
        <v>0</v>
      </c>
      <c r="G1954">
        <v>1904</v>
      </c>
      <c r="H1954" s="13">
        <f t="shared" si="240"/>
        <v>-7.7831728503952036E-4</v>
      </c>
      <c r="I1954">
        <f t="shared" si="241"/>
        <v>154.80845917285984</v>
      </c>
      <c r="J1954">
        <f t="shared" si="236"/>
        <v>663.59241606423814</v>
      </c>
      <c r="K1954" s="27">
        <f t="shared" si="237"/>
        <v>-342.73496727827933</v>
      </c>
    </row>
    <row r="1955" spans="1:11">
      <c r="A1955" s="26">
        <v>1905</v>
      </c>
      <c r="B1955" s="82">
        <f t="shared" si="238"/>
        <v>0</v>
      </c>
      <c r="C1955" s="58">
        <f t="shared" si="242"/>
        <v>156.29037528357509</v>
      </c>
      <c r="D1955" s="83">
        <f t="shared" si="239"/>
        <v>666.66666666666663</v>
      </c>
      <c r="E1955">
        <f t="shared" si="235"/>
        <v>0</v>
      </c>
      <c r="G1955">
        <v>1905</v>
      </c>
      <c r="H1955" s="13">
        <f t="shared" si="240"/>
        <v>-7.7831728503952036E-4</v>
      </c>
      <c r="I1955">
        <f t="shared" si="241"/>
        <v>154.8076808555748</v>
      </c>
      <c r="J1955">
        <f t="shared" si="236"/>
        <v>663.59075331362374</v>
      </c>
      <c r="K1955" s="27">
        <f t="shared" si="237"/>
        <v>-342.73324968221624</v>
      </c>
    </row>
    <row r="1956" spans="1:11">
      <c r="A1956" s="26">
        <v>1906</v>
      </c>
      <c r="B1956" s="82">
        <f t="shared" si="238"/>
        <v>0</v>
      </c>
      <c r="C1956" s="58">
        <f t="shared" si="242"/>
        <v>156.29037528357509</v>
      </c>
      <c r="D1956" s="83">
        <f t="shared" si="239"/>
        <v>666.66666666666663</v>
      </c>
      <c r="E1956">
        <f t="shared" si="235"/>
        <v>0</v>
      </c>
      <c r="G1956">
        <v>1906</v>
      </c>
      <c r="H1956" s="13">
        <f t="shared" si="240"/>
        <v>-7.7831728503952036E-4</v>
      </c>
      <c r="I1956">
        <f t="shared" si="241"/>
        <v>154.80690253828976</v>
      </c>
      <c r="J1956">
        <f t="shared" si="236"/>
        <v>663.58909051000467</v>
      </c>
      <c r="K1956" s="27">
        <f t="shared" si="237"/>
        <v>-342.73153203570291</v>
      </c>
    </row>
    <row r="1957" spans="1:11">
      <c r="A1957" s="26">
        <v>1907</v>
      </c>
      <c r="B1957" s="82">
        <f t="shared" si="238"/>
        <v>0</v>
      </c>
      <c r="C1957" s="58">
        <f t="shared" si="242"/>
        <v>156.29037528357509</v>
      </c>
      <c r="D1957" s="83">
        <f t="shared" si="239"/>
        <v>666.66666666666663</v>
      </c>
      <c r="E1957">
        <f t="shared" si="235"/>
        <v>0</v>
      </c>
      <c r="G1957">
        <v>1907</v>
      </c>
      <c r="H1957" s="13">
        <f t="shared" si="240"/>
        <v>-7.7831728503952036E-4</v>
      </c>
      <c r="I1957">
        <f t="shared" si="241"/>
        <v>154.80612422100472</v>
      </c>
      <c r="J1957">
        <f t="shared" si="236"/>
        <v>663.58742765337684</v>
      </c>
      <c r="K1957" s="27">
        <f t="shared" si="237"/>
        <v>-342.72981433873537</v>
      </c>
    </row>
    <row r="1958" spans="1:11">
      <c r="A1958" s="26">
        <v>1908</v>
      </c>
      <c r="B1958" s="82">
        <f t="shared" si="238"/>
        <v>0</v>
      </c>
      <c r="C1958" s="58">
        <f t="shared" si="242"/>
        <v>156.29037528357509</v>
      </c>
      <c r="D1958" s="83">
        <f t="shared" si="239"/>
        <v>666.66666666666663</v>
      </c>
      <c r="E1958">
        <f t="shared" si="235"/>
        <v>0</v>
      </c>
      <c r="G1958">
        <v>1908</v>
      </c>
      <c r="H1958" s="13">
        <f t="shared" si="240"/>
        <v>-7.7831728503952036E-4</v>
      </c>
      <c r="I1958">
        <f t="shared" si="241"/>
        <v>154.80534590371968</v>
      </c>
      <c r="J1958">
        <f t="shared" si="236"/>
        <v>663.58576474373604</v>
      </c>
      <c r="K1958" s="27">
        <f t="shared" si="237"/>
        <v>-342.72809659130991</v>
      </c>
    </row>
    <row r="1959" spans="1:11">
      <c r="A1959" s="26">
        <v>1909</v>
      </c>
      <c r="B1959" s="82">
        <f t="shared" si="238"/>
        <v>0</v>
      </c>
      <c r="C1959" s="58">
        <f t="shared" si="242"/>
        <v>156.29037528357509</v>
      </c>
      <c r="D1959" s="83">
        <f t="shared" si="239"/>
        <v>666.66666666666663</v>
      </c>
      <c r="E1959">
        <f t="shared" si="235"/>
        <v>0</v>
      </c>
      <c r="G1959">
        <v>1909</v>
      </c>
      <c r="H1959" s="13">
        <f t="shared" si="240"/>
        <v>-7.7831728503952036E-4</v>
      </c>
      <c r="I1959">
        <f t="shared" si="241"/>
        <v>154.80456758643464</v>
      </c>
      <c r="J1959">
        <f t="shared" si="236"/>
        <v>663.58410178107806</v>
      </c>
      <c r="K1959" s="27">
        <f t="shared" si="237"/>
        <v>-342.7263787934225</v>
      </c>
    </row>
    <row r="1960" spans="1:11">
      <c r="A1960" s="26">
        <v>1910</v>
      </c>
      <c r="B1960" s="82">
        <f t="shared" si="238"/>
        <v>0</v>
      </c>
      <c r="C1960" s="58">
        <f t="shared" si="242"/>
        <v>156.29037528357509</v>
      </c>
      <c r="D1960" s="83">
        <f t="shared" si="239"/>
        <v>666.66666666666663</v>
      </c>
      <c r="E1960">
        <f t="shared" si="235"/>
        <v>0</v>
      </c>
      <c r="G1960">
        <v>1910</v>
      </c>
      <c r="H1960" s="13">
        <f t="shared" si="240"/>
        <v>-7.7831728503952036E-4</v>
      </c>
      <c r="I1960">
        <f t="shared" si="241"/>
        <v>154.8037892691496</v>
      </c>
      <c r="J1960">
        <f t="shared" si="236"/>
        <v>663.58243876539882</v>
      </c>
      <c r="K1960" s="27">
        <f t="shared" si="237"/>
        <v>-342.72466094506945</v>
      </c>
    </row>
    <row r="1961" spans="1:11">
      <c r="A1961" s="26">
        <v>1911</v>
      </c>
      <c r="B1961" s="82">
        <f t="shared" si="238"/>
        <v>0</v>
      </c>
      <c r="C1961" s="58">
        <f t="shared" si="242"/>
        <v>156.29037528357509</v>
      </c>
      <c r="D1961" s="83">
        <f t="shared" si="239"/>
        <v>666.66666666666663</v>
      </c>
      <c r="E1961">
        <f t="shared" si="235"/>
        <v>0</v>
      </c>
      <c r="G1961">
        <v>1911</v>
      </c>
      <c r="H1961" s="13">
        <f t="shared" si="240"/>
        <v>-7.7831728503952036E-4</v>
      </c>
      <c r="I1961">
        <f t="shared" si="241"/>
        <v>154.80301095186456</v>
      </c>
      <c r="J1961">
        <f t="shared" si="236"/>
        <v>663.58077569669422</v>
      </c>
      <c r="K1961" s="27">
        <f t="shared" si="237"/>
        <v>-342.7229430462466</v>
      </c>
    </row>
    <row r="1962" spans="1:11">
      <c r="A1962" s="26">
        <v>1912</v>
      </c>
      <c r="B1962" s="82">
        <f t="shared" si="238"/>
        <v>0</v>
      </c>
      <c r="C1962" s="58">
        <f t="shared" si="242"/>
        <v>156.29037528357509</v>
      </c>
      <c r="D1962" s="83">
        <f t="shared" si="239"/>
        <v>666.66666666666663</v>
      </c>
      <c r="E1962">
        <f t="shared" si="235"/>
        <v>0</v>
      </c>
      <c r="G1962">
        <v>1912</v>
      </c>
      <c r="H1962" s="13">
        <f t="shared" si="240"/>
        <v>-7.7831728503952036E-4</v>
      </c>
      <c r="I1962">
        <f t="shared" si="241"/>
        <v>154.80223263457952</v>
      </c>
      <c r="J1962">
        <f t="shared" si="236"/>
        <v>663.57911257495982</v>
      </c>
      <c r="K1962" s="27">
        <f t="shared" si="237"/>
        <v>-342.72122509695015</v>
      </c>
    </row>
    <row r="1963" spans="1:11">
      <c r="A1963" s="26">
        <v>1913</v>
      </c>
      <c r="B1963" s="82">
        <f t="shared" si="238"/>
        <v>0</v>
      </c>
      <c r="C1963" s="58">
        <f t="shared" si="242"/>
        <v>156.29037528357509</v>
      </c>
      <c r="D1963" s="83">
        <f t="shared" si="239"/>
        <v>666.66666666666663</v>
      </c>
      <c r="E1963">
        <f t="shared" si="235"/>
        <v>0</v>
      </c>
      <c r="G1963">
        <v>1913</v>
      </c>
      <c r="H1963" s="13">
        <f t="shared" si="240"/>
        <v>-7.7831728503952036E-4</v>
      </c>
      <c r="I1963">
        <f t="shared" si="241"/>
        <v>154.80145431729449</v>
      </c>
      <c r="J1963">
        <f t="shared" si="236"/>
        <v>663.57744940019177</v>
      </c>
      <c r="K1963" s="27">
        <f t="shared" si="237"/>
        <v>-342.71950709717635</v>
      </c>
    </row>
    <row r="1964" spans="1:11">
      <c r="A1964" s="26">
        <v>1914</v>
      </c>
      <c r="B1964" s="82">
        <f t="shared" si="238"/>
        <v>0</v>
      </c>
      <c r="C1964" s="58">
        <f t="shared" si="242"/>
        <v>156.29037528357509</v>
      </c>
      <c r="D1964" s="83">
        <f t="shared" si="239"/>
        <v>666.66666666666663</v>
      </c>
      <c r="E1964">
        <f t="shared" si="235"/>
        <v>0</v>
      </c>
      <c r="G1964">
        <v>1914</v>
      </c>
      <c r="H1964" s="13">
        <f t="shared" si="240"/>
        <v>-7.7831728503952036E-4</v>
      </c>
      <c r="I1964">
        <f t="shared" si="241"/>
        <v>154.80067600000945</v>
      </c>
      <c r="J1964">
        <f t="shared" si="236"/>
        <v>663.57578617238585</v>
      </c>
      <c r="K1964" s="27">
        <f t="shared" si="237"/>
        <v>-342.71778904692127</v>
      </c>
    </row>
    <row r="1965" spans="1:11">
      <c r="A1965" s="26">
        <v>1915</v>
      </c>
      <c r="B1965" s="82">
        <f t="shared" si="238"/>
        <v>0</v>
      </c>
      <c r="C1965" s="58">
        <f t="shared" si="242"/>
        <v>156.29037528357509</v>
      </c>
      <c r="D1965" s="83">
        <f t="shared" si="239"/>
        <v>666.66666666666663</v>
      </c>
      <c r="E1965">
        <f t="shared" si="235"/>
        <v>0</v>
      </c>
      <c r="G1965">
        <v>1915</v>
      </c>
      <c r="H1965" s="13">
        <f t="shared" si="240"/>
        <v>-7.7831728503952036E-4</v>
      </c>
      <c r="I1965">
        <f t="shared" si="241"/>
        <v>154.79989768272441</v>
      </c>
      <c r="J1965">
        <f t="shared" si="236"/>
        <v>663.57412289153774</v>
      </c>
      <c r="K1965" s="27">
        <f t="shared" si="237"/>
        <v>-342.71607094618088</v>
      </c>
    </row>
    <row r="1966" spans="1:11">
      <c r="A1966" s="26">
        <v>1916</v>
      </c>
      <c r="B1966" s="82">
        <f t="shared" si="238"/>
        <v>0</v>
      </c>
      <c r="C1966" s="58">
        <f t="shared" si="242"/>
        <v>156.29037528357509</v>
      </c>
      <c r="D1966" s="83">
        <f t="shared" si="239"/>
        <v>666.66666666666663</v>
      </c>
      <c r="E1966">
        <f t="shared" si="235"/>
        <v>0</v>
      </c>
      <c r="G1966">
        <v>1916</v>
      </c>
      <c r="H1966" s="13">
        <f t="shared" si="240"/>
        <v>-7.7831728503952036E-4</v>
      </c>
      <c r="I1966">
        <f t="shared" si="241"/>
        <v>154.79911936543937</v>
      </c>
      <c r="J1966">
        <f t="shared" si="236"/>
        <v>663.57245955764347</v>
      </c>
      <c r="K1966" s="27">
        <f t="shared" si="237"/>
        <v>-342.71435279495154</v>
      </c>
    </row>
    <row r="1967" spans="1:11">
      <c r="A1967" s="26">
        <v>1917</v>
      </c>
      <c r="B1967" s="82">
        <f t="shared" si="238"/>
        <v>0</v>
      </c>
      <c r="C1967" s="58">
        <f t="shared" si="242"/>
        <v>156.29037528357509</v>
      </c>
      <c r="D1967" s="83">
        <f t="shared" si="239"/>
        <v>666.66666666666663</v>
      </c>
      <c r="E1967">
        <f t="shared" si="235"/>
        <v>0</v>
      </c>
      <c r="G1967">
        <v>1917</v>
      </c>
      <c r="H1967" s="13">
        <f t="shared" si="240"/>
        <v>-7.7831728503952036E-4</v>
      </c>
      <c r="I1967">
        <f t="shared" si="241"/>
        <v>154.79834104815433</v>
      </c>
      <c r="J1967">
        <f t="shared" si="236"/>
        <v>663.57079617069871</v>
      </c>
      <c r="K1967" s="27">
        <f t="shared" si="237"/>
        <v>-342.7126345932291</v>
      </c>
    </row>
    <row r="1968" spans="1:11">
      <c r="A1968" s="26">
        <v>1918</v>
      </c>
      <c r="B1968" s="82">
        <f t="shared" si="238"/>
        <v>0</v>
      </c>
      <c r="C1968" s="58">
        <f t="shared" si="242"/>
        <v>156.29037528357509</v>
      </c>
      <c r="D1968" s="83">
        <f t="shared" si="239"/>
        <v>666.66666666666663</v>
      </c>
      <c r="E1968">
        <f t="shared" si="235"/>
        <v>0</v>
      </c>
      <c r="G1968">
        <v>1918</v>
      </c>
      <c r="H1968" s="13">
        <f t="shared" si="240"/>
        <v>-7.7831728503952036E-4</v>
      </c>
      <c r="I1968">
        <f t="shared" si="241"/>
        <v>154.79756273086929</v>
      </c>
      <c r="J1968">
        <f t="shared" si="236"/>
        <v>663.56913273069938</v>
      </c>
      <c r="K1968" s="27">
        <f t="shared" si="237"/>
        <v>-342.71091634100975</v>
      </c>
    </row>
    <row r="1969" spans="1:11">
      <c r="A1969" s="26">
        <v>1919</v>
      </c>
      <c r="B1969" s="82">
        <f t="shared" si="238"/>
        <v>0</v>
      </c>
      <c r="C1969" s="58">
        <f t="shared" si="242"/>
        <v>156.29037528357509</v>
      </c>
      <c r="D1969" s="83">
        <f t="shared" si="239"/>
        <v>666.66666666666663</v>
      </c>
      <c r="E1969">
        <f t="shared" si="235"/>
        <v>0</v>
      </c>
      <c r="G1969">
        <v>1919</v>
      </c>
      <c r="H1969" s="13">
        <f t="shared" si="240"/>
        <v>-7.7831728503952036E-4</v>
      </c>
      <c r="I1969">
        <f t="shared" si="241"/>
        <v>154.79678441358425</v>
      </c>
      <c r="J1969">
        <f t="shared" si="236"/>
        <v>663.56746923764126</v>
      </c>
      <c r="K1969" s="27">
        <f t="shared" si="237"/>
        <v>-342.70919803828968</v>
      </c>
    </row>
    <row r="1970" spans="1:11">
      <c r="A1970" s="26">
        <v>1920</v>
      </c>
      <c r="B1970" s="82">
        <f t="shared" si="238"/>
        <v>0</v>
      </c>
      <c r="C1970" s="58">
        <f t="shared" si="242"/>
        <v>156.29037528357509</v>
      </c>
      <c r="D1970" s="83">
        <f t="shared" si="239"/>
        <v>666.66666666666663</v>
      </c>
      <c r="E1970">
        <f t="shared" si="235"/>
        <v>0</v>
      </c>
      <c r="G1970">
        <v>1920</v>
      </c>
      <c r="H1970" s="13">
        <f t="shared" si="240"/>
        <v>-7.7831728503952036E-4</v>
      </c>
      <c r="I1970">
        <f t="shared" si="241"/>
        <v>154.79600609629921</v>
      </c>
      <c r="J1970">
        <f t="shared" si="236"/>
        <v>663.56580569152027</v>
      </c>
      <c r="K1970" s="27">
        <f t="shared" si="237"/>
        <v>-342.70747968506492</v>
      </c>
    </row>
    <row r="1971" spans="1:11">
      <c r="A1971" s="26">
        <v>1921</v>
      </c>
      <c r="B1971" s="82">
        <f t="shared" si="238"/>
        <v>0</v>
      </c>
      <c r="C1971" s="58">
        <f t="shared" si="242"/>
        <v>156.29037528357509</v>
      </c>
      <c r="D1971" s="83">
        <f t="shared" si="239"/>
        <v>666.66666666666663</v>
      </c>
      <c r="E1971">
        <f t="shared" ref="E1971:E2034" si="243">((D1971^2)+(D1971*D1972)+(D1972^2))*B1972/3</f>
        <v>0</v>
      </c>
      <c r="G1971">
        <v>1921</v>
      </c>
      <c r="H1971" s="13">
        <f t="shared" si="240"/>
        <v>-7.7831728503952036E-4</v>
      </c>
      <c r="I1971">
        <f t="shared" si="241"/>
        <v>154.79522777901417</v>
      </c>
      <c r="J1971">
        <f t="shared" ref="J1971:J2034" si="244">IF($G$28&lt;$C$14,0,((($C$11^2)-((I1971-$C$13)^2))^0.5)+$C$16)</f>
        <v>663.56414209233219</v>
      </c>
      <c r="K1971" s="27">
        <f t="shared" ref="K1971:K2034" si="245">((J1971^2)+(J1971*J1972)+(J1972^2))*H1972/3</f>
        <v>-342.7057612813316</v>
      </c>
    </row>
    <row r="1972" spans="1:11">
      <c r="A1972" s="26">
        <v>1922</v>
      </c>
      <c r="B1972" s="82">
        <f t="shared" ref="B1972:B2035" si="246">C1972-C1971</f>
        <v>0</v>
      </c>
      <c r="C1972" s="58">
        <f t="shared" si="242"/>
        <v>156.29037528357509</v>
      </c>
      <c r="D1972" s="83">
        <f t="shared" ref="D1972:D2035" si="247">IF($G$28&lt;$C$14,0,((($C$11^2)-((C1972-$C$13)^2))^0.5)+$C$16)</f>
        <v>666.66666666666663</v>
      </c>
      <c r="E1972">
        <f t="shared" si="243"/>
        <v>0</v>
      </c>
      <c r="G1972">
        <v>1922</v>
      </c>
      <c r="H1972" s="13">
        <f t="shared" ref="H1972:H2035" si="248">I1972-I1971</f>
        <v>-7.7831728503952036E-4</v>
      </c>
      <c r="I1972">
        <f t="shared" ref="I1972:I2035" si="249">($G$27-$C$14)/2000+I1971</f>
        <v>154.79444946172913</v>
      </c>
      <c r="J1972">
        <f t="shared" si="244"/>
        <v>663.56247844007294</v>
      </c>
      <c r="K1972" s="27">
        <f t="shared" si="245"/>
        <v>-342.70404282708597</v>
      </c>
    </row>
    <row r="1973" spans="1:11">
      <c r="A1973" s="26">
        <v>1923</v>
      </c>
      <c r="B1973" s="82">
        <f t="shared" si="246"/>
        <v>0</v>
      </c>
      <c r="C1973" s="58">
        <f t="shared" si="242"/>
        <v>156.29037528357509</v>
      </c>
      <c r="D1973" s="83">
        <f t="shared" si="247"/>
        <v>666.66666666666663</v>
      </c>
      <c r="E1973">
        <f t="shared" si="243"/>
        <v>0</v>
      </c>
      <c r="G1973">
        <v>1923</v>
      </c>
      <c r="H1973" s="13">
        <f t="shared" si="248"/>
        <v>-7.7831728503952036E-4</v>
      </c>
      <c r="I1973">
        <f t="shared" si="249"/>
        <v>154.79367114444409</v>
      </c>
      <c r="J1973">
        <f t="shared" si="244"/>
        <v>663.56081473473819</v>
      </c>
      <c r="K1973" s="27">
        <f t="shared" si="245"/>
        <v>-342.70232432232388</v>
      </c>
    </row>
    <row r="1974" spans="1:11">
      <c r="A1974" s="26">
        <v>1924</v>
      </c>
      <c r="B1974" s="82">
        <f t="shared" si="246"/>
        <v>0</v>
      </c>
      <c r="C1974" s="58">
        <f t="shared" si="242"/>
        <v>156.29037528357509</v>
      </c>
      <c r="D1974" s="83">
        <f t="shared" si="247"/>
        <v>666.66666666666663</v>
      </c>
      <c r="E1974">
        <f t="shared" si="243"/>
        <v>0</v>
      </c>
      <c r="G1974">
        <v>1924</v>
      </c>
      <c r="H1974" s="13">
        <f t="shared" si="248"/>
        <v>-7.7831728503952036E-4</v>
      </c>
      <c r="I1974">
        <f t="shared" si="249"/>
        <v>154.79289282715905</v>
      </c>
      <c r="J1974">
        <f t="shared" si="244"/>
        <v>663.55915097632385</v>
      </c>
      <c r="K1974" s="27">
        <f t="shared" si="245"/>
        <v>-342.70060576704145</v>
      </c>
    </row>
    <row r="1975" spans="1:11">
      <c r="A1975" s="26">
        <v>1925</v>
      </c>
      <c r="B1975" s="82">
        <f t="shared" si="246"/>
        <v>0</v>
      </c>
      <c r="C1975" s="58">
        <f t="shared" si="242"/>
        <v>156.29037528357509</v>
      </c>
      <c r="D1975" s="83">
        <f t="shared" si="247"/>
        <v>666.66666666666663</v>
      </c>
      <c r="E1975">
        <f t="shared" si="243"/>
        <v>0</v>
      </c>
      <c r="G1975">
        <v>1925</v>
      </c>
      <c r="H1975" s="13">
        <f t="shared" si="248"/>
        <v>-7.7831728503952036E-4</v>
      </c>
      <c r="I1975">
        <f t="shared" si="249"/>
        <v>154.79211450987401</v>
      </c>
      <c r="J1975">
        <f t="shared" si="244"/>
        <v>663.55748716482572</v>
      </c>
      <c r="K1975" s="27">
        <f t="shared" si="245"/>
        <v>-342.69888716123506</v>
      </c>
    </row>
    <row r="1976" spans="1:11">
      <c r="A1976" s="26">
        <v>1926</v>
      </c>
      <c r="B1976" s="82">
        <f t="shared" si="246"/>
        <v>0</v>
      </c>
      <c r="C1976" s="58">
        <f t="shared" si="242"/>
        <v>156.29037528357509</v>
      </c>
      <c r="D1976" s="83">
        <f t="shared" si="247"/>
        <v>666.66666666666663</v>
      </c>
      <c r="E1976">
        <f t="shared" si="243"/>
        <v>0</v>
      </c>
      <c r="G1976">
        <v>1926</v>
      </c>
      <c r="H1976" s="13">
        <f t="shared" si="248"/>
        <v>-7.7831728503952036E-4</v>
      </c>
      <c r="I1976">
        <f t="shared" si="249"/>
        <v>154.79133619258897</v>
      </c>
      <c r="J1976">
        <f t="shared" si="244"/>
        <v>663.55582330023981</v>
      </c>
      <c r="K1976" s="27">
        <f t="shared" si="245"/>
        <v>-342.69716850490067</v>
      </c>
    </row>
    <row r="1977" spans="1:11">
      <c r="A1977" s="26">
        <v>1927</v>
      </c>
      <c r="B1977" s="82">
        <f t="shared" si="246"/>
        <v>0</v>
      </c>
      <c r="C1977" s="58">
        <f t="shared" si="242"/>
        <v>156.29037528357509</v>
      </c>
      <c r="D1977" s="83">
        <f t="shared" si="247"/>
        <v>666.66666666666663</v>
      </c>
      <c r="E1977">
        <f t="shared" si="243"/>
        <v>0</v>
      </c>
      <c r="G1977">
        <v>1927</v>
      </c>
      <c r="H1977" s="13">
        <f t="shared" si="248"/>
        <v>-7.7831728503952036E-4</v>
      </c>
      <c r="I1977">
        <f t="shared" si="249"/>
        <v>154.79055787530393</v>
      </c>
      <c r="J1977">
        <f t="shared" si="244"/>
        <v>663.55415938256169</v>
      </c>
      <c r="K1977" s="27">
        <f t="shared" si="245"/>
        <v>-342.69544979803436</v>
      </c>
    </row>
    <row r="1978" spans="1:11">
      <c r="A1978" s="26">
        <v>1928</v>
      </c>
      <c r="B1978" s="82">
        <f t="shared" si="246"/>
        <v>0</v>
      </c>
      <c r="C1978" s="58">
        <f t="shared" si="242"/>
        <v>156.29037528357509</v>
      </c>
      <c r="D1978" s="83">
        <f t="shared" si="247"/>
        <v>666.66666666666663</v>
      </c>
      <c r="E1978">
        <f t="shared" si="243"/>
        <v>0</v>
      </c>
      <c r="G1978">
        <v>1928</v>
      </c>
      <c r="H1978" s="13">
        <f t="shared" si="248"/>
        <v>-7.7831728503952036E-4</v>
      </c>
      <c r="I1978">
        <f t="shared" si="249"/>
        <v>154.78977955801889</v>
      </c>
      <c r="J1978">
        <f t="shared" si="244"/>
        <v>663.55249541178739</v>
      </c>
      <c r="K1978" s="27">
        <f t="shared" si="245"/>
        <v>-342.69373104063214</v>
      </c>
    </row>
    <row r="1979" spans="1:11">
      <c r="A1979" s="26">
        <v>1929</v>
      </c>
      <c r="B1979" s="82">
        <f t="shared" si="246"/>
        <v>0</v>
      </c>
      <c r="C1979" s="58">
        <f t="shared" si="242"/>
        <v>156.29037528357509</v>
      </c>
      <c r="D1979" s="83">
        <f t="shared" si="247"/>
        <v>666.66666666666663</v>
      </c>
      <c r="E1979">
        <f t="shared" si="243"/>
        <v>0</v>
      </c>
      <c r="G1979">
        <v>1929</v>
      </c>
      <c r="H1979" s="13">
        <f t="shared" si="248"/>
        <v>-7.7831728503952036E-4</v>
      </c>
      <c r="I1979">
        <f t="shared" si="249"/>
        <v>154.78900124073385</v>
      </c>
      <c r="J1979">
        <f t="shared" si="244"/>
        <v>663.55083138791258</v>
      </c>
      <c r="K1979" s="27">
        <f t="shared" si="245"/>
        <v>-342.69201223269027</v>
      </c>
    </row>
    <row r="1980" spans="1:11">
      <c r="A1980" s="26">
        <v>1930</v>
      </c>
      <c r="B1980" s="82">
        <f t="shared" si="246"/>
        <v>0</v>
      </c>
      <c r="C1980" s="58">
        <f t="shared" si="242"/>
        <v>156.29037528357509</v>
      </c>
      <c r="D1980" s="83">
        <f t="shared" si="247"/>
        <v>666.66666666666663</v>
      </c>
      <c r="E1980">
        <f t="shared" si="243"/>
        <v>0</v>
      </c>
      <c r="G1980">
        <v>1930</v>
      </c>
      <c r="H1980" s="13">
        <f t="shared" si="248"/>
        <v>-7.7831728503952036E-4</v>
      </c>
      <c r="I1980">
        <f t="shared" si="249"/>
        <v>154.78822292344881</v>
      </c>
      <c r="J1980">
        <f t="shared" si="244"/>
        <v>663.54916731093317</v>
      </c>
      <c r="K1980" s="27">
        <f t="shared" si="245"/>
        <v>-342.69029337420483</v>
      </c>
    </row>
    <row r="1981" spans="1:11">
      <c r="A1981" s="26">
        <v>1931</v>
      </c>
      <c r="B1981" s="82">
        <f t="shared" si="246"/>
        <v>0</v>
      </c>
      <c r="C1981" s="58">
        <f t="shared" si="242"/>
        <v>156.29037528357509</v>
      </c>
      <c r="D1981" s="83">
        <f t="shared" si="247"/>
        <v>666.66666666666663</v>
      </c>
      <c r="E1981">
        <f t="shared" si="243"/>
        <v>0</v>
      </c>
      <c r="G1981">
        <v>1931</v>
      </c>
      <c r="H1981" s="13">
        <f t="shared" si="248"/>
        <v>-7.7831728503952036E-4</v>
      </c>
      <c r="I1981">
        <f t="shared" si="249"/>
        <v>154.78744460616377</v>
      </c>
      <c r="J1981">
        <f t="shared" si="244"/>
        <v>663.54750318084507</v>
      </c>
      <c r="K1981" s="27">
        <f t="shared" si="245"/>
        <v>-342.68857446517194</v>
      </c>
    </row>
    <row r="1982" spans="1:11">
      <c r="A1982" s="26">
        <v>1932</v>
      </c>
      <c r="B1982" s="82">
        <f t="shared" si="246"/>
        <v>0</v>
      </c>
      <c r="C1982" s="58">
        <f t="shared" si="242"/>
        <v>156.29037528357509</v>
      </c>
      <c r="D1982" s="83">
        <f t="shared" si="247"/>
        <v>666.66666666666663</v>
      </c>
      <c r="E1982">
        <f t="shared" si="243"/>
        <v>0</v>
      </c>
      <c r="G1982">
        <v>1932</v>
      </c>
      <c r="H1982" s="13">
        <f t="shared" si="248"/>
        <v>-7.7831728503952036E-4</v>
      </c>
      <c r="I1982">
        <f t="shared" si="249"/>
        <v>154.78666628887873</v>
      </c>
      <c r="J1982">
        <f t="shared" si="244"/>
        <v>663.54583899764395</v>
      </c>
      <c r="K1982" s="27">
        <f t="shared" si="245"/>
        <v>-342.68685550558757</v>
      </c>
    </row>
    <row r="1983" spans="1:11">
      <c r="A1983" s="26">
        <v>1933</v>
      </c>
      <c r="B1983" s="82">
        <f t="shared" si="246"/>
        <v>0</v>
      </c>
      <c r="C1983" s="58">
        <f t="shared" si="242"/>
        <v>156.29037528357509</v>
      </c>
      <c r="D1983" s="83">
        <f t="shared" si="247"/>
        <v>666.66666666666663</v>
      </c>
      <c r="E1983">
        <f t="shared" si="243"/>
        <v>0</v>
      </c>
      <c r="G1983">
        <v>1933</v>
      </c>
      <c r="H1983" s="13">
        <f t="shared" si="248"/>
        <v>-7.7831728503952036E-4</v>
      </c>
      <c r="I1983">
        <f t="shared" si="249"/>
        <v>154.7858879715937</v>
      </c>
      <c r="J1983">
        <f t="shared" si="244"/>
        <v>663.54417476132573</v>
      </c>
      <c r="K1983" s="27">
        <f t="shared" si="245"/>
        <v>-342.68513649544792</v>
      </c>
    </row>
    <row r="1984" spans="1:11">
      <c r="A1984" s="26">
        <v>1934</v>
      </c>
      <c r="B1984" s="82">
        <f t="shared" si="246"/>
        <v>0</v>
      </c>
      <c r="C1984" s="58">
        <f t="shared" si="242"/>
        <v>156.29037528357509</v>
      </c>
      <c r="D1984" s="83">
        <f t="shared" si="247"/>
        <v>666.66666666666663</v>
      </c>
      <c r="E1984">
        <f t="shared" si="243"/>
        <v>0</v>
      </c>
      <c r="G1984">
        <v>1934</v>
      </c>
      <c r="H1984" s="13">
        <f t="shared" si="248"/>
        <v>-7.7831728503952036E-4</v>
      </c>
      <c r="I1984">
        <f t="shared" si="249"/>
        <v>154.78510965430866</v>
      </c>
      <c r="J1984">
        <f t="shared" si="244"/>
        <v>663.5425104718862</v>
      </c>
      <c r="K1984" s="27">
        <f t="shared" si="245"/>
        <v>-342.68341743474912</v>
      </c>
    </row>
    <row r="1985" spans="1:11">
      <c r="A1985" s="26">
        <v>1935</v>
      </c>
      <c r="B1985" s="82">
        <f t="shared" si="246"/>
        <v>0</v>
      </c>
      <c r="C1985" s="58">
        <f t="shared" si="242"/>
        <v>156.29037528357509</v>
      </c>
      <c r="D1985" s="83">
        <f t="shared" si="247"/>
        <v>666.66666666666663</v>
      </c>
      <c r="E1985">
        <f t="shared" si="243"/>
        <v>0</v>
      </c>
      <c r="G1985">
        <v>1935</v>
      </c>
      <c r="H1985" s="13">
        <f t="shared" si="248"/>
        <v>-7.7831728503952036E-4</v>
      </c>
      <c r="I1985">
        <f t="shared" si="249"/>
        <v>154.78433133702362</v>
      </c>
      <c r="J1985">
        <f t="shared" si="244"/>
        <v>663.54084612932127</v>
      </c>
      <c r="K1985" s="27">
        <f t="shared" si="245"/>
        <v>-342.68169832348718</v>
      </c>
    </row>
    <row r="1986" spans="1:11">
      <c r="A1986" s="26">
        <v>1936</v>
      </c>
      <c r="B1986" s="82">
        <f t="shared" si="246"/>
        <v>0</v>
      </c>
      <c r="C1986" s="58">
        <f t="shared" si="242"/>
        <v>156.29037528357509</v>
      </c>
      <c r="D1986" s="83">
        <f t="shared" si="247"/>
        <v>666.66666666666663</v>
      </c>
      <c r="E1986">
        <f t="shared" si="243"/>
        <v>0</v>
      </c>
      <c r="G1986">
        <v>1936</v>
      </c>
      <c r="H1986" s="13">
        <f t="shared" si="248"/>
        <v>-7.7831728503952036E-4</v>
      </c>
      <c r="I1986">
        <f t="shared" si="249"/>
        <v>154.78355301973858</v>
      </c>
      <c r="J1986">
        <f t="shared" si="244"/>
        <v>663.53918173362661</v>
      </c>
      <c r="K1986" s="27">
        <f t="shared" si="245"/>
        <v>-342.6799791616582</v>
      </c>
    </row>
    <row r="1987" spans="1:11">
      <c r="A1987" s="26">
        <v>1937</v>
      </c>
      <c r="B1987" s="82">
        <f t="shared" si="246"/>
        <v>0</v>
      </c>
      <c r="C1987" s="58">
        <f t="shared" si="242"/>
        <v>156.29037528357509</v>
      </c>
      <c r="D1987" s="83">
        <f t="shared" si="247"/>
        <v>666.66666666666663</v>
      </c>
      <c r="E1987">
        <f t="shared" si="243"/>
        <v>0</v>
      </c>
      <c r="G1987">
        <v>1937</v>
      </c>
      <c r="H1987" s="13">
        <f t="shared" si="248"/>
        <v>-7.7831728503952036E-4</v>
      </c>
      <c r="I1987">
        <f t="shared" si="249"/>
        <v>154.78277470245354</v>
      </c>
      <c r="J1987">
        <f t="shared" si="244"/>
        <v>663.53751728479824</v>
      </c>
      <c r="K1987" s="27">
        <f t="shared" si="245"/>
        <v>-342.67825994925852</v>
      </c>
    </row>
    <row r="1988" spans="1:11">
      <c r="A1988" s="26">
        <v>1938</v>
      </c>
      <c r="B1988" s="82">
        <f t="shared" si="246"/>
        <v>0</v>
      </c>
      <c r="C1988" s="58">
        <f t="shared" si="242"/>
        <v>156.29037528357509</v>
      </c>
      <c r="D1988" s="83">
        <f t="shared" si="247"/>
        <v>666.66666666666663</v>
      </c>
      <c r="E1988">
        <f t="shared" si="243"/>
        <v>0</v>
      </c>
      <c r="G1988">
        <v>1938</v>
      </c>
      <c r="H1988" s="13">
        <f t="shared" si="248"/>
        <v>-7.7831728503952036E-4</v>
      </c>
      <c r="I1988">
        <f t="shared" si="249"/>
        <v>154.7819963851685</v>
      </c>
      <c r="J1988">
        <f t="shared" si="244"/>
        <v>663.53585278283174</v>
      </c>
      <c r="K1988" s="27">
        <f t="shared" si="245"/>
        <v>-342.67654068628389</v>
      </c>
    </row>
    <row r="1989" spans="1:11">
      <c r="A1989" s="26">
        <v>1939</v>
      </c>
      <c r="B1989" s="82">
        <f t="shared" si="246"/>
        <v>0</v>
      </c>
      <c r="C1989" s="58">
        <f t="shared" si="242"/>
        <v>156.29037528357509</v>
      </c>
      <c r="D1989" s="83">
        <f t="shared" si="247"/>
        <v>666.66666666666663</v>
      </c>
      <c r="E1989">
        <f t="shared" si="243"/>
        <v>0</v>
      </c>
      <c r="G1989">
        <v>1939</v>
      </c>
      <c r="H1989" s="13">
        <f t="shared" si="248"/>
        <v>-7.7831728503952036E-4</v>
      </c>
      <c r="I1989">
        <f t="shared" si="249"/>
        <v>154.78121806788346</v>
      </c>
      <c r="J1989">
        <f t="shared" si="244"/>
        <v>663.53418822772312</v>
      </c>
      <c r="K1989" s="27">
        <f t="shared" si="245"/>
        <v>-342.67482137273061</v>
      </c>
    </row>
    <row r="1990" spans="1:11">
      <c r="A1990" s="26">
        <v>1940</v>
      </c>
      <c r="B1990" s="82">
        <f t="shared" si="246"/>
        <v>0</v>
      </c>
      <c r="C1990" s="58">
        <f t="shared" si="242"/>
        <v>156.29037528357509</v>
      </c>
      <c r="D1990" s="83">
        <f t="shared" si="247"/>
        <v>666.66666666666663</v>
      </c>
      <c r="E1990">
        <f t="shared" si="243"/>
        <v>0</v>
      </c>
      <c r="G1990">
        <v>1940</v>
      </c>
      <c r="H1990" s="13">
        <f t="shared" si="248"/>
        <v>-7.7831728503952036E-4</v>
      </c>
      <c r="I1990">
        <f t="shared" si="249"/>
        <v>154.78043975059842</v>
      </c>
      <c r="J1990">
        <f t="shared" si="244"/>
        <v>663.53252361946818</v>
      </c>
      <c r="K1990" s="27">
        <f t="shared" si="245"/>
        <v>-342.67310200859475</v>
      </c>
    </row>
    <row r="1991" spans="1:11">
      <c r="A1991" s="26">
        <v>1941</v>
      </c>
      <c r="B1991" s="82">
        <f t="shared" si="246"/>
        <v>0</v>
      </c>
      <c r="C1991" s="58">
        <f t="shared" si="242"/>
        <v>156.29037528357509</v>
      </c>
      <c r="D1991" s="83">
        <f t="shared" si="247"/>
        <v>666.66666666666663</v>
      </c>
      <c r="E1991">
        <f t="shared" si="243"/>
        <v>0</v>
      </c>
      <c r="G1991">
        <v>1941</v>
      </c>
      <c r="H1991" s="13">
        <f t="shared" si="248"/>
        <v>-7.7831728503952036E-4</v>
      </c>
      <c r="I1991">
        <f t="shared" si="249"/>
        <v>154.77966143331338</v>
      </c>
      <c r="J1991">
        <f t="shared" si="244"/>
        <v>663.53085895806271</v>
      </c>
      <c r="K1991" s="27">
        <f t="shared" si="245"/>
        <v>-342.67138259387247</v>
      </c>
    </row>
    <row r="1992" spans="1:11">
      <c r="A1992" s="26">
        <v>1942</v>
      </c>
      <c r="B1992" s="82">
        <f t="shared" si="246"/>
        <v>0</v>
      </c>
      <c r="C1992" s="58">
        <f t="shared" si="242"/>
        <v>156.29037528357509</v>
      </c>
      <c r="D1992" s="83">
        <f t="shared" si="247"/>
        <v>666.66666666666663</v>
      </c>
      <c r="E1992">
        <f t="shared" si="243"/>
        <v>0</v>
      </c>
      <c r="G1992">
        <v>1942</v>
      </c>
      <c r="H1992" s="13">
        <f t="shared" si="248"/>
        <v>-7.7831728503952036E-4</v>
      </c>
      <c r="I1992">
        <f t="shared" si="249"/>
        <v>154.77888311602834</v>
      </c>
      <c r="J1992">
        <f t="shared" si="244"/>
        <v>663.52919424350262</v>
      </c>
      <c r="K1992" s="27">
        <f t="shared" si="245"/>
        <v>-342.66966312855971</v>
      </c>
    </row>
    <row r="1993" spans="1:11">
      <c r="A1993" s="26">
        <v>1943</v>
      </c>
      <c r="B1993" s="82">
        <f t="shared" si="246"/>
        <v>0</v>
      </c>
      <c r="C1993" s="58">
        <f t="shared" si="242"/>
        <v>156.29037528357509</v>
      </c>
      <c r="D1993" s="83">
        <f t="shared" si="247"/>
        <v>666.66666666666663</v>
      </c>
      <c r="E1993">
        <f t="shared" si="243"/>
        <v>0</v>
      </c>
      <c r="G1993">
        <v>1943</v>
      </c>
      <c r="H1993" s="13">
        <f t="shared" si="248"/>
        <v>-7.7831728503952036E-4</v>
      </c>
      <c r="I1993">
        <f t="shared" si="249"/>
        <v>154.7781047987433</v>
      </c>
      <c r="J1993">
        <f t="shared" si="244"/>
        <v>663.52752947578347</v>
      </c>
      <c r="K1993" s="27">
        <f t="shared" si="245"/>
        <v>-342.66794361265261</v>
      </c>
    </row>
    <row r="1994" spans="1:11">
      <c r="A1994" s="26">
        <v>1944</v>
      </c>
      <c r="B1994" s="82">
        <f t="shared" si="246"/>
        <v>0</v>
      </c>
      <c r="C1994" s="58">
        <f t="shared" si="242"/>
        <v>156.29037528357509</v>
      </c>
      <c r="D1994" s="83">
        <f t="shared" si="247"/>
        <v>666.66666666666663</v>
      </c>
      <c r="E1994">
        <f t="shared" si="243"/>
        <v>0</v>
      </c>
      <c r="G1994">
        <v>1944</v>
      </c>
      <c r="H1994" s="13">
        <f t="shared" si="248"/>
        <v>-7.7831728503952036E-4</v>
      </c>
      <c r="I1994">
        <f t="shared" si="249"/>
        <v>154.77732648145826</v>
      </c>
      <c r="J1994">
        <f t="shared" si="244"/>
        <v>663.5258646549014</v>
      </c>
      <c r="K1994" s="27">
        <f t="shared" si="245"/>
        <v>-342.66622404614742</v>
      </c>
    </row>
    <row r="1995" spans="1:11">
      <c r="A1995" s="26">
        <v>1945</v>
      </c>
      <c r="B1995" s="82">
        <f t="shared" si="246"/>
        <v>0</v>
      </c>
      <c r="C1995" s="58">
        <f t="shared" si="242"/>
        <v>156.29037528357509</v>
      </c>
      <c r="D1995" s="83">
        <f t="shared" si="247"/>
        <v>666.66666666666663</v>
      </c>
      <c r="E1995">
        <f t="shared" si="243"/>
        <v>0</v>
      </c>
      <c r="G1995">
        <v>1945</v>
      </c>
      <c r="H1995" s="13">
        <f t="shared" si="248"/>
        <v>-7.7831728503952036E-4</v>
      </c>
      <c r="I1995">
        <f t="shared" si="249"/>
        <v>154.77654816417322</v>
      </c>
      <c r="J1995">
        <f t="shared" si="244"/>
        <v>663.52419978085209</v>
      </c>
      <c r="K1995" s="27">
        <f t="shared" si="245"/>
        <v>-342.66450442904011</v>
      </c>
    </row>
    <row r="1996" spans="1:11">
      <c r="A1996" s="26">
        <v>1946</v>
      </c>
      <c r="B1996" s="82">
        <f t="shared" si="246"/>
        <v>0</v>
      </c>
      <c r="C1996" s="58">
        <f t="shared" si="242"/>
        <v>156.29037528357509</v>
      </c>
      <c r="D1996" s="83">
        <f t="shared" si="247"/>
        <v>666.66666666666663</v>
      </c>
      <c r="E1996">
        <f t="shared" si="243"/>
        <v>0</v>
      </c>
      <c r="G1996">
        <v>1946</v>
      </c>
      <c r="H1996" s="13">
        <f t="shared" si="248"/>
        <v>-7.7831728503952036E-4</v>
      </c>
      <c r="I1996">
        <f t="shared" si="249"/>
        <v>154.77576984688818</v>
      </c>
      <c r="J1996">
        <f t="shared" si="244"/>
        <v>663.52253485363133</v>
      </c>
      <c r="K1996" s="27">
        <f t="shared" si="245"/>
        <v>-342.66278476132675</v>
      </c>
    </row>
    <row r="1997" spans="1:11">
      <c r="A1997" s="26">
        <v>1947</v>
      </c>
      <c r="B1997" s="82">
        <f t="shared" si="246"/>
        <v>0</v>
      </c>
      <c r="C1997" s="58">
        <f t="shared" si="242"/>
        <v>156.29037528357509</v>
      </c>
      <c r="D1997" s="83">
        <f t="shared" si="247"/>
        <v>666.66666666666663</v>
      </c>
      <c r="E1997">
        <f t="shared" si="243"/>
        <v>0</v>
      </c>
      <c r="G1997">
        <v>1947</v>
      </c>
      <c r="H1997" s="13">
        <f t="shared" si="248"/>
        <v>-7.7831728503952036E-4</v>
      </c>
      <c r="I1997">
        <f t="shared" si="249"/>
        <v>154.77499152960314</v>
      </c>
      <c r="J1997">
        <f t="shared" si="244"/>
        <v>663.52086987323491</v>
      </c>
      <c r="K1997" s="27">
        <f t="shared" si="245"/>
        <v>-342.66106504300342</v>
      </c>
    </row>
    <row r="1998" spans="1:11">
      <c r="A1998" s="26">
        <v>1948</v>
      </c>
      <c r="B1998" s="82">
        <f t="shared" si="246"/>
        <v>0</v>
      </c>
      <c r="C1998" s="58">
        <f t="shared" si="242"/>
        <v>156.29037528357509</v>
      </c>
      <c r="D1998" s="83">
        <f t="shared" si="247"/>
        <v>666.66666666666663</v>
      </c>
      <c r="E1998">
        <f t="shared" si="243"/>
        <v>0</v>
      </c>
      <c r="G1998">
        <v>1948</v>
      </c>
      <c r="H1998" s="13">
        <f t="shared" si="248"/>
        <v>-7.7831728503952036E-4</v>
      </c>
      <c r="I1998">
        <f t="shared" si="249"/>
        <v>154.7742132123181</v>
      </c>
      <c r="J1998">
        <f t="shared" si="244"/>
        <v>663.51920483965876</v>
      </c>
      <c r="K1998" s="27">
        <f t="shared" si="245"/>
        <v>-342.65934527406642</v>
      </c>
    </row>
    <row r="1999" spans="1:11">
      <c r="A1999" s="26">
        <v>1949</v>
      </c>
      <c r="B1999" s="82">
        <f t="shared" si="246"/>
        <v>0</v>
      </c>
      <c r="C1999" s="58">
        <f t="shared" si="242"/>
        <v>156.29037528357509</v>
      </c>
      <c r="D1999" s="83">
        <f t="shared" si="247"/>
        <v>666.66666666666663</v>
      </c>
      <c r="E1999">
        <f t="shared" si="243"/>
        <v>0</v>
      </c>
      <c r="G1999">
        <v>1949</v>
      </c>
      <c r="H1999" s="13">
        <f t="shared" si="248"/>
        <v>-7.7831728503952036E-4</v>
      </c>
      <c r="I1999">
        <f t="shared" si="249"/>
        <v>154.77343489503306</v>
      </c>
      <c r="J1999">
        <f t="shared" si="244"/>
        <v>663.51753975289864</v>
      </c>
      <c r="K1999" s="27">
        <f t="shared" si="245"/>
        <v>-342.65762545451156</v>
      </c>
    </row>
    <row r="2000" spans="1:11">
      <c r="A2000" s="26">
        <v>1950</v>
      </c>
      <c r="B2000" s="82">
        <f t="shared" si="246"/>
        <v>0</v>
      </c>
      <c r="C2000" s="58">
        <f t="shared" ref="C2000:C2049" si="250">($C$37-$C$36)/2000+C1999</f>
        <v>156.29037528357509</v>
      </c>
      <c r="D2000" s="83">
        <f t="shared" si="247"/>
        <v>666.66666666666663</v>
      </c>
      <c r="E2000">
        <f t="shared" si="243"/>
        <v>0</v>
      </c>
      <c r="G2000">
        <v>1950</v>
      </c>
      <c r="H2000" s="13">
        <f t="shared" si="248"/>
        <v>-7.7831728503952036E-4</v>
      </c>
      <c r="I2000">
        <f t="shared" si="249"/>
        <v>154.77265657774802</v>
      </c>
      <c r="J2000">
        <f t="shared" si="244"/>
        <v>663.51587461295037</v>
      </c>
      <c r="K2000" s="27">
        <f t="shared" si="245"/>
        <v>-342.65590558433513</v>
      </c>
    </row>
    <row r="2001" spans="1:11">
      <c r="A2001" s="26">
        <v>1951</v>
      </c>
      <c r="B2001" s="82">
        <f t="shared" si="246"/>
        <v>0</v>
      </c>
      <c r="C2001" s="58">
        <f t="shared" si="250"/>
        <v>156.29037528357509</v>
      </c>
      <c r="D2001" s="83">
        <f t="shared" si="247"/>
        <v>666.66666666666663</v>
      </c>
      <c r="E2001">
        <f t="shared" si="243"/>
        <v>0</v>
      </c>
      <c r="G2001">
        <v>1951</v>
      </c>
      <c r="H2001" s="13">
        <f t="shared" si="248"/>
        <v>-7.7831728503952036E-4</v>
      </c>
      <c r="I2001">
        <f t="shared" si="249"/>
        <v>154.77187826046298</v>
      </c>
      <c r="J2001">
        <f t="shared" si="244"/>
        <v>663.51420941980973</v>
      </c>
      <c r="K2001" s="27">
        <f t="shared" si="245"/>
        <v>-342.6541856635331</v>
      </c>
    </row>
    <row r="2002" spans="1:11">
      <c r="A2002" s="26">
        <v>1952</v>
      </c>
      <c r="B2002" s="82">
        <f t="shared" si="246"/>
        <v>0</v>
      </c>
      <c r="C2002" s="58">
        <f t="shared" si="250"/>
        <v>156.29037528357509</v>
      </c>
      <c r="D2002" s="83">
        <f t="shared" si="247"/>
        <v>666.66666666666663</v>
      </c>
      <c r="E2002">
        <f t="shared" si="243"/>
        <v>0</v>
      </c>
      <c r="G2002">
        <v>1952</v>
      </c>
      <c r="H2002" s="13">
        <f t="shared" si="248"/>
        <v>-7.7831728503952036E-4</v>
      </c>
      <c r="I2002">
        <f t="shared" si="249"/>
        <v>154.77109994317794</v>
      </c>
      <c r="J2002">
        <f t="shared" si="244"/>
        <v>663.51254417347263</v>
      </c>
      <c r="K2002" s="27">
        <f t="shared" si="245"/>
        <v>-342.65246569210171</v>
      </c>
    </row>
    <row r="2003" spans="1:11">
      <c r="A2003" s="26">
        <v>1953</v>
      </c>
      <c r="B2003" s="82">
        <f t="shared" si="246"/>
        <v>0</v>
      </c>
      <c r="C2003" s="58">
        <f t="shared" si="250"/>
        <v>156.29037528357509</v>
      </c>
      <c r="D2003" s="83">
        <f t="shared" si="247"/>
        <v>666.66666666666663</v>
      </c>
      <c r="E2003">
        <f t="shared" si="243"/>
        <v>0</v>
      </c>
      <c r="G2003">
        <v>1953</v>
      </c>
      <c r="H2003" s="13">
        <f t="shared" si="248"/>
        <v>-7.7831728503952036E-4</v>
      </c>
      <c r="I2003">
        <f t="shared" si="249"/>
        <v>154.7703216258929</v>
      </c>
      <c r="J2003">
        <f t="shared" si="244"/>
        <v>663.51087887393487</v>
      </c>
      <c r="K2003" s="27">
        <f t="shared" si="245"/>
        <v>-342.65074567003688</v>
      </c>
    </row>
    <row r="2004" spans="1:11">
      <c r="A2004" s="26">
        <v>1954</v>
      </c>
      <c r="B2004" s="82">
        <f t="shared" si="246"/>
        <v>0</v>
      </c>
      <c r="C2004" s="58">
        <f t="shared" si="250"/>
        <v>156.29037528357509</v>
      </c>
      <c r="D2004" s="83">
        <f t="shared" si="247"/>
        <v>666.66666666666663</v>
      </c>
      <c r="E2004">
        <f t="shared" si="243"/>
        <v>0</v>
      </c>
      <c r="G2004">
        <v>1954</v>
      </c>
      <c r="H2004" s="13">
        <f t="shared" si="248"/>
        <v>-7.7831728503952036E-4</v>
      </c>
      <c r="I2004">
        <f t="shared" si="249"/>
        <v>154.76954330860787</v>
      </c>
      <c r="J2004">
        <f t="shared" si="244"/>
        <v>663.50921352119212</v>
      </c>
      <c r="K2004" s="27">
        <f t="shared" si="245"/>
        <v>-342.64902559733486</v>
      </c>
    </row>
    <row r="2005" spans="1:11">
      <c r="A2005" s="26">
        <v>1955</v>
      </c>
      <c r="B2005" s="82">
        <f t="shared" si="246"/>
        <v>0</v>
      </c>
      <c r="C2005" s="58">
        <f t="shared" si="250"/>
        <v>156.29037528357509</v>
      </c>
      <c r="D2005" s="83">
        <f t="shared" si="247"/>
        <v>666.66666666666663</v>
      </c>
      <c r="E2005">
        <f t="shared" si="243"/>
        <v>0</v>
      </c>
      <c r="G2005">
        <v>1955</v>
      </c>
      <c r="H2005" s="13">
        <f t="shared" si="248"/>
        <v>-7.7831728503952036E-4</v>
      </c>
      <c r="I2005">
        <f t="shared" si="249"/>
        <v>154.76876499132283</v>
      </c>
      <c r="J2005">
        <f t="shared" si="244"/>
        <v>663.50754811524041</v>
      </c>
      <c r="K2005" s="27">
        <f t="shared" si="245"/>
        <v>-342.64730547399159</v>
      </c>
    </row>
    <row r="2006" spans="1:11">
      <c r="A2006" s="26">
        <v>1956</v>
      </c>
      <c r="B2006" s="82">
        <f t="shared" si="246"/>
        <v>0</v>
      </c>
      <c r="C2006" s="58">
        <f t="shared" si="250"/>
        <v>156.29037528357509</v>
      </c>
      <c r="D2006" s="83">
        <f t="shared" si="247"/>
        <v>666.66666666666663</v>
      </c>
      <c r="E2006">
        <f t="shared" si="243"/>
        <v>0</v>
      </c>
      <c r="G2006">
        <v>1956</v>
      </c>
      <c r="H2006" s="13">
        <f t="shared" si="248"/>
        <v>-7.7831728503952036E-4</v>
      </c>
      <c r="I2006">
        <f t="shared" si="249"/>
        <v>154.76798667403779</v>
      </c>
      <c r="J2006">
        <f t="shared" si="244"/>
        <v>663.5058826560753</v>
      </c>
      <c r="K2006" s="27">
        <f t="shared" si="245"/>
        <v>-342.64558530000323</v>
      </c>
    </row>
    <row r="2007" spans="1:11">
      <c r="A2007" s="26">
        <v>1957</v>
      </c>
      <c r="B2007" s="82">
        <f t="shared" si="246"/>
        <v>0</v>
      </c>
      <c r="C2007" s="58">
        <f t="shared" si="250"/>
        <v>156.29037528357509</v>
      </c>
      <c r="D2007" s="83">
        <f t="shared" si="247"/>
        <v>666.66666666666663</v>
      </c>
      <c r="E2007">
        <f t="shared" si="243"/>
        <v>0</v>
      </c>
      <c r="G2007">
        <v>1957</v>
      </c>
      <c r="H2007" s="13">
        <f t="shared" si="248"/>
        <v>-7.7831728503952036E-4</v>
      </c>
      <c r="I2007">
        <f t="shared" si="249"/>
        <v>154.76720835675275</v>
      </c>
      <c r="J2007">
        <f t="shared" si="244"/>
        <v>663.50421714369293</v>
      </c>
      <c r="K2007" s="27">
        <f t="shared" si="245"/>
        <v>-342.64386507536591</v>
      </c>
    </row>
    <row r="2008" spans="1:11">
      <c r="A2008" s="26">
        <v>1958</v>
      </c>
      <c r="B2008" s="82">
        <f t="shared" si="246"/>
        <v>0</v>
      </c>
      <c r="C2008" s="58">
        <f t="shared" si="250"/>
        <v>156.29037528357509</v>
      </c>
      <c r="D2008" s="83">
        <f t="shared" si="247"/>
        <v>666.66666666666663</v>
      </c>
      <c r="E2008">
        <f t="shared" si="243"/>
        <v>0</v>
      </c>
      <c r="G2008">
        <v>1958</v>
      </c>
      <c r="H2008" s="13">
        <f t="shared" si="248"/>
        <v>-7.7831728503952036E-4</v>
      </c>
      <c r="I2008">
        <f t="shared" si="249"/>
        <v>154.76643003946771</v>
      </c>
      <c r="J2008">
        <f t="shared" si="244"/>
        <v>663.50255157808874</v>
      </c>
      <c r="K2008" s="27">
        <f t="shared" si="245"/>
        <v>-342.64214480007564</v>
      </c>
    </row>
    <row r="2009" spans="1:11">
      <c r="A2009" s="26">
        <v>1959</v>
      </c>
      <c r="B2009" s="82">
        <f t="shared" si="246"/>
        <v>0</v>
      </c>
      <c r="C2009" s="58">
        <f t="shared" si="250"/>
        <v>156.29037528357509</v>
      </c>
      <c r="D2009" s="83">
        <f t="shared" si="247"/>
        <v>666.66666666666663</v>
      </c>
      <c r="E2009">
        <f t="shared" si="243"/>
        <v>0</v>
      </c>
      <c r="G2009">
        <v>1959</v>
      </c>
      <c r="H2009" s="13">
        <f t="shared" si="248"/>
        <v>-7.7831728503952036E-4</v>
      </c>
      <c r="I2009">
        <f t="shared" si="249"/>
        <v>154.76565172218267</v>
      </c>
      <c r="J2009">
        <f t="shared" si="244"/>
        <v>663.50088595925888</v>
      </c>
      <c r="K2009" s="27">
        <f t="shared" si="245"/>
        <v>-342.64042447412862</v>
      </c>
    </row>
    <row r="2010" spans="1:11">
      <c r="A2010" s="26">
        <v>1960</v>
      </c>
      <c r="B2010" s="82">
        <f t="shared" si="246"/>
        <v>0</v>
      </c>
      <c r="C2010" s="58">
        <f t="shared" si="250"/>
        <v>156.29037528357509</v>
      </c>
      <c r="D2010" s="83">
        <f t="shared" si="247"/>
        <v>666.66666666666663</v>
      </c>
      <c r="E2010">
        <f t="shared" si="243"/>
        <v>0</v>
      </c>
      <c r="G2010">
        <v>1960</v>
      </c>
      <c r="H2010" s="13">
        <f t="shared" si="248"/>
        <v>-7.7831728503952036E-4</v>
      </c>
      <c r="I2010">
        <f t="shared" si="249"/>
        <v>154.76487340489763</v>
      </c>
      <c r="J2010">
        <f t="shared" si="244"/>
        <v>663.49922028719891</v>
      </c>
      <c r="K2010" s="27">
        <f t="shared" si="245"/>
        <v>-342.63870409752082</v>
      </c>
    </row>
    <row r="2011" spans="1:11">
      <c r="A2011" s="26">
        <v>1961</v>
      </c>
      <c r="B2011" s="82">
        <f t="shared" si="246"/>
        <v>0</v>
      </c>
      <c r="C2011" s="58">
        <f t="shared" si="250"/>
        <v>156.29037528357509</v>
      </c>
      <c r="D2011" s="83">
        <f t="shared" si="247"/>
        <v>666.66666666666663</v>
      </c>
      <c r="E2011">
        <f t="shared" si="243"/>
        <v>0</v>
      </c>
      <c r="G2011">
        <v>1961</v>
      </c>
      <c r="H2011" s="13">
        <f t="shared" si="248"/>
        <v>-7.7831728503952036E-4</v>
      </c>
      <c r="I2011">
        <f t="shared" si="249"/>
        <v>154.76409508761259</v>
      </c>
      <c r="J2011">
        <f t="shared" si="244"/>
        <v>663.49755456190485</v>
      </c>
      <c r="K2011" s="27">
        <f t="shared" si="245"/>
        <v>-342.63698367024841</v>
      </c>
    </row>
    <row r="2012" spans="1:11">
      <c r="A2012" s="26">
        <v>1962</v>
      </c>
      <c r="B2012" s="82">
        <f t="shared" si="246"/>
        <v>0</v>
      </c>
      <c r="C2012" s="58">
        <f t="shared" si="250"/>
        <v>156.29037528357509</v>
      </c>
      <c r="D2012" s="83">
        <f t="shared" si="247"/>
        <v>666.66666666666663</v>
      </c>
      <c r="E2012">
        <f t="shared" si="243"/>
        <v>0</v>
      </c>
      <c r="G2012">
        <v>1962</v>
      </c>
      <c r="H2012" s="13">
        <f t="shared" si="248"/>
        <v>-7.7831728503952036E-4</v>
      </c>
      <c r="I2012">
        <f t="shared" si="249"/>
        <v>154.76331677032755</v>
      </c>
      <c r="J2012">
        <f t="shared" si="244"/>
        <v>663.49588878337238</v>
      </c>
      <c r="K2012" s="27">
        <f t="shared" si="245"/>
        <v>-342.63526319230749</v>
      </c>
    </row>
    <row r="2013" spans="1:11">
      <c r="A2013" s="26">
        <v>1963</v>
      </c>
      <c r="B2013" s="82">
        <f t="shared" si="246"/>
        <v>0</v>
      </c>
      <c r="C2013" s="58">
        <f t="shared" si="250"/>
        <v>156.29037528357509</v>
      </c>
      <c r="D2013" s="83">
        <f t="shared" si="247"/>
        <v>666.66666666666663</v>
      </c>
      <c r="E2013">
        <f t="shared" si="243"/>
        <v>0</v>
      </c>
      <c r="G2013">
        <v>1963</v>
      </c>
      <c r="H2013" s="13">
        <f t="shared" si="248"/>
        <v>-7.7831728503952036E-4</v>
      </c>
      <c r="I2013">
        <f t="shared" si="249"/>
        <v>154.76253845304251</v>
      </c>
      <c r="J2013">
        <f t="shared" si="244"/>
        <v>663.49422295159729</v>
      </c>
      <c r="K2013" s="27">
        <f t="shared" si="245"/>
        <v>-342.63354266369402</v>
      </c>
    </row>
    <row r="2014" spans="1:11">
      <c r="A2014" s="26">
        <v>1964</v>
      </c>
      <c r="B2014" s="82">
        <f t="shared" si="246"/>
        <v>0</v>
      </c>
      <c r="C2014" s="58">
        <f t="shared" si="250"/>
        <v>156.29037528357509</v>
      </c>
      <c r="D2014" s="83">
        <f t="shared" si="247"/>
        <v>666.66666666666663</v>
      </c>
      <c r="E2014">
        <f t="shared" si="243"/>
        <v>0</v>
      </c>
      <c r="G2014">
        <v>1964</v>
      </c>
      <c r="H2014" s="13">
        <f t="shared" si="248"/>
        <v>-7.7831728503952036E-4</v>
      </c>
      <c r="I2014">
        <f t="shared" si="249"/>
        <v>154.76176013575747</v>
      </c>
      <c r="J2014">
        <f t="shared" si="244"/>
        <v>663.49255706657539</v>
      </c>
      <c r="K2014" s="27">
        <f t="shared" si="245"/>
        <v>-342.63182208440418</v>
      </c>
    </row>
    <row r="2015" spans="1:11">
      <c r="A2015" s="26">
        <v>1965</v>
      </c>
      <c r="B2015" s="82">
        <f t="shared" si="246"/>
        <v>0</v>
      </c>
      <c r="C2015" s="58">
        <f t="shared" si="250"/>
        <v>156.29037528357509</v>
      </c>
      <c r="D2015" s="83">
        <f t="shared" si="247"/>
        <v>666.66666666666663</v>
      </c>
      <c r="E2015">
        <f t="shared" si="243"/>
        <v>0</v>
      </c>
      <c r="G2015">
        <v>1965</v>
      </c>
      <c r="H2015" s="13">
        <f t="shared" si="248"/>
        <v>-7.7831728503952036E-4</v>
      </c>
      <c r="I2015">
        <f t="shared" si="249"/>
        <v>154.76098181847243</v>
      </c>
      <c r="J2015">
        <f t="shared" si="244"/>
        <v>663.49089112830268</v>
      </c>
      <c r="K2015" s="27">
        <f t="shared" si="245"/>
        <v>-342.63010145443405</v>
      </c>
    </row>
    <row r="2016" spans="1:11">
      <c r="A2016" s="26">
        <v>1966</v>
      </c>
      <c r="B2016" s="82">
        <f t="shared" si="246"/>
        <v>0</v>
      </c>
      <c r="C2016" s="58">
        <f t="shared" si="250"/>
        <v>156.29037528357509</v>
      </c>
      <c r="D2016" s="83">
        <f t="shared" si="247"/>
        <v>666.66666666666663</v>
      </c>
      <c r="E2016">
        <f t="shared" si="243"/>
        <v>0</v>
      </c>
      <c r="G2016">
        <v>1966</v>
      </c>
      <c r="H2016" s="13">
        <f t="shared" si="248"/>
        <v>-7.7831728503952036E-4</v>
      </c>
      <c r="I2016">
        <f t="shared" si="249"/>
        <v>154.76020350118739</v>
      </c>
      <c r="J2016">
        <f t="shared" si="244"/>
        <v>663.48922513677473</v>
      </c>
      <c r="K2016" s="27">
        <f t="shared" si="245"/>
        <v>-342.62838077377972</v>
      </c>
    </row>
    <row r="2017" spans="1:11">
      <c r="A2017" s="26">
        <v>1967</v>
      </c>
      <c r="B2017" s="82">
        <f t="shared" si="246"/>
        <v>0</v>
      </c>
      <c r="C2017" s="58">
        <f t="shared" si="250"/>
        <v>156.29037528357509</v>
      </c>
      <c r="D2017" s="83">
        <f t="shared" si="247"/>
        <v>666.66666666666663</v>
      </c>
      <c r="E2017">
        <f t="shared" si="243"/>
        <v>0</v>
      </c>
      <c r="G2017">
        <v>1967</v>
      </c>
      <c r="H2017" s="13">
        <f t="shared" si="248"/>
        <v>-7.7831728503952036E-4</v>
      </c>
      <c r="I2017">
        <f t="shared" si="249"/>
        <v>154.75942518390235</v>
      </c>
      <c r="J2017">
        <f t="shared" si="244"/>
        <v>663.48755909198746</v>
      </c>
      <c r="K2017" s="27">
        <f t="shared" si="245"/>
        <v>-342.62666004243732</v>
      </c>
    </row>
    <row r="2018" spans="1:11">
      <c r="A2018" s="26">
        <v>1968</v>
      </c>
      <c r="B2018" s="82">
        <f t="shared" si="246"/>
        <v>0</v>
      </c>
      <c r="C2018" s="58">
        <f t="shared" si="250"/>
        <v>156.29037528357509</v>
      </c>
      <c r="D2018" s="83">
        <f t="shared" si="247"/>
        <v>666.66666666666663</v>
      </c>
      <c r="E2018">
        <f t="shared" si="243"/>
        <v>0</v>
      </c>
      <c r="G2018">
        <v>1968</v>
      </c>
      <c r="H2018" s="13">
        <f t="shared" si="248"/>
        <v>-7.7831728503952036E-4</v>
      </c>
      <c r="I2018">
        <f t="shared" si="249"/>
        <v>154.75864686661731</v>
      </c>
      <c r="J2018">
        <f t="shared" si="244"/>
        <v>663.48589299393666</v>
      </c>
      <c r="K2018" s="27">
        <f t="shared" si="245"/>
        <v>-342.6249392604027</v>
      </c>
    </row>
    <row r="2019" spans="1:11">
      <c r="A2019" s="26">
        <v>1969</v>
      </c>
      <c r="B2019" s="82">
        <f t="shared" si="246"/>
        <v>0</v>
      </c>
      <c r="C2019" s="58">
        <f t="shared" si="250"/>
        <v>156.29037528357509</v>
      </c>
      <c r="D2019" s="83">
        <f t="shared" si="247"/>
        <v>666.66666666666663</v>
      </c>
      <c r="E2019">
        <f t="shared" si="243"/>
        <v>0</v>
      </c>
      <c r="G2019">
        <v>1969</v>
      </c>
      <c r="H2019" s="13">
        <f t="shared" si="248"/>
        <v>-7.7831728503952036E-4</v>
      </c>
      <c r="I2019">
        <f t="shared" si="249"/>
        <v>154.75786854933227</v>
      </c>
      <c r="J2019">
        <f t="shared" si="244"/>
        <v>663.484226842618</v>
      </c>
      <c r="K2019" s="27">
        <f t="shared" si="245"/>
        <v>-342.62321842767216</v>
      </c>
    </row>
    <row r="2020" spans="1:11">
      <c r="A2020" s="26">
        <v>1970</v>
      </c>
      <c r="B2020" s="82">
        <f t="shared" si="246"/>
        <v>0</v>
      </c>
      <c r="C2020" s="58">
        <f t="shared" si="250"/>
        <v>156.29037528357509</v>
      </c>
      <c r="D2020" s="83">
        <f t="shared" si="247"/>
        <v>666.66666666666663</v>
      </c>
      <c r="E2020">
        <f t="shared" si="243"/>
        <v>0</v>
      </c>
      <c r="G2020">
        <v>1970</v>
      </c>
      <c r="H2020" s="13">
        <f t="shared" si="248"/>
        <v>-7.7831728503952036E-4</v>
      </c>
      <c r="I2020">
        <f t="shared" si="249"/>
        <v>154.75709023204723</v>
      </c>
      <c r="J2020">
        <f t="shared" si="244"/>
        <v>663.48256063802762</v>
      </c>
      <c r="K2020" s="27">
        <f t="shared" si="245"/>
        <v>-342.62149754424178</v>
      </c>
    </row>
    <row r="2021" spans="1:11">
      <c r="A2021" s="26">
        <v>1971</v>
      </c>
      <c r="B2021" s="82">
        <f t="shared" si="246"/>
        <v>0</v>
      </c>
      <c r="C2021" s="58">
        <f t="shared" si="250"/>
        <v>156.29037528357509</v>
      </c>
      <c r="D2021" s="83">
        <f t="shared" si="247"/>
        <v>666.66666666666663</v>
      </c>
      <c r="E2021">
        <f t="shared" si="243"/>
        <v>0</v>
      </c>
      <c r="G2021">
        <v>1971</v>
      </c>
      <c r="H2021" s="13">
        <f t="shared" si="248"/>
        <v>-7.7831728503952036E-4</v>
      </c>
      <c r="I2021">
        <f t="shared" si="249"/>
        <v>154.75631191476219</v>
      </c>
      <c r="J2021">
        <f t="shared" si="244"/>
        <v>663.48089438016098</v>
      </c>
      <c r="K2021" s="27">
        <f t="shared" si="245"/>
        <v>-342.61977661010764</v>
      </c>
    </row>
    <row r="2022" spans="1:11">
      <c r="A2022" s="26">
        <v>1972</v>
      </c>
      <c r="B2022" s="82">
        <f t="shared" si="246"/>
        <v>0</v>
      </c>
      <c r="C2022" s="58">
        <f t="shared" si="250"/>
        <v>156.29037528357509</v>
      </c>
      <c r="D2022" s="83">
        <f t="shared" si="247"/>
        <v>666.66666666666663</v>
      </c>
      <c r="E2022">
        <f t="shared" si="243"/>
        <v>0</v>
      </c>
      <c r="G2022">
        <v>1972</v>
      </c>
      <c r="H2022" s="13">
        <f t="shared" si="248"/>
        <v>-7.7831728503952036E-4</v>
      </c>
      <c r="I2022">
        <f t="shared" si="249"/>
        <v>154.75553359747715</v>
      </c>
      <c r="J2022">
        <f t="shared" si="244"/>
        <v>663.47922806901408</v>
      </c>
      <c r="K2022" s="27">
        <f t="shared" si="245"/>
        <v>-342.61805562526575</v>
      </c>
    </row>
    <row r="2023" spans="1:11">
      <c r="A2023" s="26">
        <v>1973</v>
      </c>
      <c r="B2023" s="82">
        <f t="shared" si="246"/>
        <v>0</v>
      </c>
      <c r="C2023" s="58">
        <f t="shared" si="250"/>
        <v>156.29037528357509</v>
      </c>
      <c r="D2023" s="83">
        <f t="shared" si="247"/>
        <v>666.66666666666663</v>
      </c>
      <c r="E2023">
        <f t="shared" si="243"/>
        <v>0</v>
      </c>
      <c r="G2023">
        <v>1973</v>
      </c>
      <c r="H2023" s="13">
        <f t="shared" si="248"/>
        <v>-7.7831728503952036E-4</v>
      </c>
      <c r="I2023">
        <f t="shared" si="249"/>
        <v>154.75475528019211</v>
      </c>
      <c r="J2023">
        <f t="shared" si="244"/>
        <v>663.47756170458274</v>
      </c>
      <c r="K2023" s="27">
        <f t="shared" si="245"/>
        <v>-342.61633458971227</v>
      </c>
    </row>
    <row r="2024" spans="1:11">
      <c r="A2024" s="26">
        <v>1974</v>
      </c>
      <c r="B2024" s="82">
        <f t="shared" si="246"/>
        <v>0</v>
      </c>
      <c r="C2024" s="58">
        <f t="shared" si="250"/>
        <v>156.29037528357509</v>
      </c>
      <c r="D2024" s="83">
        <f t="shared" si="247"/>
        <v>666.66666666666663</v>
      </c>
      <c r="E2024">
        <f t="shared" si="243"/>
        <v>0</v>
      </c>
      <c r="G2024">
        <v>1974</v>
      </c>
      <c r="H2024" s="13">
        <f t="shared" si="248"/>
        <v>-7.7831728503952036E-4</v>
      </c>
      <c r="I2024">
        <f t="shared" si="249"/>
        <v>154.75397696290707</v>
      </c>
      <c r="J2024">
        <f t="shared" si="244"/>
        <v>663.47589528686262</v>
      </c>
      <c r="K2024" s="27">
        <f t="shared" si="245"/>
        <v>-342.61461350344308</v>
      </c>
    </row>
    <row r="2025" spans="1:11">
      <c r="A2025" s="26">
        <v>1975</v>
      </c>
      <c r="B2025" s="82">
        <f t="shared" si="246"/>
        <v>0</v>
      </c>
      <c r="C2025" s="58">
        <f t="shared" si="250"/>
        <v>156.29037528357509</v>
      </c>
      <c r="D2025" s="83">
        <f t="shared" si="247"/>
        <v>666.66666666666663</v>
      </c>
      <c r="E2025">
        <f t="shared" si="243"/>
        <v>0</v>
      </c>
      <c r="G2025">
        <v>1975</v>
      </c>
      <c r="H2025" s="13">
        <f t="shared" si="248"/>
        <v>-7.7831728503952036E-4</v>
      </c>
      <c r="I2025">
        <f t="shared" si="249"/>
        <v>154.75319864562204</v>
      </c>
      <c r="J2025">
        <f t="shared" si="244"/>
        <v>663.47422881584953</v>
      </c>
      <c r="K2025" s="27">
        <f t="shared" si="245"/>
        <v>-342.61289236645456</v>
      </c>
    </row>
    <row r="2026" spans="1:11">
      <c r="A2026" s="26">
        <v>1976</v>
      </c>
      <c r="B2026" s="82">
        <f t="shared" si="246"/>
        <v>0</v>
      </c>
      <c r="C2026" s="58">
        <f t="shared" si="250"/>
        <v>156.29037528357509</v>
      </c>
      <c r="D2026" s="83">
        <f t="shared" si="247"/>
        <v>666.66666666666663</v>
      </c>
      <c r="E2026">
        <f t="shared" si="243"/>
        <v>0</v>
      </c>
      <c r="G2026">
        <v>1976</v>
      </c>
      <c r="H2026" s="13">
        <f t="shared" si="248"/>
        <v>-7.7831728503952036E-4</v>
      </c>
      <c r="I2026">
        <f t="shared" si="249"/>
        <v>154.752420328337</v>
      </c>
      <c r="J2026">
        <f t="shared" si="244"/>
        <v>663.47256229153948</v>
      </c>
      <c r="K2026" s="27">
        <f t="shared" si="245"/>
        <v>-342.6111711787425</v>
      </c>
    </row>
    <row r="2027" spans="1:11">
      <c r="A2027" s="26">
        <v>1977</v>
      </c>
      <c r="B2027" s="82">
        <f t="shared" si="246"/>
        <v>0</v>
      </c>
      <c r="C2027" s="58">
        <f t="shared" si="250"/>
        <v>156.29037528357509</v>
      </c>
      <c r="D2027" s="83">
        <f t="shared" si="247"/>
        <v>666.66666666666663</v>
      </c>
      <c r="E2027">
        <f t="shared" si="243"/>
        <v>0</v>
      </c>
      <c r="G2027">
        <v>1977</v>
      </c>
      <c r="H2027" s="13">
        <f t="shared" si="248"/>
        <v>-7.7831728503952036E-4</v>
      </c>
      <c r="I2027">
        <f t="shared" si="249"/>
        <v>154.75164201105196</v>
      </c>
      <c r="J2027">
        <f t="shared" si="244"/>
        <v>663.47089571392803</v>
      </c>
      <c r="K2027" s="27">
        <f t="shared" si="245"/>
        <v>-342.60944994030325</v>
      </c>
    </row>
    <row r="2028" spans="1:11">
      <c r="A2028" s="26">
        <v>1978</v>
      </c>
      <c r="B2028" s="82">
        <f t="shared" si="246"/>
        <v>0</v>
      </c>
      <c r="C2028" s="58">
        <f t="shared" si="250"/>
        <v>156.29037528357509</v>
      </c>
      <c r="D2028" s="83">
        <f t="shared" si="247"/>
        <v>666.66666666666663</v>
      </c>
      <c r="E2028">
        <f t="shared" si="243"/>
        <v>0</v>
      </c>
      <c r="G2028">
        <v>1978</v>
      </c>
      <c r="H2028" s="13">
        <f t="shared" si="248"/>
        <v>-7.7831728503952036E-4</v>
      </c>
      <c r="I2028">
        <f t="shared" si="249"/>
        <v>154.75086369376692</v>
      </c>
      <c r="J2028">
        <f t="shared" si="244"/>
        <v>663.4692290830111</v>
      </c>
      <c r="K2028" s="27">
        <f t="shared" si="245"/>
        <v>-342.60772865113267</v>
      </c>
    </row>
    <row r="2029" spans="1:11">
      <c r="A2029" s="26">
        <v>1979</v>
      </c>
      <c r="B2029" s="82">
        <f t="shared" si="246"/>
        <v>0</v>
      </c>
      <c r="C2029" s="58">
        <f t="shared" si="250"/>
        <v>156.29037528357509</v>
      </c>
      <c r="D2029" s="83">
        <f t="shared" si="247"/>
        <v>666.66666666666663</v>
      </c>
      <c r="E2029">
        <f t="shared" si="243"/>
        <v>0</v>
      </c>
      <c r="G2029">
        <v>1979</v>
      </c>
      <c r="H2029" s="13">
        <f t="shared" si="248"/>
        <v>-7.7831728503952036E-4</v>
      </c>
      <c r="I2029">
        <f t="shared" si="249"/>
        <v>154.75008537648188</v>
      </c>
      <c r="J2029">
        <f t="shared" si="244"/>
        <v>663.46756239878459</v>
      </c>
      <c r="K2029" s="27">
        <f t="shared" si="245"/>
        <v>-342.60600731122707</v>
      </c>
    </row>
    <row r="2030" spans="1:11">
      <c r="A2030" s="26">
        <v>1980</v>
      </c>
      <c r="B2030" s="82">
        <f t="shared" si="246"/>
        <v>0</v>
      </c>
      <c r="C2030" s="58">
        <f t="shared" si="250"/>
        <v>156.29037528357509</v>
      </c>
      <c r="D2030" s="83">
        <f t="shared" si="247"/>
        <v>666.66666666666663</v>
      </c>
      <c r="E2030">
        <f t="shared" si="243"/>
        <v>0</v>
      </c>
      <c r="G2030">
        <v>1980</v>
      </c>
      <c r="H2030" s="13">
        <f t="shared" si="248"/>
        <v>-7.7831728503952036E-4</v>
      </c>
      <c r="I2030">
        <f t="shared" si="249"/>
        <v>154.74930705919684</v>
      </c>
      <c r="J2030">
        <f t="shared" si="244"/>
        <v>663.46589566124408</v>
      </c>
      <c r="K2030" s="27">
        <f t="shared" si="245"/>
        <v>-342.60428592058219</v>
      </c>
    </row>
    <row r="2031" spans="1:11">
      <c r="A2031" s="26">
        <v>1981</v>
      </c>
      <c r="B2031" s="82">
        <f t="shared" si="246"/>
        <v>0</v>
      </c>
      <c r="C2031" s="58">
        <f t="shared" si="250"/>
        <v>156.29037528357509</v>
      </c>
      <c r="D2031" s="83">
        <f t="shared" si="247"/>
        <v>666.66666666666663</v>
      </c>
      <c r="E2031">
        <f t="shared" si="243"/>
        <v>0</v>
      </c>
      <c r="G2031">
        <v>1981</v>
      </c>
      <c r="H2031" s="13">
        <f t="shared" si="248"/>
        <v>-7.7831728503952036E-4</v>
      </c>
      <c r="I2031">
        <f t="shared" si="249"/>
        <v>154.7485287419118</v>
      </c>
      <c r="J2031">
        <f t="shared" si="244"/>
        <v>663.46422887038545</v>
      </c>
      <c r="K2031" s="27">
        <f t="shared" si="245"/>
        <v>-342.60256447919443</v>
      </c>
    </row>
    <row r="2032" spans="1:11">
      <c r="A2032" s="26">
        <v>1982</v>
      </c>
      <c r="B2032" s="82">
        <f t="shared" si="246"/>
        <v>0</v>
      </c>
      <c r="C2032" s="58">
        <f t="shared" si="250"/>
        <v>156.29037528357509</v>
      </c>
      <c r="D2032" s="83">
        <f t="shared" si="247"/>
        <v>666.66666666666663</v>
      </c>
      <c r="E2032">
        <f t="shared" si="243"/>
        <v>0</v>
      </c>
      <c r="G2032">
        <v>1982</v>
      </c>
      <c r="H2032" s="13">
        <f t="shared" si="248"/>
        <v>-7.7831728503952036E-4</v>
      </c>
      <c r="I2032">
        <f t="shared" si="249"/>
        <v>154.74775042462676</v>
      </c>
      <c r="J2032">
        <f t="shared" si="244"/>
        <v>663.46256202620464</v>
      </c>
      <c r="K2032" s="27">
        <f t="shared" si="245"/>
        <v>-342.60084298705971</v>
      </c>
    </row>
    <row r="2033" spans="1:11">
      <c r="A2033" s="26">
        <v>1983</v>
      </c>
      <c r="B2033" s="82">
        <f t="shared" si="246"/>
        <v>0</v>
      </c>
      <c r="C2033" s="58">
        <f t="shared" si="250"/>
        <v>156.29037528357509</v>
      </c>
      <c r="D2033" s="83">
        <f t="shared" si="247"/>
        <v>666.66666666666663</v>
      </c>
      <c r="E2033">
        <f t="shared" si="243"/>
        <v>0</v>
      </c>
      <c r="G2033">
        <v>1983</v>
      </c>
      <c r="H2033" s="13">
        <f t="shared" si="248"/>
        <v>-7.7831728503952036E-4</v>
      </c>
      <c r="I2033">
        <f t="shared" si="249"/>
        <v>154.74697210734172</v>
      </c>
      <c r="J2033">
        <f t="shared" si="244"/>
        <v>663.46089512869719</v>
      </c>
      <c r="K2033" s="27">
        <f t="shared" si="245"/>
        <v>-342.59912144417405</v>
      </c>
    </row>
    <row r="2034" spans="1:11">
      <c r="A2034" s="26">
        <v>1984</v>
      </c>
      <c r="B2034" s="82">
        <f t="shared" si="246"/>
        <v>0</v>
      </c>
      <c r="C2034" s="58">
        <f t="shared" si="250"/>
        <v>156.29037528357509</v>
      </c>
      <c r="D2034" s="83">
        <f t="shared" si="247"/>
        <v>666.66666666666663</v>
      </c>
      <c r="E2034">
        <f t="shared" si="243"/>
        <v>0</v>
      </c>
      <c r="G2034">
        <v>1984</v>
      </c>
      <c r="H2034" s="13">
        <f t="shared" si="248"/>
        <v>-7.7831728503952036E-4</v>
      </c>
      <c r="I2034">
        <f t="shared" si="249"/>
        <v>154.74619379005668</v>
      </c>
      <c r="J2034">
        <f t="shared" si="244"/>
        <v>663.45922817785913</v>
      </c>
      <c r="K2034" s="27">
        <f t="shared" si="245"/>
        <v>-342.59739985053375</v>
      </c>
    </row>
    <row r="2035" spans="1:11">
      <c r="A2035" s="26">
        <v>1985</v>
      </c>
      <c r="B2035" s="82">
        <f t="shared" si="246"/>
        <v>0</v>
      </c>
      <c r="C2035" s="58">
        <f t="shared" si="250"/>
        <v>156.29037528357509</v>
      </c>
      <c r="D2035" s="83">
        <f t="shared" si="247"/>
        <v>666.66666666666663</v>
      </c>
      <c r="E2035">
        <f t="shared" ref="E2035:E2049" si="251">((D2035^2)+(D2035*D2036)+(D2036^2))*B2036/3</f>
        <v>0</v>
      </c>
      <c r="G2035">
        <v>1985</v>
      </c>
      <c r="H2035" s="13">
        <f t="shared" si="248"/>
        <v>-7.7831728503952036E-4</v>
      </c>
      <c r="I2035">
        <f t="shared" si="249"/>
        <v>154.74541547277164</v>
      </c>
      <c r="J2035">
        <f t="shared" ref="J2035:J2049" si="252">IF($G$28&lt;$C$14,0,((($C$11^2)-((I2035-$C$13)^2))^0.5)+$C$16)</f>
        <v>663.45756117368614</v>
      </c>
      <c r="K2035" s="27">
        <f t="shared" ref="K2035:K2048" si="253">((J2035^2)+(J2035*J2036)+(J2036^2))*H2036/3</f>
        <v>-342.59567820613455</v>
      </c>
    </row>
    <row r="2036" spans="1:11">
      <c r="A2036" s="26">
        <v>1986</v>
      </c>
      <c r="B2036" s="82">
        <f t="shared" ref="B2036:B2049" si="254">C2036-C2035</f>
        <v>0</v>
      </c>
      <c r="C2036" s="58">
        <f t="shared" si="250"/>
        <v>156.29037528357509</v>
      </c>
      <c r="D2036" s="83">
        <f t="shared" ref="D2036:D2049" si="255">IF($G$28&lt;$C$14,0,((($C$11^2)-((C2036-$C$13)^2))^0.5)+$C$16)</f>
        <v>666.66666666666663</v>
      </c>
      <c r="E2036">
        <f t="shared" si="251"/>
        <v>0</v>
      </c>
      <c r="G2036">
        <v>1986</v>
      </c>
      <c r="H2036" s="13">
        <f t="shared" ref="H2036:H2049" si="256">I2036-I2035</f>
        <v>-7.7831728503952036E-4</v>
      </c>
      <c r="I2036">
        <f t="shared" ref="I2036:I2049" si="257">($G$27-$C$14)/2000+I2035</f>
        <v>154.7446371554866</v>
      </c>
      <c r="J2036">
        <f t="shared" si="252"/>
        <v>663.45589411617402</v>
      </c>
      <c r="K2036" s="27">
        <f t="shared" si="253"/>
        <v>-342.59395651097293</v>
      </c>
    </row>
    <row r="2037" spans="1:11">
      <c r="A2037" s="26">
        <v>1987</v>
      </c>
      <c r="B2037" s="82">
        <f t="shared" si="254"/>
        <v>0</v>
      </c>
      <c r="C2037" s="58">
        <f t="shared" si="250"/>
        <v>156.29037528357509</v>
      </c>
      <c r="D2037" s="83">
        <f t="shared" si="255"/>
        <v>666.66666666666663</v>
      </c>
      <c r="E2037">
        <f t="shared" si="251"/>
        <v>0</v>
      </c>
      <c r="G2037">
        <v>1987</v>
      </c>
      <c r="H2037" s="13">
        <f t="shared" si="256"/>
        <v>-7.7831728503952036E-4</v>
      </c>
      <c r="I2037">
        <f t="shared" si="257"/>
        <v>154.74385883820156</v>
      </c>
      <c r="J2037">
        <f t="shared" si="252"/>
        <v>663.45422700531867</v>
      </c>
      <c r="K2037" s="27">
        <f t="shared" si="253"/>
        <v>-342.59223476504468</v>
      </c>
    </row>
    <row r="2038" spans="1:11">
      <c r="A2038" s="26">
        <v>1988</v>
      </c>
      <c r="B2038" s="82">
        <f t="shared" si="254"/>
        <v>0</v>
      </c>
      <c r="C2038" s="58">
        <f t="shared" si="250"/>
        <v>156.29037528357509</v>
      </c>
      <c r="D2038" s="83">
        <f t="shared" si="255"/>
        <v>666.66666666666663</v>
      </c>
      <c r="E2038">
        <f t="shared" si="251"/>
        <v>0</v>
      </c>
      <c r="G2038">
        <v>1988</v>
      </c>
      <c r="H2038" s="13">
        <f t="shared" si="256"/>
        <v>-7.7831728503952036E-4</v>
      </c>
      <c r="I2038">
        <f t="shared" si="257"/>
        <v>154.74308052091652</v>
      </c>
      <c r="J2038">
        <f t="shared" si="252"/>
        <v>663.45255984111577</v>
      </c>
      <c r="K2038" s="27">
        <f t="shared" si="253"/>
        <v>-342.59051296834582</v>
      </c>
    </row>
    <row r="2039" spans="1:11">
      <c r="A2039" s="26">
        <v>1989</v>
      </c>
      <c r="B2039" s="82">
        <f t="shared" si="254"/>
        <v>0</v>
      </c>
      <c r="C2039" s="58">
        <f t="shared" si="250"/>
        <v>156.29037528357509</v>
      </c>
      <c r="D2039" s="83">
        <f t="shared" si="255"/>
        <v>666.66666666666663</v>
      </c>
      <c r="E2039">
        <f t="shared" si="251"/>
        <v>0</v>
      </c>
      <c r="G2039">
        <v>1989</v>
      </c>
      <c r="H2039" s="13">
        <f t="shared" si="256"/>
        <v>-7.7831728503952036E-4</v>
      </c>
      <c r="I2039">
        <f t="shared" si="257"/>
        <v>154.74230220363148</v>
      </c>
      <c r="J2039">
        <f t="shared" si="252"/>
        <v>663.450892623561</v>
      </c>
      <c r="K2039" s="27">
        <f t="shared" si="253"/>
        <v>-342.5887911208726</v>
      </c>
    </row>
    <row r="2040" spans="1:11">
      <c r="A2040" s="26">
        <v>1990</v>
      </c>
      <c r="B2040" s="82">
        <f t="shared" si="254"/>
        <v>0</v>
      </c>
      <c r="C2040" s="58">
        <f t="shared" si="250"/>
        <v>156.29037528357509</v>
      </c>
      <c r="D2040" s="83">
        <f t="shared" si="255"/>
        <v>666.66666666666663</v>
      </c>
      <c r="E2040">
        <f t="shared" si="251"/>
        <v>0</v>
      </c>
      <c r="G2040">
        <v>1990</v>
      </c>
      <c r="H2040" s="13">
        <f t="shared" si="256"/>
        <v>-7.7831728503952036E-4</v>
      </c>
      <c r="I2040">
        <f t="shared" si="257"/>
        <v>154.74152388634644</v>
      </c>
      <c r="J2040">
        <f t="shared" si="252"/>
        <v>663.4492253526505</v>
      </c>
      <c r="K2040" s="27">
        <f t="shared" si="253"/>
        <v>-342.5870692226211</v>
      </c>
    </row>
    <row r="2041" spans="1:11">
      <c r="A2041" s="26">
        <v>1991</v>
      </c>
      <c r="B2041" s="82">
        <f t="shared" si="254"/>
        <v>0</v>
      </c>
      <c r="C2041" s="58">
        <f t="shared" si="250"/>
        <v>156.29037528357509</v>
      </c>
      <c r="D2041" s="83">
        <f t="shared" si="255"/>
        <v>666.66666666666663</v>
      </c>
      <c r="E2041">
        <f t="shared" si="251"/>
        <v>0</v>
      </c>
      <c r="G2041">
        <v>1991</v>
      </c>
      <c r="H2041" s="13">
        <f t="shared" si="256"/>
        <v>-7.7831728503952036E-4</v>
      </c>
      <c r="I2041">
        <f t="shared" si="257"/>
        <v>154.7407455690614</v>
      </c>
      <c r="J2041">
        <f t="shared" si="252"/>
        <v>663.44755802837983</v>
      </c>
      <c r="K2041" s="27">
        <f t="shared" si="253"/>
        <v>-342.58534727358727</v>
      </c>
    </row>
    <row r="2042" spans="1:11">
      <c r="A2042" s="26">
        <v>1992</v>
      </c>
      <c r="B2042" s="82">
        <f t="shared" si="254"/>
        <v>0</v>
      </c>
      <c r="C2042" s="58">
        <f t="shared" si="250"/>
        <v>156.29037528357509</v>
      </c>
      <c r="D2042" s="83">
        <f t="shared" si="255"/>
        <v>666.66666666666663</v>
      </c>
      <c r="E2042">
        <f t="shared" si="251"/>
        <v>0</v>
      </c>
      <c r="G2042">
        <v>1992</v>
      </c>
      <c r="H2042" s="13">
        <f t="shared" si="256"/>
        <v>-7.7831728503952036E-4</v>
      </c>
      <c r="I2042">
        <f t="shared" si="257"/>
        <v>154.73996725177636</v>
      </c>
      <c r="J2042">
        <f t="shared" si="252"/>
        <v>663.44589065074479</v>
      </c>
      <c r="K2042" s="27">
        <f t="shared" si="253"/>
        <v>-342.58362527376721</v>
      </c>
    </row>
    <row r="2043" spans="1:11">
      <c r="A2043" s="26">
        <v>1993</v>
      </c>
      <c r="B2043" s="82">
        <f t="shared" si="254"/>
        <v>0</v>
      </c>
      <c r="C2043" s="58">
        <f t="shared" si="250"/>
        <v>156.29037528357509</v>
      </c>
      <c r="D2043" s="83">
        <f t="shared" si="255"/>
        <v>666.66666666666663</v>
      </c>
      <c r="E2043">
        <f t="shared" si="251"/>
        <v>0</v>
      </c>
      <c r="G2043">
        <v>1993</v>
      </c>
      <c r="H2043" s="13">
        <f t="shared" si="256"/>
        <v>-7.7831728503952036E-4</v>
      </c>
      <c r="I2043">
        <f t="shared" si="257"/>
        <v>154.73918893449132</v>
      </c>
      <c r="J2043">
        <f t="shared" si="252"/>
        <v>663.44422321974116</v>
      </c>
      <c r="K2043" s="27">
        <f t="shared" si="253"/>
        <v>-342.5819032231571</v>
      </c>
    </row>
    <row r="2044" spans="1:11">
      <c r="A2044" s="26">
        <v>1994</v>
      </c>
      <c r="B2044" s="82">
        <f t="shared" si="254"/>
        <v>0</v>
      </c>
      <c r="C2044" s="58">
        <f t="shared" si="250"/>
        <v>156.29037528357509</v>
      </c>
      <c r="D2044" s="83">
        <f t="shared" si="255"/>
        <v>666.66666666666663</v>
      </c>
      <c r="E2044">
        <f t="shared" si="251"/>
        <v>0</v>
      </c>
      <c r="G2044">
        <v>1994</v>
      </c>
      <c r="H2044" s="13">
        <f t="shared" si="256"/>
        <v>-7.7831728503952036E-4</v>
      </c>
      <c r="I2044">
        <f t="shared" si="257"/>
        <v>154.73841061720628</v>
      </c>
      <c r="J2044">
        <f t="shared" si="252"/>
        <v>663.44255573536486</v>
      </c>
      <c r="K2044" s="27">
        <f t="shared" si="253"/>
        <v>-342.5801811217529</v>
      </c>
    </row>
    <row r="2045" spans="1:11">
      <c r="A2045" s="26">
        <v>1995</v>
      </c>
      <c r="B2045" s="82">
        <f t="shared" si="254"/>
        <v>0</v>
      </c>
      <c r="C2045" s="58">
        <f t="shared" si="250"/>
        <v>156.29037528357509</v>
      </c>
      <c r="D2045" s="83">
        <f t="shared" si="255"/>
        <v>666.66666666666663</v>
      </c>
      <c r="E2045">
        <f t="shared" si="251"/>
        <v>0</v>
      </c>
      <c r="G2045">
        <v>1995</v>
      </c>
      <c r="H2045" s="13">
        <f t="shared" si="256"/>
        <v>-7.7831728503952036E-4</v>
      </c>
      <c r="I2045">
        <f t="shared" si="257"/>
        <v>154.73763229992124</v>
      </c>
      <c r="J2045">
        <f t="shared" si="252"/>
        <v>663.44088819761157</v>
      </c>
      <c r="K2045" s="27">
        <f t="shared" si="253"/>
        <v>-342.57845896955064</v>
      </c>
    </row>
    <row r="2046" spans="1:11">
      <c r="A2046" s="26">
        <v>1996</v>
      </c>
      <c r="B2046" s="82">
        <f t="shared" si="254"/>
        <v>0</v>
      </c>
      <c r="C2046" s="58">
        <f t="shared" si="250"/>
        <v>156.29037528357509</v>
      </c>
      <c r="D2046" s="83">
        <f t="shared" si="255"/>
        <v>666.66666666666663</v>
      </c>
      <c r="E2046">
        <f t="shared" si="251"/>
        <v>0</v>
      </c>
      <c r="G2046">
        <v>1996</v>
      </c>
      <c r="H2046" s="13">
        <f t="shared" si="256"/>
        <v>-7.7831728503952036E-4</v>
      </c>
      <c r="I2046">
        <f t="shared" si="257"/>
        <v>154.73685398263621</v>
      </c>
      <c r="J2046">
        <f t="shared" si="252"/>
        <v>663.43922060647708</v>
      </c>
      <c r="K2046" s="27">
        <f t="shared" si="253"/>
        <v>-342.57673676654645</v>
      </c>
    </row>
    <row r="2047" spans="1:11">
      <c r="A2047" s="26">
        <v>1997</v>
      </c>
      <c r="B2047" s="82">
        <f t="shared" si="254"/>
        <v>0</v>
      </c>
      <c r="C2047" s="58">
        <f t="shared" si="250"/>
        <v>156.29037528357509</v>
      </c>
      <c r="D2047" s="83">
        <f t="shared" si="255"/>
        <v>666.66666666666663</v>
      </c>
      <c r="E2047">
        <f t="shared" si="251"/>
        <v>0</v>
      </c>
      <c r="G2047">
        <v>1997</v>
      </c>
      <c r="H2047" s="13">
        <f t="shared" si="256"/>
        <v>-7.7831728503952036E-4</v>
      </c>
      <c r="I2047">
        <f t="shared" si="257"/>
        <v>154.73607566535117</v>
      </c>
      <c r="J2047">
        <f t="shared" si="252"/>
        <v>663.43755296195718</v>
      </c>
      <c r="K2047" s="27">
        <f t="shared" si="253"/>
        <v>-342.57501451273646</v>
      </c>
    </row>
    <row r="2048" spans="1:11">
      <c r="A2048" s="26">
        <v>1998</v>
      </c>
      <c r="B2048" s="82">
        <f t="shared" si="254"/>
        <v>0</v>
      </c>
      <c r="C2048" s="58">
        <f t="shared" si="250"/>
        <v>156.29037528357509</v>
      </c>
      <c r="D2048" s="83">
        <f t="shared" si="255"/>
        <v>666.66666666666663</v>
      </c>
      <c r="E2048">
        <f t="shared" si="251"/>
        <v>0</v>
      </c>
      <c r="G2048">
        <v>1998</v>
      </c>
      <c r="H2048" s="13">
        <f t="shared" si="256"/>
        <v>-7.7831728503952036E-4</v>
      </c>
      <c r="I2048">
        <f t="shared" si="257"/>
        <v>154.73529734806613</v>
      </c>
      <c r="J2048">
        <f t="shared" si="252"/>
        <v>663.43588526404778</v>
      </c>
      <c r="K2048" s="27">
        <f t="shared" si="253"/>
        <v>-342.57329220811675</v>
      </c>
    </row>
    <row r="2049" spans="1:11" ht="15.75" thickBot="1">
      <c r="A2049" s="28">
        <v>1999</v>
      </c>
      <c r="B2049" s="80">
        <f t="shared" si="254"/>
        <v>0</v>
      </c>
      <c r="C2049" s="60">
        <f t="shared" si="250"/>
        <v>156.29037528357509</v>
      </c>
      <c r="D2049" s="81">
        <f t="shared" si="255"/>
        <v>666.66666666666663</v>
      </c>
      <c r="E2049" s="59">
        <f t="shared" si="251"/>
        <v>0</v>
      </c>
      <c r="F2049" s="59"/>
      <c r="G2049" s="59">
        <v>1999</v>
      </c>
      <c r="H2049" s="13">
        <f t="shared" si="256"/>
        <v>-7.7831728503952036E-4</v>
      </c>
      <c r="I2049" s="59">
        <f t="shared" si="257"/>
        <v>154.73451903078109</v>
      </c>
      <c r="J2049" s="59">
        <f t="shared" si="252"/>
        <v>663.43421751274457</v>
      </c>
      <c r="K2049" s="29"/>
    </row>
  </sheetData>
  <mergeCells count="11">
    <mergeCell ref="M2:R2"/>
    <mergeCell ref="A3:F3"/>
    <mergeCell ref="A7:F7"/>
    <mergeCell ref="A18:F18"/>
    <mergeCell ref="A24:C24"/>
    <mergeCell ref="E24:G24"/>
    <mergeCell ref="B29:C29"/>
    <mergeCell ref="F29:G29"/>
    <mergeCell ref="A48:E48"/>
    <mergeCell ref="G48:K48"/>
    <mergeCell ref="A47:K4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291" t="s">
        <v>286</v>
      </c>
      <c r="G3" s="291"/>
      <c r="H3" s="7"/>
      <c r="J3" t="s">
        <v>344</v>
      </c>
      <c r="K3" t="s">
        <v>290</v>
      </c>
      <c r="L3" s="7"/>
      <c r="M3" s="7"/>
      <c r="N3" s="7"/>
      <c r="O3" s="7"/>
      <c r="P3" s="7"/>
      <c r="Q3" s="7"/>
      <c r="R3" s="7"/>
      <c r="S3" s="7"/>
      <c r="T3" s="7"/>
      <c r="U3" s="7"/>
    </row>
    <row r="4" spans="1:21" ht="30.75">
      <c r="A4" s="4" t="s">
        <v>13</v>
      </c>
      <c r="B4" s="5">
        <f>Input!$D$12</f>
        <v>2000</v>
      </c>
      <c r="C4" s="6" t="s">
        <v>12</v>
      </c>
      <c r="D4" s="7"/>
      <c r="E4" s="7"/>
      <c r="F4" s="199" t="s">
        <v>280</v>
      </c>
      <c r="G4" s="141">
        <f>IF(Input!$D$10=0,5,Input!$D$10)</f>
        <v>10</v>
      </c>
      <c r="H4" s="7"/>
      <c r="I4" s="3" t="s">
        <v>340</v>
      </c>
      <c r="J4" s="93">
        <f>Tabell2[[#This Row],[Vol dish]]</f>
        <v>257.96812499999999</v>
      </c>
      <c r="L4" s="7"/>
      <c r="M4" s="7"/>
      <c r="N4" s="7"/>
      <c r="O4" s="7"/>
      <c r="P4" s="7"/>
      <c r="Q4" s="7"/>
      <c r="R4" s="7"/>
      <c r="S4" s="7"/>
      <c r="T4" s="7"/>
      <c r="U4" s="7"/>
    </row>
    <row r="5" spans="1:21" ht="30.75">
      <c r="A5" s="8" t="s">
        <v>1</v>
      </c>
      <c r="B5" s="9">
        <f>Input!$D$9</f>
        <v>1500</v>
      </c>
      <c r="C5" s="10" t="s">
        <v>7</v>
      </c>
      <c r="D5" s="11"/>
      <c r="E5" s="11"/>
      <c r="F5" s="199" t="s">
        <v>283</v>
      </c>
      <c r="G5" s="141">
        <f>'Vessel Dish Type List (IGNORE!)'!$D$2</f>
        <v>1500</v>
      </c>
      <c r="H5" s="11"/>
      <c r="I5" s="3" t="s">
        <v>295</v>
      </c>
      <c r="J5" s="93" t="e">
        <f>$B$7-SQRT(($B$7)^2-($B$11)^2)</f>
        <v>#VALUE!</v>
      </c>
      <c r="L5" s="11"/>
      <c r="M5" s="11"/>
      <c r="N5" s="11"/>
      <c r="O5" s="11"/>
      <c r="P5" s="11"/>
      <c r="Q5" s="11"/>
      <c r="R5" s="11"/>
      <c r="S5" s="11"/>
      <c r="T5" s="11"/>
      <c r="U5" s="11"/>
    </row>
    <row r="6" spans="1:21" ht="18.75">
      <c r="A6" s="8" t="s">
        <v>346</v>
      </c>
      <c r="B6" s="9">
        <f>$B$5/2</f>
        <v>750</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1520</v>
      </c>
      <c r="C8" s="1" t="s">
        <v>7</v>
      </c>
      <c r="F8" s="199"/>
      <c r="G8" s="141"/>
      <c r="I8" s="3"/>
      <c r="J8" s="37"/>
      <c r="N8" s="82"/>
      <c r="O8" s="83"/>
      <c r="Q8" s="12"/>
      <c r="R8" s="13"/>
      <c r="S8" s="111"/>
      <c r="U8" s="12"/>
    </row>
    <row r="9" spans="1:21" ht="45.75">
      <c r="A9" s="8"/>
      <c r="B9" s="14"/>
      <c r="C9" s="1"/>
      <c r="F9" s="199" t="s">
        <v>282</v>
      </c>
      <c r="G9" s="141">
        <f>'Vessel Dish Type List (IGNORE!)'!$C$2</f>
        <v>1520</v>
      </c>
      <c r="I9" s="3" t="s">
        <v>307</v>
      </c>
      <c r="J9" s="37">
        <f>ASIN($B$16/$B$7)*(180/PI())</f>
        <v>4.7048862951228836</v>
      </c>
      <c r="N9" s="12"/>
      <c r="O9" s="12"/>
      <c r="Q9" s="12"/>
      <c r="R9" s="13"/>
      <c r="S9" s="12"/>
      <c r="U9" s="12"/>
    </row>
    <row r="10" spans="1:21" ht="45.75">
      <c r="A10" s="96" t="s">
        <v>121</v>
      </c>
      <c r="B10" s="14" t="str">
        <f>IF($B$5&lt;1000,
CONCATENATE(ROUNDUP(0.22167*$B$5,0),"mm"),
CONCATENATE(ROUNDUP(0.133002*$B$5,0), "mm - ",ROUNDUP(0.22167*$B$5,0),"mm"))</f>
        <v>200mm - 333mm</v>
      </c>
      <c r="C10" s="1"/>
      <c r="D10" s="14"/>
      <c r="F10" s="191" t="s">
        <v>270</v>
      </c>
      <c r="G10" s="3">
        <f>'Vessel Dish Type List (IGNORE!)'!$E$2</f>
        <v>1520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7.9 in - 13.1 in</v>
      </c>
      <c r="C11" s="1"/>
      <c r="F11" s="191" t="s">
        <v>284</v>
      </c>
      <c r="G11" s="3">
        <f>'Vessel Dish Type List (IGNORE!)'!$F$2</f>
        <v>152</v>
      </c>
      <c r="I11" s="3" t="s">
        <v>296</v>
      </c>
      <c r="J11" s="3">
        <f>ATAN($B$17/($B$7-$E$7-$B$18))*(180/PI())</f>
        <v>0</v>
      </c>
      <c r="K11" s="3">
        <f>ATAN($B$21/($B$7-$E$7-$B$20))*(180/PI())</f>
        <v>89.618033795270975</v>
      </c>
      <c r="N11" s="12"/>
      <c r="O11" s="12"/>
      <c r="Q11" s="12"/>
      <c r="R11" s="13"/>
      <c r="S11" s="12"/>
      <c r="U11" s="12"/>
    </row>
    <row r="12" spans="1:21" ht="30.75">
      <c r="A12" s="96" t="s">
        <v>158</v>
      </c>
      <c r="B12" s="108">
        <f>VLOOKUP($B$3,Tabell2[[Dish Head Type]:[Vol dish]],7,FALSE)</f>
        <v>334.06762500000002</v>
      </c>
      <c r="C12" s="1" t="s">
        <v>12</v>
      </c>
      <c r="F12" s="191" t="s">
        <v>285</v>
      </c>
      <c r="G12" s="93">
        <f>'Vessel Dish Type List (IGNORE!)'!$G$2</f>
        <v>289.57</v>
      </c>
      <c r="I12" s="3" t="s">
        <v>297</v>
      </c>
      <c r="J12" s="3">
        <f>SQRT(($B$7-$E$7-$B$18)^2+($B$17)^2)</f>
        <v>10</v>
      </c>
      <c r="K12" s="3">
        <f>SQRT(($B$7-$E$7-$B$20)^2+($B$21)^2)</f>
        <v>1500.0333329629711</v>
      </c>
      <c r="N12" s="12"/>
      <c r="O12" s="12"/>
      <c r="Q12" s="12"/>
      <c r="R12" s="13"/>
      <c r="S12" s="12"/>
      <c r="U12" s="12"/>
    </row>
    <row r="13" spans="1:21" ht="30.75">
      <c r="A13" s="96" t="s">
        <v>6</v>
      </c>
      <c r="B13" s="97">
        <f>VLOOKUP($B$3,Tabell2[[Dish Head Type]:[Vol dish]],6,FALSE)</f>
        <v>289.57</v>
      </c>
      <c r="C13" s="1" t="s">
        <v>7</v>
      </c>
      <c r="F13" s="191" t="s">
        <v>293</v>
      </c>
      <c r="G13" s="93">
        <f>($B$4-$B$9)*$B$7/($B$7-$B$9)</f>
        <v>2000</v>
      </c>
      <c r="I13" s="3" t="s">
        <v>298</v>
      </c>
      <c r="J13" s="3">
        <f>$E$10*SIN(($E$4+$E$9)*(PI()/180))</f>
        <v>0</v>
      </c>
      <c r="K13" s="3" t="e">
        <f>$F$10*SIN(($E$4+$F$9)*(PI()/180))</f>
        <v>#VALUE!</v>
      </c>
      <c r="N13" s="12"/>
      <c r="O13" s="12"/>
      <c r="Q13" s="12"/>
      <c r="R13" s="13"/>
      <c r="S13" s="12"/>
      <c r="U13" s="12"/>
    </row>
    <row r="14" spans="1:21" ht="18.75">
      <c r="A14" s="96" t="s">
        <v>159</v>
      </c>
      <c r="B14" s="97">
        <f>$B$4-$B$12</f>
        <v>1665.9323749999999</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940.78255249875917</v>
      </c>
      <c r="C15" s="1" t="s">
        <v>7</v>
      </c>
      <c r="F15" s="53"/>
      <c r="N15" s="12"/>
      <c r="O15" s="12"/>
      <c r="Q15" s="12"/>
      <c r="R15" s="13"/>
      <c r="S15" s="12"/>
      <c r="U15" s="12"/>
    </row>
    <row r="16" spans="1:21" ht="30.75">
      <c r="A16" s="15" t="s">
        <v>14</v>
      </c>
      <c r="B16" s="95">
        <f>($B$13+$B$15)/$B$5</f>
        <v>0.82023503499917283</v>
      </c>
      <c r="C16" s="2"/>
      <c r="F16" s="191" t="s">
        <v>287</v>
      </c>
      <c r="G16" s="3"/>
      <c r="I16" s="197" t="s">
        <v>309</v>
      </c>
      <c r="J16" s="197" t="s">
        <v>343</v>
      </c>
    </row>
    <row r="17" spans="1:21" ht="15.75" thickBot="1">
      <c r="F17" s="191" t="s">
        <v>177</v>
      </c>
      <c r="G17" s="3" t="str">
        <f>Input!$C$33</f>
        <v>ZG10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1500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289.57</v>
      </c>
      <c r="C24" s="1" t="s">
        <v>7</v>
      </c>
      <c r="G24" s="12"/>
      <c r="N24" s="12"/>
      <c r="O24" s="12"/>
      <c r="Q24" s="12"/>
      <c r="R24" s="13"/>
      <c r="S24" s="12"/>
      <c r="U24" s="12"/>
    </row>
    <row r="25" spans="1:21" ht="30.75">
      <c r="A25" s="96" t="s">
        <v>153</v>
      </c>
      <c r="B25" s="97">
        <f>(Input!$D$11-$B$4)/(PI()*($B$5/200)^2)*100</f>
        <v>0</v>
      </c>
      <c r="C25" s="1" t="s">
        <v>7</v>
      </c>
      <c r="G25" s="12"/>
      <c r="N25" s="12"/>
      <c r="O25" s="12"/>
      <c r="Q25" s="12"/>
      <c r="R25" s="13"/>
      <c r="S25" s="12"/>
      <c r="U25" s="12"/>
    </row>
    <row r="26" spans="1:21" ht="30.75">
      <c r="A26" s="96" t="s">
        <v>123</v>
      </c>
      <c r="B26" s="97">
        <f>SUM($B$13,$B$15,$B$24,$B$25)</f>
        <v>1519.9225524987592</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18672.541000000001</v>
      </c>
      <c r="C30" s="33" t="s">
        <v>161</v>
      </c>
      <c r="F30" s="53"/>
    </row>
    <row r="31" spans="1:21" ht="30">
      <c r="A31" s="33" t="s">
        <v>155</v>
      </c>
      <c r="B31" s="42">
        <f>(PI()*(($B$5+2*$B$7)/200)^2*((($B$26+2*$B$7)-2*(0.1935*($B$5+4*$B$7)-0.455*$B$7))/100)+2*(0.1*(($B$5+2*$B$7)/100)^3))*8</f>
        <v>19453.898301662368</v>
      </c>
      <c r="C31" s="32" t="s">
        <v>161</v>
      </c>
      <c r="F31" s="53"/>
    </row>
    <row r="32" spans="1:21" ht="30">
      <c r="A32" s="33" t="s">
        <v>160</v>
      </c>
      <c r="B32" s="42">
        <f>ROUNDUP($B$31-$B$30,-1)</f>
        <v>790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1" ma:contentTypeDescription="Create a new document." ma:contentTypeScope="" ma:versionID="c38080685fc09ecd27228cdea37d3667">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77f9e0db185f0412f215f3808d991167"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customXml/itemProps2.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3.xml><?xml version="1.0" encoding="utf-8"?>
<ds:datastoreItem xmlns:ds="http://schemas.openxmlformats.org/officeDocument/2006/customXml" ds:itemID="{5499BC47-FDDD-4FBB-B008-A600058A68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2024-03-05T08:19:04Z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