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metenova.sharepoint.com/sites/Marketing/Shared Documents/Market Communication (Marcom)/Product selector 2/Zooma/Excellmotor for web/"/>
    </mc:Choice>
  </mc:AlternateContent>
  <xr:revisionPtr revIDLastSave="332" documentId="8_{F45C62AB-D5F4-405B-A654-0E014B626A6D}" xr6:coauthVersionLast="47" xr6:coauthVersionMax="47" xr10:uidLastSave="{B2A45F5A-3350-43EC-A553-F44D51BFFB88}"/>
  <bookViews>
    <workbookView xWindow="28680" yWindow="-120" windowWidth="29040" windowHeight="15840" tabRatio="866" activeTab="7" xr2:uid="{00000000-000D-0000-FFFF-FFFF00000000}"/>
  </bookViews>
  <sheets>
    <sheet name="Input" sheetId="1" r:id="rId1"/>
    <sheet name="Main Mixing Purpose List" sheetId="14" r:id="rId2"/>
    <sheet name="SS Material List" sheetId="15" r:id="rId3"/>
    <sheet name="O-rings List" sheetId="16" r:id="rId4"/>
    <sheet name="IP-Class List" sheetId="17" r:id="rId5"/>
    <sheet name="Output" sheetId="13" r:id="rId6"/>
    <sheet name="ZG" sheetId="3" r:id="rId7"/>
    <sheet name="ZGP" sheetId="4" r:id="rId8"/>
    <sheet name="HP" sheetId="5" r:id="rId9"/>
    <sheet name="HS" sheetId="6" r:id="rId10"/>
    <sheet name="ZF" sheetId="7" r:id="rId11"/>
    <sheet name="Vessel dimension - DIN 28011" sheetId="11" r:id="rId12"/>
    <sheet name="Min Vol ZG" sheetId="8" r:id="rId13"/>
    <sheet name="OLD Output (3)" sheetId="9" r:id="rId14"/>
    <sheet name="OLD Output (2)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8" i="3" l="1"/>
  <c r="X52" i="3" s="1"/>
  <c r="X51" i="3"/>
  <c r="X50" i="3"/>
  <c r="X49" i="3"/>
  <c r="D74" i="3"/>
  <c r="X53" i="3" l="1"/>
  <c r="X55" i="3" s="1"/>
  <c r="W62" i="3"/>
  <c r="X54" i="3" l="1"/>
  <c r="X59" i="3"/>
  <c r="X56" i="3" s="1"/>
  <c r="S67" i="7" l="1"/>
  <c r="S66" i="7"/>
  <c r="S65" i="7"/>
  <c r="S67" i="6"/>
  <c r="S66" i="6"/>
  <c r="S65" i="6"/>
  <c r="S67" i="5"/>
  <c r="S66" i="5"/>
  <c r="S65" i="5"/>
  <c r="C14" i="13"/>
  <c r="K43" i="13"/>
  <c r="I43" i="13"/>
  <c r="G43" i="13"/>
  <c r="E43" i="13"/>
  <c r="C43" i="13"/>
  <c r="K41" i="13"/>
  <c r="I41" i="13"/>
  <c r="G41" i="13"/>
  <c r="E41" i="13"/>
  <c r="C41" i="13"/>
  <c r="K38" i="13"/>
  <c r="I38" i="13"/>
  <c r="G38" i="13"/>
  <c r="E38" i="13"/>
  <c r="C38" i="13"/>
  <c r="K27" i="13" l="1"/>
  <c r="I27" i="13"/>
  <c r="G27" i="13"/>
  <c r="E27" i="13"/>
  <c r="D13" i="1"/>
  <c r="K21" i="13"/>
  <c r="I21" i="13"/>
  <c r="G21" i="13"/>
  <c r="E21" i="13"/>
  <c r="C21" i="13"/>
  <c r="K20" i="13"/>
  <c r="I20" i="13"/>
  <c r="G20" i="13"/>
  <c r="E20" i="13"/>
  <c r="C20" i="13"/>
  <c r="K19" i="13"/>
  <c r="I19" i="13"/>
  <c r="G19" i="13"/>
  <c r="E19" i="13"/>
  <c r="C19" i="13"/>
  <c r="K3" i="13"/>
  <c r="I3" i="13"/>
  <c r="G3" i="13"/>
  <c r="E3" i="13"/>
  <c r="C3" i="13"/>
  <c r="K32" i="13"/>
  <c r="I32" i="13"/>
  <c r="G32" i="13"/>
  <c r="C32" i="13"/>
  <c r="I35" i="13"/>
  <c r="G35" i="13"/>
  <c r="C35" i="13"/>
  <c r="I34" i="13"/>
  <c r="G34" i="13"/>
  <c r="E34" i="13"/>
  <c r="C34" i="13"/>
  <c r="C31" i="13"/>
  <c r="K31" i="13"/>
  <c r="I31" i="13"/>
  <c r="G31" i="13"/>
  <c r="E31" i="13"/>
  <c r="B45" i="7"/>
  <c r="B45" i="6"/>
  <c r="B45" i="4"/>
  <c r="B45" i="5"/>
  <c r="G29" i="13" l="1"/>
  <c r="G28" i="13"/>
  <c r="I28" i="13"/>
  <c r="I29" i="13"/>
  <c r="G33" i="13"/>
  <c r="K28" i="13"/>
  <c r="K29" i="13"/>
  <c r="I33" i="13"/>
  <c r="K33" i="13"/>
  <c r="E33" i="13"/>
  <c r="E29" i="13"/>
  <c r="E28" i="13"/>
  <c r="AE82" i="3" l="1"/>
  <c r="AE86" i="3"/>
  <c r="K42" i="13" l="1"/>
  <c r="I42" i="13"/>
  <c r="G42" i="13"/>
  <c r="E42" i="13"/>
  <c r="C42" i="13"/>
  <c r="K40" i="13"/>
  <c r="I40" i="13"/>
  <c r="G40" i="13"/>
  <c r="E40" i="13"/>
  <c r="C40" i="13"/>
  <c r="B2" i="7"/>
  <c r="F2" i="4" l="1"/>
  <c r="R3" i="3"/>
  <c r="T3" i="3"/>
  <c r="D2" i="6"/>
  <c r="L3" i="3"/>
  <c r="D2" i="7"/>
  <c r="N3" i="3"/>
  <c r="B2" i="5"/>
  <c r="D3" i="3"/>
  <c r="B2" i="6"/>
  <c r="V3" i="3"/>
  <c r="H3" i="3"/>
  <c r="B2" i="4"/>
  <c r="F2" i="6"/>
  <c r="P3" i="3"/>
  <c r="D2" i="5"/>
  <c r="B3" i="3"/>
  <c r="F2" i="5"/>
  <c r="F3" i="3"/>
  <c r="J3" i="3"/>
  <c r="D2" i="4"/>
  <c r="K15" i="13"/>
  <c r="K14" i="13"/>
  <c r="K12" i="13"/>
  <c r="K10" i="13"/>
  <c r="K9" i="13"/>
  <c r="K8" i="13"/>
  <c r="I15" i="13"/>
  <c r="I14" i="13"/>
  <c r="I12" i="13"/>
  <c r="I10" i="13"/>
  <c r="I9" i="13"/>
  <c r="I8" i="13"/>
  <c r="G15" i="13"/>
  <c r="G14" i="13"/>
  <c r="G12" i="13"/>
  <c r="G10" i="13"/>
  <c r="G9" i="13"/>
  <c r="G8" i="13"/>
  <c r="E15" i="13"/>
  <c r="E14" i="13"/>
  <c r="E12" i="13"/>
  <c r="E10" i="13"/>
  <c r="E9" i="13"/>
  <c r="E8" i="13"/>
  <c r="K6" i="13"/>
  <c r="K5" i="13"/>
  <c r="K4" i="13"/>
  <c r="I6" i="13"/>
  <c r="I5" i="13"/>
  <c r="I4" i="13"/>
  <c r="G6" i="13"/>
  <c r="G5" i="13"/>
  <c r="G4" i="13"/>
  <c r="E6" i="13"/>
  <c r="E5" i="13"/>
  <c r="E4" i="13"/>
  <c r="C5" i="13"/>
  <c r="C6" i="13"/>
  <c r="C4" i="13"/>
  <c r="C15" i="13"/>
  <c r="C12" i="13"/>
  <c r="C10" i="13"/>
  <c r="C9" i="13"/>
  <c r="C8" i="13"/>
  <c r="BM38" i="12"/>
  <c r="BK38" i="12"/>
  <c r="BH38" i="12"/>
  <c r="BF38" i="12"/>
  <c r="BD38" i="12"/>
  <c r="BA38" i="12"/>
  <c r="AY38" i="12"/>
  <c r="AW38" i="12"/>
  <c r="AT38" i="12"/>
  <c r="AS38" i="12"/>
  <c r="AR38" i="12"/>
  <c r="AP38" i="12"/>
  <c r="AK38" i="12"/>
  <c r="AI38" i="12"/>
  <c r="AG38" i="12"/>
  <c r="AE38" i="12"/>
  <c r="AC38" i="12"/>
  <c r="AA38" i="12"/>
  <c r="Y38" i="12"/>
  <c r="W38" i="12"/>
  <c r="U38" i="12"/>
  <c r="BM37" i="12"/>
  <c r="BK37" i="12"/>
  <c r="BH37" i="12"/>
  <c r="BF37" i="12"/>
  <c r="BD37" i="12"/>
  <c r="BA37" i="12"/>
  <c r="AY37" i="12"/>
  <c r="AW37" i="12"/>
  <c r="AT37" i="12"/>
  <c r="AS37" i="12"/>
  <c r="AR37" i="12"/>
  <c r="AP37" i="12"/>
  <c r="AK37" i="12"/>
  <c r="AI37" i="12"/>
  <c r="AG37" i="12"/>
  <c r="AE37" i="12"/>
  <c r="AC37" i="12"/>
  <c r="AA37" i="12"/>
  <c r="Y37" i="12"/>
  <c r="W37" i="12"/>
  <c r="U37" i="12"/>
  <c r="BM36" i="12"/>
  <c r="BK36" i="12"/>
  <c r="BH36" i="12"/>
  <c r="BF36" i="12"/>
  <c r="BD36" i="12"/>
  <c r="BA36" i="12"/>
  <c r="AY36" i="12"/>
  <c r="AW36" i="12"/>
  <c r="AT36" i="12"/>
  <c r="AS36" i="12"/>
  <c r="AR36" i="12"/>
  <c r="AP36" i="12"/>
  <c r="AK36" i="12"/>
  <c r="AI36" i="12"/>
  <c r="AG36" i="12"/>
  <c r="AE36" i="12"/>
  <c r="AC36" i="12"/>
  <c r="AA36" i="12"/>
  <c r="Y36" i="12"/>
  <c r="W36" i="12"/>
  <c r="U36" i="12"/>
  <c r="BM35" i="12"/>
  <c r="BK35" i="12"/>
  <c r="BH35" i="12"/>
  <c r="BF35" i="12"/>
  <c r="BD35" i="12"/>
  <c r="BA35" i="12"/>
  <c r="AY35" i="12"/>
  <c r="AW35" i="12"/>
  <c r="AT35" i="12"/>
  <c r="AS35" i="12"/>
  <c r="AR35" i="12"/>
  <c r="AP35" i="12"/>
  <c r="AK35" i="12"/>
  <c r="AI35" i="12"/>
  <c r="AG35" i="12"/>
  <c r="AE35" i="12"/>
  <c r="AC35" i="12"/>
  <c r="AA35" i="12"/>
  <c r="Y35" i="12"/>
  <c r="W35" i="12"/>
  <c r="U35" i="12"/>
  <c r="BM34" i="12"/>
  <c r="BK34" i="12"/>
  <c r="BH34" i="12"/>
  <c r="BF34" i="12"/>
  <c r="BD34" i="12"/>
  <c r="BA34" i="12"/>
  <c r="AY34" i="12"/>
  <c r="AW34" i="12"/>
  <c r="AT34" i="12"/>
  <c r="AS34" i="12"/>
  <c r="AR34" i="12"/>
  <c r="AP34" i="12"/>
  <c r="AK34" i="12"/>
  <c r="AI34" i="12"/>
  <c r="AG34" i="12"/>
  <c r="AE34" i="12"/>
  <c r="AC34" i="12"/>
  <c r="AA34" i="12"/>
  <c r="Y34" i="12"/>
  <c r="W34" i="12"/>
  <c r="U34" i="12"/>
  <c r="BM33" i="12"/>
  <c r="BK33" i="12"/>
  <c r="BH33" i="12"/>
  <c r="BF33" i="12"/>
  <c r="BD33" i="12"/>
  <c r="BA33" i="12"/>
  <c r="AY33" i="12"/>
  <c r="AW33" i="12"/>
  <c r="AT33" i="12"/>
  <c r="AS33" i="12"/>
  <c r="AR33" i="12"/>
  <c r="AP33" i="12"/>
  <c r="AK33" i="12"/>
  <c r="AI33" i="12"/>
  <c r="AG33" i="12"/>
  <c r="AE33" i="12"/>
  <c r="AC33" i="12"/>
  <c r="AA33" i="12"/>
  <c r="Y33" i="12"/>
  <c r="W33" i="12"/>
  <c r="U33" i="12"/>
  <c r="BM32" i="12"/>
  <c r="BK32" i="12"/>
  <c r="BH32" i="12"/>
  <c r="BF32" i="12"/>
  <c r="BD32" i="12"/>
  <c r="BA32" i="12"/>
  <c r="AY32" i="12"/>
  <c r="AW32" i="12"/>
  <c r="AT32" i="12"/>
  <c r="AS32" i="12"/>
  <c r="AR32" i="12"/>
  <c r="AP32" i="12"/>
  <c r="AK32" i="12"/>
  <c r="AI32" i="12"/>
  <c r="AG32" i="12"/>
  <c r="AE32" i="12"/>
  <c r="AC32" i="12"/>
  <c r="AA32" i="12"/>
  <c r="Y32" i="12"/>
  <c r="W32" i="12"/>
  <c r="U32" i="12"/>
  <c r="BM31" i="12"/>
  <c r="BK31" i="12"/>
  <c r="BH31" i="12"/>
  <c r="BF31" i="12"/>
  <c r="BD31" i="12"/>
  <c r="BA31" i="12"/>
  <c r="AY31" i="12"/>
  <c r="AW31" i="12"/>
  <c r="AT31" i="12"/>
  <c r="AS31" i="12"/>
  <c r="AR31" i="12"/>
  <c r="AP31" i="12"/>
  <c r="AK31" i="12"/>
  <c r="AI31" i="12"/>
  <c r="AG31" i="12"/>
  <c r="AE31" i="12"/>
  <c r="AC31" i="12"/>
  <c r="AA31" i="12"/>
  <c r="Y31" i="12"/>
  <c r="W31" i="12"/>
  <c r="U31" i="12"/>
  <c r="BM30" i="12"/>
  <c r="BK30" i="12"/>
  <c r="BH30" i="12"/>
  <c r="BF30" i="12"/>
  <c r="BD30" i="12"/>
  <c r="BA30" i="12"/>
  <c r="AY30" i="12"/>
  <c r="AW30" i="12"/>
  <c r="AT30" i="12"/>
  <c r="AS30" i="12"/>
  <c r="AR30" i="12"/>
  <c r="AP30" i="12"/>
  <c r="AK30" i="12"/>
  <c r="AI30" i="12"/>
  <c r="AG30" i="12"/>
  <c r="AE30" i="12"/>
  <c r="AC30" i="12"/>
  <c r="AA30" i="12"/>
  <c r="Y30" i="12"/>
  <c r="W30" i="12"/>
  <c r="U30" i="12"/>
  <c r="BM29" i="12"/>
  <c r="BK29" i="12"/>
  <c r="BH29" i="12"/>
  <c r="BF29" i="12"/>
  <c r="BD29" i="12"/>
  <c r="BA29" i="12"/>
  <c r="AY29" i="12"/>
  <c r="AW29" i="12"/>
  <c r="AT29" i="12"/>
  <c r="AS29" i="12"/>
  <c r="AR29" i="12"/>
  <c r="AP29" i="12"/>
  <c r="AK29" i="12"/>
  <c r="AI29" i="12"/>
  <c r="AG29" i="12"/>
  <c r="AE29" i="12"/>
  <c r="AC29" i="12"/>
  <c r="AA29" i="12"/>
  <c r="Y29" i="12"/>
  <c r="W29" i="12"/>
  <c r="U29" i="12"/>
  <c r="BM28" i="12"/>
  <c r="BK28" i="12"/>
  <c r="BH28" i="12"/>
  <c r="BF28" i="12"/>
  <c r="BD28" i="12"/>
  <c r="BA28" i="12"/>
  <c r="AY28" i="12"/>
  <c r="AW28" i="12"/>
  <c r="AT28" i="12"/>
  <c r="AS28" i="12"/>
  <c r="AR28" i="12"/>
  <c r="AP28" i="12"/>
  <c r="AK28" i="12"/>
  <c r="AI28" i="12"/>
  <c r="AG28" i="12"/>
  <c r="AE28" i="12"/>
  <c r="AC28" i="12"/>
  <c r="AA28" i="12"/>
  <c r="Y28" i="12"/>
  <c r="W28" i="12"/>
  <c r="U28" i="12"/>
  <c r="BM27" i="12"/>
  <c r="BK27" i="12"/>
  <c r="BH27" i="12"/>
  <c r="BF27" i="12"/>
  <c r="BD27" i="12"/>
  <c r="BA27" i="12"/>
  <c r="AY27" i="12"/>
  <c r="AW27" i="12"/>
  <c r="AT27" i="12"/>
  <c r="AS27" i="12"/>
  <c r="AR27" i="12"/>
  <c r="AP27" i="12"/>
  <c r="AK27" i="12"/>
  <c r="AI27" i="12"/>
  <c r="AG27" i="12"/>
  <c r="AE27" i="12"/>
  <c r="AC27" i="12"/>
  <c r="AA27" i="12"/>
  <c r="Y27" i="12"/>
  <c r="W27" i="12"/>
  <c r="U27" i="12"/>
  <c r="BM26" i="12"/>
  <c r="BK26" i="12"/>
  <c r="BH26" i="12"/>
  <c r="BF26" i="12"/>
  <c r="BD26" i="12"/>
  <c r="BA26" i="12"/>
  <c r="AY26" i="12"/>
  <c r="AW26" i="12"/>
  <c r="AT26" i="12"/>
  <c r="AS26" i="12"/>
  <c r="AR26" i="12"/>
  <c r="AP26" i="12"/>
  <c r="AK26" i="12"/>
  <c r="AI26" i="12"/>
  <c r="AG26" i="12"/>
  <c r="AE26" i="12"/>
  <c r="AC26" i="12"/>
  <c r="AA26" i="12"/>
  <c r="Y26" i="12"/>
  <c r="W26" i="12"/>
  <c r="U26" i="12"/>
  <c r="BM25" i="12"/>
  <c r="BK25" i="12"/>
  <c r="BH25" i="12"/>
  <c r="BF25" i="12"/>
  <c r="BD25" i="12"/>
  <c r="BA25" i="12"/>
  <c r="AY25" i="12"/>
  <c r="AW25" i="12"/>
  <c r="AT25" i="12"/>
  <c r="AS25" i="12"/>
  <c r="AR25" i="12"/>
  <c r="AP25" i="12"/>
  <c r="AK25" i="12"/>
  <c r="AI25" i="12"/>
  <c r="AG25" i="12"/>
  <c r="AE25" i="12"/>
  <c r="AC25" i="12"/>
  <c r="AA25" i="12"/>
  <c r="Y25" i="12"/>
  <c r="W25" i="12"/>
  <c r="U25" i="12"/>
  <c r="BM24" i="12"/>
  <c r="BK24" i="12"/>
  <c r="BH24" i="12"/>
  <c r="BF24" i="12"/>
  <c r="BD24" i="12"/>
  <c r="BA24" i="12"/>
  <c r="AY24" i="12"/>
  <c r="AW24" i="12"/>
  <c r="AT24" i="12"/>
  <c r="AS24" i="12"/>
  <c r="AR24" i="12"/>
  <c r="AP24" i="12"/>
  <c r="AK24" i="12"/>
  <c r="AI24" i="12"/>
  <c r="AG24" i="12"/>
  <c r="AE24" i="12"/>
  <c r="AC24" i="12"/>
  <c r="AA24" i="12"/>
  <c r="Y24" i="12"/>
  <c r="W24" i="12"/>
  <c r="U24" i="12"/>
  <c r="BM23" i="12"/>
  <c r="BK23" i="12"/>
  <c r="BH23" i="12"/>
  <c r="BF23" i="12"/>
  <c r="BD23" i="12"/>
  <c r="BA23" i="12"/>
  <c r="AY23" i="12"/>
  <c r="AW23" i="12"/>
  <c r="AT23" i="12"/>
  <c r="AS23" i="12"/>
  <c r="AR23" i="12"/>
  <c r="AP23" i="12"/>
  <c r="AK23" i="12"/>
  <c r="AI23" i="12"/>
  <c r="AG23" i="12"/>
  <c r="AE23" i="12"/>
  <c r="AC23" i="12"/>
  <c r="AA23" i="12"/>
  <c r="Y23" i="12"/>
  <c r="W23" i="12"/>
  <c r="U23" i="12"/>
  <c r="BM22" i="12"/>
  <c r="BK22" i="12"/>
  <c r="BH22" i="12"/>
  <c r="BF22" i="12"/>
  <c r="BD22" i="12"/>
  <c r="BA22" i="12"/>
  <c r="AY22" i="12"/>
  <c r="AW22" i="12"/>
  <c r="AT22" i="12"/>
  <c r="AS22" i="12"/>
  <c r="AR22" i="12"/>
  <c r="AP22" i="12"/>
  <c r="AK22" i="12"/>
  <c r="AI22" i="12"/>
  <c r="AG22" i="12"/>
  <c r="AE22" i="12"/>
  <c r="AC22" i="12"/>
  <c r="AA22" i="12"/>
  <c r="Y22" i="12"/>
  <c r="W22" i="12"/>
  <c r="U22" i="12"/>
  <c r="BM21" i="12"/>
  <c r="BK21" i="12"/>
  <c r="BH21" i="12"/>
  <c r="BF21" i="12"/>
  <c r="BD21" i="12"/>
  <c r="BA21" i="12"/>
  <c r="AY21" i="12"/>
  <c r="AW21" i="12"/>
  <c r="AT21" i="12"/>
  <c r="AS21" i="12"/>
  <c r="AR21" i="12"/>
  <c r="AP21" i="12"/>
  <c r="AK21" i="12"/>
  <c r="AI21" i="12"/>
  <c r="AG21" i="12"/>
  <c r="AE21" i="12"/>
  <c r="AC21" i="12"/>
  <c r="AA21" i="12"/>
  <c r="Y21" i="12"/>
  <c r="W21" i="12"/>
  <c r="U21" i="12"/>
  <c r="BM20" i="12"/>
  <c r="BK20" i="12"/>
  <c r="BH20" i="12"/>
  <c r="BF20" i="12"/>
  <c r="BD20" i="12"/>
  <c r="BA20" i="12"/>
  <c r="AY20" i="12"/>
  <c r="AW20" i="12"/>
  <c r="AT20" i="12"/>
  <c r="AS20" i="12"/>
  <c r="AR20" i="12"/>
  <c r="AP20" i="12"/>
  <c r="AK20" i="12"/>
  <c r="AI20" i="12"/>
  <c r="AG20" i="12"/>
  <c r="AE20" i="12"/>
  <c r="AC20" i="12"/>
  <c r="AA20" i="12"/>
  <c r="Y20" i="12"/>
  <c r="W20" i="12"/>
  <c r="U20" i="12"/>
  <c r="BM19" i="12"/>
  <c r="BK19" i="12"/>
  <c r="BH19" i="12"/>
  <c r="BF19" i="12"/>
  <c r="BD19" i="12"/>
  <c r="BA19" i="12"/>
  <c r="AY19" i="12"/>
  <c r="AW19" i="12"/>
  <c r="AT19" i="12"/>
  <c r="AS19" i="12"/>
  <c r="AR19" i="12"/>
  <c r="AP19" i="12"/>
  <c r="AK19" i="12"/>
  <c r="AI19" i="12"/>
  <c r="AG19" i="12"/>
  <c r="AE19" i="12"/>
  <c r="AC19" i="12"/>
  <c r="AA19" i="12"/>
  <c r="Y19" i="12"/>
  <c r="W19" i="12"/>
  <c r="U19" i="12"/>
  <c r="BM18" i="12"/>
  <c r="BK18" i="12"/>
  <c r="BH18" i="12"/>
  <c r="BF18" i="12"/>
  <c r="BD18" i="12"/>
  <c r="BA18" i="12"/>
  <c r="AY18" i="12"/>
  <c r="AW18" i="12"/>
  <c r="AT18" i="12"/>
  <c r="AS18" i="12"/>
  <c r="AR18" i="12"/>
  <c r="AP18" i="12"/>
  <c r="AK18" i="12"/>
  <c r="AI18" i="12"/>
  <c r="AG18" i="12"/>
  <c r="AE18" i="12"/>
  <c r="AC18" i="12"/>
  <c r="AA18" i="12"/>
  <c r="Y18" i="12"/>
  <c r="W18" i="12"/>
  <c r="U18" i="12"/>
  <c r="BM17" i="12"/>
  <c r="BK17" i="12"/>
  <c r="BH17" i="12"/>
  <c r="BF17" i="12"/>
  <c r="BD17" i="12"/>
  <c r="BA17" i="12"/>
  <c r="AY17" i="12"/>
  <c r="AW17" i="12"/>
  <c r="AT17" i="12"/>
  <c r="AS17" i="12"/>
  <c r="AR17" i="12"/>
  <c r="AP17" i="12"/>
  <c r="AK17" i="12"/>
  <c r="AI17" i="12"/>
  <c r="AG17" i="12"/>
  <c r="AE17" i="12"/>
  <c r="AC17" i="12"/>
  <c r="AA17" i="12"/>
  <c r="Y17" i="12"/>
  <c r="W17" i="12"/>
  <c r="U17" i="12"/>
  <c r="BM16" i="12"/>
  <c r="BK16" i="12"/>
  <c r="BH16" i="12"/>
  <c r="BF16" i="12"/>
  <c r="BD16" i="12"/>
  <c r="BA16" i="12"/>
  <c r="AY16" i="12"/>
  <c r="AW16" i="12"/>
  <c r="AT16" i="12"/>
  <c r="AS16" i="12"/>
  <c r="AR16" i="12"/>
  <c r="AP16" i="12"/>
  <c r="AK16" i="12"/>
  <c r="AI16" i="12"/>
  <c r="AG16" i="12"/>
  <c r="AE16" i="12"/>
  <c r="AC16" i="12"/>
  <c r="AA16" i="12"/>
  <c r="Y16" i="12"/>
  <c r="W16" i="12"/>
  <c r="U16" i="12"/>
  <c r="BM15" i="12"/>
  <c r="BK15" i="12"/>
  <c r="BH15" i="12"/>
  <c r="BF15" i="12"/>
  <c r="BD15" i="12"/>
  <c r="BA15" i="12"/>
  <c r="AY15" i="12"/>
  <c r="AW15" i="12"/>
  <c r="AT15" i="12"/>
  <c r="AS15" i="12"/>
  <c r="AR15" i="12"/>
  <c r="AP15" i="12"/>
  <c r="AK15" i="12"/>
  <c r="AI15" i="12"/>
  <c r="AG15" i="12"/>
  <c r="AE15" i="12"/>
  <c r="AC15" i="12"/>
  <c r="AA15" i="12"/>
  <c r="Y15" i="12"/>
  <c r="W15" i="12"/>
  <c r="U15" i="12"/>
  <c r="BM14" i="12"/>
  <c r="BK14" i="12"/>
  <c r="BH14" i="12"/>
  <c r="BF14" i="12"/>
  <c r="BD14" i="12"/>
  <c r="BA14" i="12"/>
  <c r="AY14" i="12"/>
  <c r="AW14" i="12"/>
  <c r="AT14" i="12"/>
  <c r="AS14" i="12"/>
  <c r="AR14" i="12"/>
  <c r="AP14" i="12"/>
  <c r="AK14" i="12"/>
  <c r="AI14" i="12"/>
  <c r="AG14" i="12"/>
  <c r="AE14" i="12"/>
  <c r="AC14" i="12"/>
  <c r="AA14" i="12"/>
  <c r="Y14" i="12"/>
  <c r="W14" i="12"/>
  <c r="U14" i="12"/>
  <c r="BM13" i="12"/>
  <c r="BK13" i="12"/>
  <c r="BH13" i="12"/>
  <c r="BF13" i="12"/>
  <c r="BD13" i="12"/>
  <c r="BA13" i="12"/>
  <c r="AY13" i="12"/>
  <c r="AW13" i="12"/>
  <c r="AT13" i="12"/>
  <c r="AS13" i="12"/>
  <c r="AR13" i="12"/>
  <c r="AP13" i="12"/>
  <c r="AK13" i="12"/>
  <c r="AI13" i="12"/>
  <c r="AG13" i="12"/>
  <c r="AE13" i="12"/>
  <c r="AC13" i="12"/>
  <c r="AA13" i="12"/>
  <c r="Y13" i="12"/>
  <c r="W13" i="12"/>
  <c r="U13" i="12"/>
  <c r="Q13" i="12"/>
  <c r="P13" i="12"/>
  <c r="BM12" i="12"/>
  <c r="BK12" i="12"/>
  <c r="BH12" i="12"/>
  <c r="BF12" i="12"/>
  <c r="BD12" i="12"/>
  <c r="BA12" i="12"/>
  <c r="AY12" i="12"/>
  <c r="AW12" i="12"/>
  <c r="AT12" i="12"/>
  <c r="AS12" i="12"/>
  <c r="AR12" i="12"/>
  <c r="AP12" i="12"/>
  <c r="AK12" i="12"/>
  <c r="AI12" i="12"/>
  <c r="AG12" i="12"/>
  <c r="AE12" i="12"/>
  <c r="AC12" i="12"/>
  <c r="AA12" i="12"/>
  <c r="Y12" i="12"/>
  <c r="W12" i="12"/>
  <c r="U12" i="12"/>
  <c r="Q12" i="12"/>
  <c r="P12" i="12"/>
  <c r="BM11" i="12"/>
  <c r="BK11" i="12"/>
  <c r="BH11" i="12"/>
  <c r="BF11" i="12"/>
  <c r="BD11" i="12"/>
  <c r="BA11" i="12"/>
  <c r="AY11" i="12"/>
  <c r="AW11" i="12"/>
  <c r="AT11" i="12"/>
  <c r="AS11" i="12"/>
  <c r="AR11" i="12"/>
  <c r="AP11" i="12"/>
  <c r="AK11" i="12"/>
  <c r="AI11" i="12"/>
  <c r="AG11" i="12"/>
  <c r="AE11" i="12"/>
  <c r="AC11" i="12"/>
  <c r="AA11" i="12"/>
  <c r="Y11" i="12"/>
  <c r="W11" i="12"/>
  <c r="U11" i="12"/>
  <c r="Q11" i="12"/>
  <c r="P11" i="12"/>
  <c r="BM10" i="12"/>
  <c r="BK10" i="12"/>
  <c r="BH10" i="12"/>
  <c r="BF10" i="12"/>
  <c r="BD10" i="12"/>
  <c r="BA10" i="12"/>
  <c r="AY10" i="12"/>
  <c r="AW10" i="12"/>
  <c r="AT10" i="12"/>
  <c r="AS10" i="12"/>
  <c r="AR10" i="12"/>
  <c r="AP10" i="12"/>
  <c r="AK10" i="12"/>
  <c r="AI10" i="12"/>
  <c r="AG10" i="12"/>
  <c r="AE10" i="12"/>
  <c r="AC10" i="12"/>
  <c r="AA10" i="12"/>
  <c r="Y10" i="12"/>
  <c r="W10" i="12"/>
  <c r="U10" i="12"/>
  <c r="BM9" i="12"/>
  <c r="BK9" i="12"/>
  <c r="BH9" i="12"/>
  <c r="BF9" i="12"/>
  <c r="BD9" i="12"/>
  <c r="BA9" i="12"/>
  <c r="AY9" i="12"/>
  <c r="AW9" i="12"/>
  <c r="AT9" i="12"/>
  <c r="AS9" i="12"/>
  <c r="AR9" i="12"/>
  <c r="AP9" i="12"/>
  <c r="AK9" i="12"/>
  <c r="AI9" i="12"/>
  <c r="AG9" i="12"/>
  <c r="AE9" i="12"/>
  <c r="AC9" i="12"/>
  <c r="AA9" i="12"/>
  <c r="Y9" i="12"/>
  <c r="W9" i="12"/>
  <c r="U9" i="12"/>
  <c r="BM8" i="12"/>
  <c r="BK8" i="12"/>
  <c r="BH8" i="12"/>
  <c r="BF8" i="12"/>
  <c r="BD8" i="12"/>
  <c r="BA8" i="12"/>
  <c r="AY8" i="12"/>
  <c r="AW8" i="12"/>
  <c r="AT8" i="12"/>
  <c r="AS8" i="12"/>
  <c r="AR8" i="12"/>
  <c r="AP8" i="12"/>
  <c r="AK8" i="12"/>
  <c r="AI8" i="12"/>
  <c r="AG8" i="12"/>
  <c r="AE8" i="12"/>
  <c r="AC8" i="12"/>
  <c r="AA8" i="12"/>
  <c r="Y8" i="12"/>
  <c r="W8" i="12"/>
  <c r="U8" i="12"/>
  <c r="BM7" i="12"/>
  <c r="BK7" i="12"/>
  <c r="BH7" i="12"/>
  <c r="BF7" i="12"/>
  <c r="BD7" i="12"/>
  <c r="BA7" i="12"/>
  <c r="AY7" i="12"/>
  <c r="AW7" i="12"/>
  <c r="AT7" i="12"/>
  <c r="AS7" i="12"/>
  <c r="AR7" i="12"/>
  <c r="AP7" i="12"/>
  <c r="AK7" i="12"/>
  <c r="AI7" i="12"/>
  <c r="AG7" i="12"/>
  <c r="AE7" i="12"/>
  <c r="AC7" i="12"/>
  <c r="AA7" i="12"/>
  <c r="Y7" i="12"/>
  <c r="W7" i="12"/>
  <c r="U7" i="12"/>
  <c r="BM6" i="12"/>
  <c r="BK6" i="12"/>
  <c r="BH6" i="12"/>
  <c r="BF6" i="12"/>
  <c r="BD6" i="12"/>
  <c r="BA6" i="12"/>
  <c r="AY6" i="12"/>
  <c r="AW6" i="12"/>
  <c r="AT6" i="12"/>
  <c r="AS6" i="12"/>
  <c r="AR6" i="12"/>
  <c r="AP6" i="12"/>
  <c r="AK6" i="12"/>
  <c r="AI6" i="12"/>
  <c r="AG6" i="12"/>
  <c r="AE6" i="12"/>
  <c r="AC6" i="12"/>
  <c r="AA6" i="12"/>
  <c r="Y6" i="12"/>
  <c r="W6" i="12"/>
  <c r="U6" i="12"/>
  <c r="Q6" i="12"/>
  <c r="P6" i="12"/>
  <c r="BM5" i="12"/>
  <c r="BK5" i="12"/>
  <c r="BH5" i="12"/>
  <c r="BF5" i="12"/>
  <c r="BD5" i="12"/>
  <c r="BA5" i="12"/>
  <c r="AY5" i="12"/>
  <c r="AW5" i="12"/>
  <c r="AT5" i="12"/>
  <c r="AS5" i="12"/>
  <c r="AR5" i="12"/>
  <c r="AP5" i="12"/>
  <c r="AK5" i="12"/>
  <c r="AI5" i="12"/>
  <c r="AG5" i="12"/>
  <c r="AE5" i="12"/>
  <c r="AC5" i="12"/>
  <c r="AA5" i="12"/>
  <c r="Y5" i="12"/>
  <c r="W5" i="12"/>
  <c r="U5" i="12"/>
  <c r="Q5" i="12"/>
  <c r="P5" i="12"/>
  <c r="BM4" i="12"/>
  <c r="BK4" i="12"/>
  <c r="BH4" i="12"/>
  <c r="BF4" i="12"/>
  <c r="BD4" i="12"/>
  <c r="BA4" i="12"/>
  <c r="AY4" i="12"/>
  <c r="AW4" i="12"/>
  <c r="AT4" i="12"/>
  <c r="AS4" i="12"/>
  <c r="AR4" i="12"/>
  <c r="AP4" i="12"/>
  <c r="AK4" i="12"/>
  <c r="AI4" i="12"/>
  <c r="AG4" i="12"/>
  <c r="AE4" i="12"/>
  <c r="AC4" i="12"/>
  <c r="AA4" i="12"/>
  <c r="Y4" i="12"/>
  <c r="W4" i="12"/>
  <c r="U4" i="12"/>
  <c r="Q4" i="12"/>
  <c r="P4" i="12"/>
  <c r="BM3" i="12"/>
  <c r="BL3" i="12"/>
  <c r="BK3" i="12"/>
  <c r="BJ3" i="12"/>
  <c r="BH3" i="12"/>
  <c r="BG3" i="12"/>
  <c r="BF3" i="12"/>
  <c r="BE3" i="12"/>
  <c r="BD3" i="12"/>
  <c r="BC3" i="12"/>
  <c r="BA3" i="12"/>
  <c r="AZ3" i="12"/>
  <c r="AY3" i="12"/>
  <c r="AX3" i="12"/>
  <c r="AW3" i="12"/>
  <c r="AV3" i="12"/>
  <c r="AT3" i="12"/>
  <c r="AS3" i="12"/>
  <c r="AR3" i="12"/>
  <c r="AQ3" i="12"/>
  <c r="AP3" i="12"/>
  <c r="AO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Q3" i="12"/>
  <c r="P3" i="12"/>
  <c r="O3" i="12"/>
  <c r="BM2" i="12"/>
  <c r="BL2" i="12"/>
  <c r="BK2" i="12"/>
  <c r="BJ2" i="12"/>
  <c r="BH2" i="12"/>
  <c r="BG2" i="12"/>
  <c r="BF2" i="12"/>
  <c r="BE2" i="12"/>
  <c r="BD2" i="12"/>
  <c r="BC2" i="12"/>
  <c r="BA2" i="12"/>
  <c r="AZ2" i="12"/>
  <c r="AY2" i="12"/>
  <c r="AX2" i="12"/>
  <c r="AW2" i="12"/>
  <c r="AV2" i="12"/>
  <c r="AT2" i="12"/>
  <c r="AS2" i="12"/>
  <c r="AR2" i="12"/>
  <c r="AQ2" i="12"/>
  <c r="AP2" i="12"/>
  <c r="AO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B5" i="11"/>
  <c r="B18" i="11" s="1"/>
  <c r="B4" i="11"/>
  <c r="B8" i="11" s="1"/>
  <c r="B3" i="11"/>
  <c r="L66" i="3"/>
  <c r="L67" i="3"/>
  <c r="L68" i="3"/>
  <c r="L69" i="3"/>
  <c r="J67" i="3"/>
  <c r="J65" i="3"/>
  <c r="H67" i="3"/>
  <c r="H69" i="3"/>
  <c r="J69" i="3" s="1"/>
  <c r="H65" i="3"/>
  <c r="B11" i="11" l="1"/>
  <c r="B10" i="11"/>
  <c r="B21" i="11"/>
  <c r="B17" i="11"/>
  <c r="B7" i="11"/>
  <c r="B16" i="11"/>
  <c r="B26" i="11" s="1"/>
  <c r="B9" i="11"/>
  <c r="C11" i="13" l="1"/>
  <c r="K11" i="13"/>
  <c r="I11" i="13"/>
  <c r="G11" i="13"/>
  <c r="E11" i="13"/>
  <c r="C2" i="9"/>
  <c r="C2" i="12"/>
  <c r="B20" i="11"/>
  <c r="B22" i="11" s="1"/>
  <c r="B27" i="11" s="1"/>
  <c r="B28" i="11" s="1"/>
  <c r="B12" i="11"/>
  <c r="K17" i="13" l="1"/>
  <c r="C17" i="13"/>
  <c r="I17" i="13"/>
  <c r="G17" i="13"/>
  <c r="E17" i="13"/>
  <c r="I13" i="13"/>
  <c r="G13" i="13"/>
  <c r="E13" i="13"/>
  <c r="C13" i="13"/>
  <c r="K13" i="13"/>
  <c r="V42" i="3" a="1"/>
  <c r="V42" i="3" s="1"/>
  <c r="T42" i="3" a="1"/>
  <c r="T42" i="3" s="1"/>
  <c r="Q5" i="9"/>
  <c r="Q6" i="9"/>
  <c r="Q11" i="9"/>
  <c r="Q12" i="9"/>
  <c r="Q13" i="9"/>
  <c r="Q4" i="9"/>
  <c r="P5" i="9"/>
  <c r="P6" i="9"/>
  <c r="P11" i="9"/>
  <c r="P12" i="9"/>
  <c r="P13" i="9"/>
  <c r="P4" i="9"/>
  <c r="Q3" i="9"/>
  <c r="P3" i="9"/>
  <c r="O3" i="9"/>
  <c r="H51" i="3"/>
  <c r="H57" i="3"/>
  <c r="H59" i="3"/>
  <c r="H49" i="3"/>
  <c r="H53" i="3"/>
  <c r="H55" i="3"/>
  <c r="H61" i="3"/>
  <c r="H63" i="3"/>
  <c r="N3" i="9" l="1"/>
  <c r="N3" i="12"/>
  <c r="B45" i="3" l="1"/>
  <c r="BJ2" i="9"/>
  <c r="BK2" i="9"/>
  <c r="BL2" i="9"/>
  <c r="BM2" i="9"/>
  <c r="BJ3" i="9"/>
  <c r="BK3" i="9"/>
  <c r="BL3" i="9"/>
  <c r="BM3" i="9"/>
  <c r="BK4" i="9"/>
  <c r="BM4" i="9"/>
  <c r="BK5" i="9"/>
  <c r="BM5" i="9"/>
  <c r="BK6" i="9"/>
  <c r="BM6" i="9"/>
  <c r="BK7" i="9"/>
  <c r="BM7" i="9"/>
  <c r="BK8" i="9"/>
  <c r="BM8" i="9"/>
  <c r="BK9" i="9"/>
  <c r="BM9" i="9"/>
  <c r="BK10" i="9"/>
  <c r="BM10" i="9"/>
  <c r="BK11" i="9"/>
  <c r="BM11" i="9"/>
  <c r="BK12" i="9"/>
  <c r="BM12" i="9"/>
  <c r="BK13" i="9"/>
  <c r="BM13" i="9"/>
  <c r="BK14" i="9"/>
  <c r="BM14" i="9"/>
  <c r="BK15" i="9"/>
  <c r="BM15" i="9"/>
  <c r="BK16" i="9"/>
  <c r="BM16" i="9"/>
  <c r="BK17" i="9"/>
  <c r="BM17" i="9"/>
  <c r="BK18" i="9"/>
  <c r="BM18" i="9"/>
  <c r="BK19" i="9"/>
  <c r="BM19" i="9"/>
  <c r="BK20" i="9"/>
  <c r="BM20" i="9"/>
  <c r="BK21" i="9"/>
  <c r="BM21" i="9"/>
  <c r="BK22" i="9"/>
  <c r="BM22" i="9"/>
  <c r="BK23" i="9"/>
  <c r="BM23" i="9"/>
  <c r="BK24" i="9"/>
  <c r="BM24" i="9"/>
  <c r="BK25" i="9"/>
  <c r="BM25" i="9"/>
  <c r="BK26" i="9"/>
  <c r="BM26" i="9"/>
  <c r="BK27" i="9"/>
  <c r="BM27" i="9"/>
  <c r="BK28" i="9"/>
  <c r="BM28" i="9"/>
  <c r="BK29" i="9"/>
  <c r="BM29" i="9"/>
  <c r="BK30" i="9"/>
  <c r="BM30" i="9"/>
  <c r="BK31" i="9"/>
  <c r="BM31" i="9"/>
  <c r="BK32" i="9"/>
  <c r="BM32" i="9"/>
  <c r="BK33" i="9"/>
  <c r="BM33" i="9"/>
  <c r="BK34" i="9"/>
  <c r="BM34" i="9"/>
  <c r="BK35" i="9"/>
  <c r="BM35" i="9"/>
  <c r="BK36" i="9"/>
  <c r="BM36" i="9"/>
  <c r="BK37" i="9"/>
  <c r="BM37" i="9"/>
  <c r="BK38" i="9"/>
  <c r="BM38" i="9"/>
  <c r="BC2" i="9"/>
  <c r="BD2" i="9"/>
  <c r="BE2" i="9"/>
  <c r="BF2" i="9"/>
  <c r="BG2" i="9"/>
  <c r="BH2" i="9"/>
  <c r="BC3" i="9"/>
  <c r="BD3" i="9"/>
  <c r="BE3" i="9"/>
  <c r="BF3" i="9"/>
  <c r="BG3" i="9"/>
  <c r="BH3" i="9"/>
  <c r="BD4" i="9"/>
  <c r="BF4" i="9"/>
  <c r="BH4" i="9"/>
  <c r="BD5" i="9"/>
  <c r="BF5" i="9"/>
  <c r="BH5" i="9"/>
  <c r="BD6" i="9"/>
  <c r="BF6" i="9"/>
  <c r="BH6" i="9"/>
  <c r="BD7" i="9"/>
  <c r="BF7" i="9"/>
  <c r="BH7" i="9"/>
  <c r="BD8" i="9"/>
  <c r="BF8" i="9"/>
  <c r="BH8" i="9"/>
  <c r="BD9" i="9"/>
  <c r="BF9" i="9"/>
  <c r="BH9" i="9"/>
  <c r="BD10" i="9"/>
  <c r="BF10" i="9"/>
  <c r="BH10" i="9"/>
  <c r="BD11" i="9"/>
  <c r="BF11" i="9"/>
  <c r="BH11" i="9"/>
  <c r="BD12" i="9"/>
  <c r="BF12" i="9"/>
  <c r="BH12" i="9"/>
  <c r="BD13" i="9"/>
  <c r="BF13" i="9"/>
  <c r="BH13" i="9"/>
  <c r="BD14" i="9"/>
  <c r="BF14" i="9"/>
  <c r="BH14" i="9"/>
  <c r="BD15" i="9"/>
  <c r="BF15" i="9"/>
  <c r="BH15" i="9"/>
  <c r="BD16" i="9"/>
  <c r="BF16" i="9"/>
  <c r="BH16" i="9"/>
  <c r="BD17" i="9"/>
  <c r="BF17" i="9"/>
  <c r="BH17" i="9"/>
  <c r="BD18" i="9"/>
  <c r="BF18" i="9"/>
  <c r="BH18" i="9"/>
  <c r="BD19" i="9"/>
  <c r="BF19" i="9"/>
  <c r="BH19" i="9"/>
  <c r="BD20" i="9"/>
  <c r="BF20" i="9"/>
  <c r="BH20" i="9"/>
  <c r="BD21" i="9"/>
  <c r="BF21" i="9"/>
  <c r="BH21" i="9"/>
  <c r="BD22" i="9"/>
  <c r="BF22" i="9"/>
  <c r="BH22" i="9"/>
  <c r="BD23" i="9"/>
  <c r="BF23" i="9"/>
  <c r="BH23" i="9"/>
  <c r="BD24" i="9"/>
  <c r="BF24" i="9"/>
  <c r="BH24" i="9"/>
  <c r="BD25" i="9"/>
  <c r="BF25" i="9"/>
  <c r="BH25" i="9"/>
  <c r="BD26" i="9"/>
  <c r="BF26" i="9"/>
  <c r="BH26" i="9"/>
  <c r="BD27" i="9"/>
  <c r="BF27" i="9"/>
  <c r="BH27" i="9"/>
  <c r="BD28" i="9"/>
  <c r="BF28" i="9"/>
  <c r="BH28" i="9"/>
  <c r="BD29" i="9"/>
  <c r="BF29" i="9"/>
  <c r="BH29" i="9"/>
  <c r="BD30" i="9"/>
  <c r="BF30" i="9"/>
  <c r="BH30" i="9"/>
  <c r="BD31" i="9"/>
  <c r="BF31" i="9"/>
  <c r="BH31" i="9"/>
  <c r="BD32" i="9"/>
  <c r="BF32" i="9"/>
  <c r="BH32" i="9"/>
  <c r="BD33" i="9"/>
  <c r="BF33" i="9"/>
  <c r="BH33" i="9"/>
  <c r="BD34" i="9"/>
  <c r="BF34" i="9"/>
  <c r="BH34" i="9"/>
  <c r="BD35" i="9"/>
  <c r="BF35" i="9"/>
  <c r="BH35" i="9"/>
  <c r="BD36" i="9"/>
  <c r="BF36" i="9"/>
  <c r="BH36" i="9"/>
  <c r="BD37" i="9"/>
  <c r="BF37" i="9"/>
  <c r="BH37" i="9"/>
  <c r="BD38" i="9"/>
  <c r="BF38" i="9"/>
  <c r="BH38" i="9"/>
  <c r="AV2" i="9"/>
  <c r="AW2" i="9"/>
  <c r="AX2" i="9"/>
  <c r="AY2" i="9"/>
  <c r="AZ2" i="9"/>
  <c r="BA2" i="9"/>
  <c r="AV3" i="9"/>
  <c r="AW3" i="9"/>
  <c r="AX3" i="9"/>
  <c r="AY3" i="9"/>
  <c r="AZ3" i="9"/>
  <c r="BA3" i="9"/>
  <c r="AW4" i="9"/>
  <c r="AY4" i="9"/>
  <c r="BA4" i="9"/>
  <c r="AW5" i="9"/>
  <c r="AY5" i="9"/>
  <c r="BA5" i="9"/>
  <c r="AW6" i="9"/>
  <c r="AY6" i="9"/>
  <c r="BA6" i="9"/>
  <c r="AW7" i="9"/>
  <c r="AY7" i="9"/>
  <c r="BA7" i="9"/>
  <c r="AW8" i="9"/>
  <c r="AY8" i="9"/>
  <c r="BA8" i="9"/>
  <c r="AW9" i="9"/>
  <c r="AY9" i="9"/>
  <c r="BA9" i="9"/>
  <c r="AW10" i="9"/>
  <c r="AY10" i="9"/>
  <c r="BA10" i="9"/>
  <c r="AW11" i="9"/>
  <c r="AY11" i="9"/>
  <c r="BA11" i="9"/>
  <c r="AW12" i="9"/>
  <c r="AY12" i="9"/>
  <c r="BA12" i="9"/>
  <c r="AW13" i="9"/>
  <c r="AY13" i="9"/>
  <c r="BA13" i="9"/>
  <c r="AW14" i="9"/>
  <c r="AY14" i="9"/>
  <c r="BA14" i="9"/>
  <c r="AW15" i="9"/>
  <c r="AY15" i="9"/>
  <c r="BA15" i="9"/>
  <c r="AW16" i="9"/>
  <c r="AY16" i="9"/>
  <c r="BA16" i="9"/>
  <c r="AW17" i="9"/>
  <c r="AY17" i="9"/>
  <c r="BA17" i="9"/>
  <c r="AW18" i="9"/>
  <c r="AY18" i="9"/>
  <c r="BA18" i="9"/>
  <c r="AW19" i="9"/>
  <c r="AY19" i="9"/>
  <c r="BA19" i="9"/>
  <c r="AW20" i="9"/>
  <c r="AY20" i="9"/>
  <c r="BA20" i="9"/>
  <c r="AW21" i="9"/>
  <c r="AY21" i="9"/>
  <c r="BA21" i="9"/>
  <c r="AW22" i="9"/>
  <c r="AY22" i="9"/>
  <c r="BA22" i="9"/>
  <c r="AW23" i="9"/>
  <c r="AY23" i="9"/>
  <c r="BA23" i="9"/>
  <c r="AW24" i="9"/>
  <c r="AY24" i="9"/>
  <c r="BA24" i="9"/>
  <c r="AW25" i="9"/>
  <c r="AY25" i="9"/>
  <c r="BA25" i="9"/>
  <c r="AW26" i="9"/>
  <c r="AY26" i="9"/>
  <c r="BA26" i="9"/>
  <c r="AW27" i="9"/>
  <c r="AY27" i="9"/>
  <c r="BA27" i="9"/>
  <c r="AW28" i="9"/>
  <c r="AY28" i="9"/>
  <c r="BA28" i="9"/>
  <c r="AW29" i="9"/>
  <c r="AY29" i="9"/>
  <c r="BA29" i="9"/>
  <c r="AW30" i="9"/>
  <c r="AY30" i="9"/>
  <c r="BA30" i="9"/>
  <c r="AW31" i="9"/>
  <c r="AY31" i="9"/>
  <c r="BA31" i="9"/>
  <c r="AW32" i="9"/>
  <c r="AY32" i="9"/>
  <c r="BA32" i="9"/>
  <c r="AW33" i="9"/>
  <c r="AY33" i="9"/>
  <c r="BA33" i="9"/>
  <c r="AW34" i="9"/>
  <c r="AY34" i="9"/>
  <c r="BA34" i="9"/>
  <c r="AW35" i="9"/>
  <c r="AY35" i="9"/>
  <c r="BA35" i="9"/>
  <c r="AW36" i="9"/>
  <c r="AY36" i="9"/>
  <c r="BA36" i="9"/>
  <c r="AW37" i="9"/>
  <c r="AY37" i="9"/>
  <c r="BA37" i="9"/>
  <c r="AW38" i="9"/>
  <c r="AY38" i="9"/>
  <c r="BA38" i="9"/>
  <c r="AO2" i="9"/>
  <c r="AP2" i="9"/>
  <c r="AQ2" i="9"/>
  <c r="AR2" i="9"/>
  <c r="AS2" i="9"/>
  <c r="AT2" i="9"/>
  <c r="AO3" i="9"/>
  <c r="AP3" i="9"/>
  <c r="AQ3" i="9"/>
  <c r="AR3" i="9"/>
  <c r="AS3" i="9"/>
  <c r="AT3" i="9"/>
  <c r="AP4" i="9"/>
  <c r="AR4" i="9"/>
  <c r="AS4" i="9"/>
  <c r="AT4" i="9"/>
  <c r="AP5" i="9"/>
  <c r="AR5" i="9"/>
  <c r="AS5" i="9"/>
  <c r="AT5" i="9"/>
  <c r="AP6" i="9"/>
  <c r="AR6" i="9"/>
  <c r="AS6" i="9"/>
  <c r="AT6" i="9"/>
  <c r="AP7" i="9"/>
  <c r="AR7" i="9"/>
  <c r="AS7" i="9"/>
  <c r="AT7" i="9"/>
  <c r="AP8" i="9"/>
  <c r="AR8" i="9"/>
  <c r="AS8" i="9"/>
  <c r="AT8" i="9"/>
  <c r="AP9" i="9"/>
  <c r="AR9" i="9"/>
  <c r="AS9" i="9"/>
  <c r="AT9" i="9"/>
  <c r="AP10" i="9"/>
  <c r="AR10" i="9"/>
  <c r="AS10" i="9"/>
  <c r="AT10" i="9"/>
  <c r="AP11" i="9"/>
  <c r="AR11" i="9"/>
  <c r="AS11" i="9"/>
  <c r="AT11" i="9"/>
  <c r="AP12" i="9"/>
  <c r="AR12" i="9"/>
  <c r="AS12" i="9"/>
  <c r="AT12" i="9"/>
  <c r="AP13" i="9"/>
  <c r="AR13" i="9"/>
  <c r="AS13" i="9"/>
  <c r="AT13" i="9"/>
  <c r="AP14" i="9"/>
  <c r="AR14" i="9"/>
  <c r="AS14" i="9"/>
  <c r="AT14" i="9"/>
  <c r="AP15" i="9"/>
  <c r="AR15" i="9"/>
  <c r="AS15" i="9"/>
  <c r="AT15" i="9"/>
  <c r="AP16" i="9"/>
  <c r="AR16" i="9"/>
  <c r="AS16" i="9"/>
  <c r="AT16" i="9"/>
  <c r="AP17" i="9"/>
  <c r="AR17" i="9"/>
  <c r="AS17" i="9"/>
  <c r="AT17" i="9"/>
  <c r="AP18" i="9"/>
  <c r="AR18" i="9"/>
  <c r="AS18" i="9"/>
  <c r="AT18" i="9"/>
  <c r="AP19" i="9"/>
  <c r="AR19" i="9"/>
  <c r="AS19" i="9"/>
  <c r="AT19" i="9"/>
  <c r="AP20" i="9"/>
  <c r="AR20" i="9"/>
  <c r="AS20" i="9"/>
  <c r="AT20" i="9"/>
  <c r="AP21" i="9"/>
  <c r="AR21" i="9"/>
  <c r="AS21" i="9"/>
  <c r="AT21" i="9"/>
  <c r="AP22" i="9"/>
  <c r="AR22" i="9"/>
  <c r="AS22" i="9"/>
  <c r="AT22" i="9"/>
  <c r="AP23" i="9"/>
  <c r="AR23" i="9"/>
  <c r="AS23" i="9"/>
  <c r="AT23" i="9"/>
  <c r="AP24" i="9"/>
  <c r="AR24" i="9"/>
  <c r="AS24" i="9"/>
  <c r="AT24" i="9"/>
  <c r="AP25" i="9"/>
  <c r="AR25" i="9"/>
  <c r="AS25" i="9"/>
  <c r="AT25" i="9"/>
  <c r="AP26" i="9"/>
  <c r="AR26" i="9"/>
  <c r="AS26" i="9"/>
  <c r="AT26" i="9"/>
  <c r="AP27" i="9"/>
  <c r="AR27" i="9"/>
  <c r="AS27" i="9"/>
  <c r="AT27" i="9"/>
  <c r="AP28" i="9"/>
  <c r="AR28" i="9"/>
  <c r="AS28" i="9"/>
  <c r="AT28" i="9"/>
  <c r="AP29" i="9"/>
  <c r="AR29" i="9"/>
  <c r="AS29" i="9"/>
  <c r="AT29" i="9"/>
  <c r="AP30" i="9"/>
  <c r="AR30" i="9"/>
  <c r="AS30" i="9"/>
  <c r="AT30" i="9"/>
  <c r="AP31" i="9"/>
  <c r="AR31" i="9"/>
  <c r="AS31" i="9"/>
  <c r="AT31" i="9"/>
  <c r="AP32" i="9"/>
  <c r="AR32" i="9"/>
  <c r="AS32" i="9"/>
  <c r="AT32" i="9"/>
  <c r="AP33" i="9"/>
  <c r="AR33" i="9"/>
  <c r="AS33" i="9"/>
  <c r="AT33" i="9"/>
  <c r="AP34" i="9"/>
  <c r="AR34" i="9"/>
  <c r="AS34" i="9"/>
  <c r="AT34" i="9"/>
  <c r="AP35" i="9"/>
  <c r="AR35" i="9"/>
  <c r="AS35" i="9"/>
  <c r="AT35" i="9"/>
  <c r="AP36" i="9"/>
  <c r="AR36" i="9"/>
  <c r="AS36" i="9"/>
  <c r="AT36" i="9"/>
  <c r="AP37" i="9"/>
  <c r="AR37" i="9"/>
  <c r="AS37" i="9"/>
  <c r="AT37" i="9"/>
  <c r="AP38" i="9"/>
  <c r="AR38" i="9"/>
  <c r="AS38" i="9"/>
  <c r="AT38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AG2" i="9"/>
  <c r="AH2" i="9"/>
  <c r="AI2" i="9"/>
  <c r="AJ2" i="9"/>
  <c r="AK2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U4" i="9"/>
  <c r="W4" i="9"/>
  <c r="Y4" i="9"/>
  <c r="AA4" i="9"/>
  <c r="AC4" i="9"/>
  <c r="AE4" i="9"/>
  <c r="AG4" i="9"/>
  <c r="AI4" i="9"/>
  <c r="AK4" i="9"/>
  <c r="U5" i="9"/>
  <c r="W5" i="9"/>
  <c r="Y5" i="9"/>
  <c r="AA5" i="9"/>
  <c r="AC5" i="9"/>
  <c r="AE5" i="9"/>
  <c r="AG5" i="9"/>
  <c r="AI5" i="9"/>
  <c r="AK5" i="9"/>
  <c r="U6" i="9"/>
  <c r="W6" i="9"/>
  <c r="Y6" i="9"/>
  <c r="AA6" i="9"/>
  <c r="AC6" i="9"/>
  <c r="AE6" i="9"/>
  <c r="AG6" i="9"/>
  <c r="AI6" i="9"/>
  <c r="AK6" i="9"/>
  <c r="U7" i="9"/>
  <c r="W7" i="9"/>
  <c r="Y7" i="9"/>
  <c r="AA7" i="9"/>
  <c r="AC7" i="9"/>
  <c r="AE7" i="9"/>
  <c r="AG7" i="9"/>
  <c r="AI7" i="9"/>
  <c r="AK7" i="9"/>
  <c r="U8" i="9"/>
  <c r="W8" i="9"/>
  <c r="Y8" i="9"/>
  <c r="AA8" i="9"/>
  <c r="AC8" i="9"/>
  <c r="AE8" i="9"/>
  <c r="AG8" i="9"/>
  <c r="AI8" i="9"/>
  <c r="AK8" i="9"/>
  <c r="U9" i="9"/>
  <c r="W9" i="9"/>
  <c r="Y9" i="9"/>
  <c r="AA9" i="9"/>
  <c r="AC9" i="9"/>
  <c r="AE9" i="9"/>
  <c r="AG9" i="9"/>
  <c r="AI9" i="9"/>
  <c r="AK9" i="9"/>
  <c r="U10" i="9"/>
  <c r="W10" i="9"/>
  <c r="Y10" i="9"/>
  <c r="AA10" i="9"/>
  <c r="AC10" i="9"/>
  <c r="AE10" i="9"/>
  <c r="AG10" i="9"/>
  <c r="AI10" i="9"/>
  <c r="AK10" i="9"/>
  <c r="U11" i="9"/>
  <c r="W11" i="9"/>
  <c r="Y11" i="9"/>
  <c r="AA11" i="9"/>
  <c r="AC11" i="9"/>
  <c r="AE11" i="9"/>
  <c r="AG11" i="9"/>
  <c r="AI11" i="9"/>
  <c r="AK11" i="9"/>
  <c r="U12" i="9"/>
  <c r="W12" i="9"/>
  <c r="Y12" i="9"/>
  <c r="AA12" i="9"/>
  <c r="AC12" i="9"/>
  <c r="AE12" i="9"/>
  <c r="AG12" i="9"/>
  <c r="AI12" i="9"/>
  <c r="AK12" i="9"/>
  <c r="U13" i="9"/>
  <c r="W13" i="9"/>
  <c r="Y13" i="9"/>
  <c r="AA13" i="9"/>
  <c r="AC13" i="9"/>
  <c r="AE13" i="9"/>
  <c r="AG13" i="9"/>
  <c r="AI13" i="9"/>
  <c r="AK13" i="9"/>
  <c r="U14" i="9"/>
  <c r="W14" i="9"/>
  <c r="Y14" i="9"/>
  <c r="AA14" i="9"/>
  <c r="AC14" i="9"/>
  <c r="AE14" i="9"/>
  <c r="AG14" i="9"/>
  <c r="AI14" i="9"/>
  <c r="AK14" i="9"/>
  <c r="U15" i="9"/>
  <c r="W15" i="9"/>
  <c r="Y15" i="9"/>
  <c r="AA15" i="9"/>
  <c r="AC15" i="9"/>
  <c r="AE15" i="9"/>
  <c r="AG15" i="9"/>
  <c r="AI15" i="9"/>
  <c r="AK15" i="9"/>
  <c r="U16" i="9"/>
  <c r="W16" i="9"/>
  <c r="Y16" i="9"/>
  <c r="AA16" i="9"/>
  <c r="AC16" i="9"/>
  <c r="AE16" i="9"/>
  <c r="AG16" i="9"/>
  <c r="AI16" i="9"/>
  <c r="AK16" i="9"/>
  <c r="U17" i="9"/>
  <c r="W17" i="9"/>
  <c r="Y17" i="9"/>
  <c r="AA17" i="9"/>
  <c r="AC17" i="9"/>
  <c r="AE17" i="9"/>
  <c r="AG17" i="9"/>
  <c r="AI17" i="9"/>
  <c r="AK17" i="9"/>
  <c r="U18" i="9"/>
  <c r="W18" i="9"/>
  <c r="Y18" i="9"/>
  <c r="AA18" i="9"/>
  <c r="AC18" i="9"/>
  <c r="AE18" i="9"/>
  <c r="AG18" i="9"/>
  <c r="AI18" i="9"/>
  <c r="AK18" i="9"/>
  <c r="U19" i="9"/>
  <c r="W19" i="9"/>
  <c r="Y19" i="9"/>
  <c r="AA19" i="9"/>
  <c r="AC19" i="9"/>
  <c r="AE19" i="9"/>
  <c r="AG19" i="9"/>
  <c r="AI19" i="9"/>
  <c r="AK19" i="9"/>
  <c r="U20" i="9"/>
  <c r="W20" i="9"/>
  <c r="Y20" i="9"/>
  <c r="AA20" i="9"/>
  <c r="AC20" i="9"/>
  <c r="AE20" i="9"/>
  <c r="AG20" i="9"/>
  <c r="AI20" i="9"/>
  <c r="AK20" i="9"/>
  <c r="U21" i="9"/>
  <c r="W21" i="9"/>
  <c r="Y21" i="9"/>
  <c r="AA21" i="9"/>
  <c r="AC21" i="9"/>
  <c r="AE21" i="9"/>
  <c r="AG21" i="9"/>
  <c r="AI21" i="9"/>
  <c r="AK21" i="9"/>
  <c r="U22" i="9"/>
  <c r="W22" i="9"/>
  <c r="Y22" i="9"/>
  <c r="AA22" i="9"/>
  <c r="AC22" i="9"/>
  <c r="AE22" i="9"/>
  <c r="AG22" i="9"/>
  <c r="AI22" i="9"/>
  <c r="AK22" i="9"/>
  <c r="U23" i="9"/>
  <c r="W23" i="9"/>
  <c r="Y23" i="9"/>
  <c r="AA23" i="9"/>
  <c r="AC23" i="9"/>
  <c r="AE23" i="9"/>
  <c r="AG23" i="9"/>
  <c r="AI23" i="9"/>
  <c r="AK23" i="9"/>
  <c r="U24" i="9"/>
  <c r="W24" i="9"/>
  <c r="Y24" i="9"/>
  <c r="AA24" i="9"/>
  <c r="AC24" i="9"/>
  <c r="AE24" i="9"/>
  <c r="AG24" i="9"/>
  <c r="AI24" i="9"/>
  <c r="AK24" i="9"/>
  <c r="U25" i="9"/>
  <c r="W25" i="9"/>
  <c r="Y25" i="9"/>
  <c r="AA25" i="9"/>
  <c r="AC25" i="9"/>
  <c r="AE25" i="9"/>
  <c r="AG25" i="9"/>
  <c r="AI25" i="9"/>
  <c r="AK25" i="9"/>
  <c r="U26" i="9"/>
  <c r="W26" i="9"/>
  <c r="Y26" i="9"/>
  <c r="AA26" i="9"/>
  <c r="AC26" i="9"/>
  <c r="AE26" i="9"/>
  <c r="AG26" i="9"/>
  <c r="AI26" i="9"/>
  <c r="AK26" i="9"/>
  <c r="U27" i="9"/>
  <c r="W27" i="9"/>
  <c r="Y27" i="9"/>
  <c r="AA27" i="9"/>
  <c r="AC27" i="9"/>
  <c r="AE27" i="9"/>
  <c r="AG27" i="9"/>
  <c r="AI27" i="9"/>
  <c r="AK27" i="9"/>
  <c r="U28" i="9"/>
  <c r="W28" i="9"/>
  <c r="Y28" i="9"/>
  <c r="AA28" i="9"/>
  <c r="AC28" i="9"/>
  <c r="AE28" i="9"/>
  <c r="AG28" i="9"/>
  <c r="AI28" i="9"/>
  <c r="AK28" i="9"/>
  <c r="U29" i="9"/>
  <c r="W29" i="9"/>
  <c r="Y29" i="9"/>
  <c r="AA29" i="9"/>
  <c r="AC29" i="9"/>
  <c r="AE29" i="9"/>
  <c r="AG29" i="9"/>
  <c r="AI29" i="9"/>
  <c r="AK29" i="9"/>
  <c r="U30" i="9"/>
  <c r="W30" i="9"/>
  <c r="Y30" i="9"/>
  <c r="AA30" i="9"/>
  <c r="AC30" i="9"/>
  <c r="AE30" i="9"/>
  <c r="AG30" i="9"/>
  <c r="AI30" i="9"/>
  <c r="AK30" i="9"/>
  <c r="U31" i="9"/>
  <c r="W31" i="9"/>
  <c r="Y31" i="9"/>
  <c r="AA31" i="9"/>
  <c r="AC31" i="9"/>
  <c r="AE31" i="9"/>
  <c r="AG31" i="9"/>
  <c r="AI31" i="9"/>
  <c r="AK31" i="9"/>
  <c r="U32" i="9"/>
  <c r="W32" i="9"/>
  <c r="Y32" i="9"/>
  <c r="AA32" i="9"/>
  <c r="AC32" i="9"/>
  <c r="AE32" i="9"/>
  <c r="AG32" i="9"/>
  <c r="AI32" i="9"/>
  <c r="AK32" i="9"/>
  <c r="U33" i="9"/>
  <c r="W33" i="9"/>
  <c r="Y33" i="9"/>
  <c r="AA33" i="9"/>
  <c r="AC33" i="9"/>
  <c r="AE33" i="9"/>
  <c r="AG33" i="9"/>
  <c r="AI33" i="9"/>
  <c r="AK33" i="9"/>
  <c r="U34" i="9"/>
  <c r="W34" i="9"/>
  <c r="Y34" i="9"/>
  <c r="AA34" i="9"/>
  <c r="AC34" i="9"/>
  <c r="AE34" i="9"/>
  <c r="AG34" i="9"/>
  <c r="AI34" i="9"/>
  <c r="AK34" i="9"/>
  <c r="U35" i="9"/>
  <c r="W35" i="9"/>
  <c r="Y35" i="9"/>
  <c r="AA35" i="9"/>
  <c r="AC35" i="9"/>
  <c r="AE35" i="9"/>
  <c r="AG35" i="9"/>
  <c r="AI35" i="9"/>
  <c r="AK35" i="9"/>
  <c r="U36" i="9"/>
  <c r="W36" i="9"/>
  <c r="Y36" i="9"/>
  <c r="AA36" i="9"/>
  <c r="AC36" i="9"/>
  <c r="AE36" i="9"/>
  <c r="AG36" i="9"/>
  <c r="AI36" i="9"/>
  <c r="AK36" i="9"/>
  <c r="U37" i="9"/>
  <c r="W37" i="9"/>
  <c r="Y37" i="9"/>
  <c r="AA37" i="9"/>
  <c r="AC37" i="9"/>
  <c r="AE37" i="9"/>
  <c r="AG37" i="9"/>
  <c r="AI37" i="9"/>
  <c r="AK37" i="9"/>
  <c r="U38" i="9"/>
  <c r="W38" i="9"/>
  <c r="Y38" i="9"/>
  <c r="AA38" i="9"/>
  <c r="AC38" i="9"/>
  <c r="AE38" i="9"/>
  <c r="AG38" i="9"/>
  <c r="AI38" i="9"/>
  <c r="AK38" i="9"/>
  <c r="L49" i="4"/>
  <c r="L50" i="4"/>
  <c r="L51" i="4"/>
  <c r="L52" i="4"/>
  <c r="L53" i="4"/>
  <c r="L54" i="4"/>
  <c r="L55" i="4"/>
  <c r="L48" i="4"/>
  <c r="L49" i="5"/>
  <c r="L50" i="5"/>
  <c r="L51" i="5"/>
  <c r="L52" i="5"/>
  <c r="L53" i="5"/>
  <c r="L49" i="6"/>
  <c r="L50" i="6"/>
  <c r="L51" i="6"/>
  <c r="L52" i="6"/>
  <c r="L53" i="6"/>
  <c r="L48" i="6"/>
  <c r="L48" i="5"/>
  <c r="L49" i="7"/>
  <c r="L50" i="7"/>
  <c r="L51" i="7"/>
  <c r="L48" i="7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F51" i="7"/>
  <c r="H51" i="7" s="1"/>
  <c r="F49" i="7"/>
  <c r="H49" i="7" s="1"/>
  <c r="M3" i="12" l="1"/>
  <c r="M3" i="9"/>
  <c r="J49" i="7"/>
  <c r="K51" i="7"/>
  <c r="J51" i="7"/>
  <c r="K49" i="7" l="1"/>
  <c r="F53" i="6" l="1"/>
  <c r="H53" i="6" s="1"/>
  <c r="F51" i="6"/>
  <c r="H51" i="6" s="1"/>
  <c r="F49" i="6"/>
  <c r="H49" i="6" s="1"/>
  <c r="J49" i="6" l="1"/>
  <c r="J53" i="6"/>
  <c r="J51" i="6"/>
  <c r="K51" i="6"/>
  <c r="C7" i="9" l="1"/>
  <c r="C7" i="12"/>
  <c r="K53" i="6"/>
  <c r="K49" i="6"/>
  <c r="F53" i="5" l="1"/>
  <c r="F51" i="5"/>
  <c r="H51" i="5" s="1"/>
  <c r="F49" i="5"/>
  <c r="H49" i="5" s="1"/>
  <c r="H53" i="5" l="1"/>
  <c r="J53" i="5" s="1"/>
  <c r="K49" i="5"/>
  <c r="J49" i="5"/>
  <c r="J51" i="5"/>
  <c r="K51" i="5"/>
  <c r="K53" i="5"/>
  <c r="F41" i="4" l="1" a="1"/>
  <c r="F41" i="4" s="1"/>
  <c r="C9" i="8" l="1"/>
  <c r="C10" i="8" l="1"/>
  <c r="C11" i="8" l="1"/>
  <c r="C13" i="8" s="1"/>
  <c r="C14" i="8" s="1"/>
  <c r="I50" i="8" s="1"/>
  <c r="C30" i="8"/>
  <c r="C32" i="8" s="1"/>
  <c r="G30" i="8"/>
  <c r="G32" i="8" s="1"/>
  <c r="C12" i="8" l="1"/>
  <c r="C16" i="8"/>
  <c r="C15" i="8"/>
  <c r="C50" i="8"/>
  <c r="C19" i="8" l="1"/>
  <c r="C20" i="8" s="1"/>
  <c r="J51" i="3" l="1"/>
  <c r="C22" i="8"/>
  <c r="J53" i="3"/>
  <c r="J55" i="3"/>
  <c r="J49" i="3"/>
  <c r="J57" i="3"/>
  <c r="J59" i="3"/>
  <c r="J63" i="3"/>
  <c r="D10" i="7" l="1"/>
  <c r="B9" i="7"/>
  <c r="D21" i="6"/>
  <c r="F7" i="6"/>
  <c r="B12" i="6"/>
  <c r="D11" i="5"/>
  <c r="F18" i="5"/>
  <c r="B10" i="5"/>
  <c r="B39" i="7"/>
  <c r="D12" i="6"/>
  <c r="D13" i="6"/>
  <c r="D14" i="6"/>
  <c r="D19" i="6"/>
  <c r="D30" i="6"/>
  <c r="D33" i="6"/>
  <c r="D36" i="6"/>
  <c r="D37" i="6"/>
  <c r="D39" i="6"/>
  <c r="D40" i="6"/>
  <c r="D33" i="3"/>
  <c r="F40" i="3"/>
  <c r="H40" i="3"/>
  <c r="J37" i="3"/>
  <c r="L29" i="3"/>
  <c r="N35" i="3"/>
  <c r="P36" i="3"/>
  <c r="R35" i="3"/>
  <c r="B11" i="3"/>
  <c r="D29" i="6" l="1"/>
  <c r="D28" i="6"/>
  <c r="D24" i="6"/>
  <c r="D27" i="6"/>
  <c r="BE25" i="12" s="1"/>
  <c r="D26" i="6"/>
  <c r="BE24" i="9" s="1"/>
  <c r="D23" i="6"/>
  <c r="BE21" i="9" s="1"/>
  <c r="D20" i="6"/>
  <c r="BE18" i="9" s="1"/>
  <c r="D10" i="6"/>
  <c r="BE8" i="9" s="1"/>
  <c r="D17" i="6"/>
  <c r="BE15" i="12" s="1"/>
  <c r="D16" i="6"/>
  <c r="BE14" i="9" s="1"/>
  <c r="D20" i="7"/>
  <c r="BL18" i="12" s="1"/>
  <c r="F24" i="6"/>
  <c r="BG22" i="9" s="1"/>
  <c r="D9" i="6"/>
  <c r="BE7" i="12" s="1"/>
  <c r="AV8" i="9"/>
  <c r="AV8" i="12"/>
  <c r="AB34" i="9"/>
  <c r="AB34" i="12"/>
  <c r="BE31" i="9"/>
  <c r="BE31" i="12"/>
  <c r="AZ16" i="9"/>
  <c r="AZ16" i="12"/>
  <c r="AD26" i="9"/>
  <c r="AD26" i="12"/>
  <c r="Z37" i="9"/>
  <c r="Z37" i="12"/>
  <c r="BE28" i="9"/>
  <c r="BE28" i="12"/>
  <c r="AX9" i="9"/>
  <c r="AX9" i="12"/>
  <c r="BE34" i="9"/>
  <c r="BE34" i="12"/>
  <c r="X37" i="9"/>
  <c r="X37" i="12"/>
  <c r="BE27" i="9"/>
  <c r="BE27" i="12"/>
  <c r="BE17" i="9"/>
  <c r="BE17" i="12"/>
  <c r="BJ37" i="9"/>
  <c r="BJ37" i="12"/>
  <c r="BC10" i="9"/>
  <c r="BC10" i="12"/>
  <c r="BE10" i="9"/>
  <c r="BE10" i="12"/>
  <c r="T8" i="9"/>
  <c r="T8" i="12"/>
  <c r="V30" i="9"/>
  <c r="V30" i="12"/>
  <c r="BE26" i="9"/>
  <c r="BE26" i="12"/>
  <c r="BG5" i="9"/>
  <c r="BG5" i="12"/>
  <c r="BE19" i="9"/>
  <c r="BE19" i="12"/>
  <c r="AH33" i="9"/>
  <c r="AH33" i="12"/>
  <c r="BE37" i="9"/>
  <c r="BE37" i="12"/>
  <c r="BE12" i="9"/>
  <c r="BE12" i="12"/>
  <c r="BJ7" i="9"/>
  <c r="BJ7" i="12"/>
  <c r="AJ32" i="9"/>
  <c r="AJ32" i="12"/>
  <c r="BE38" i="9"/>
  <c r="BE38" i="12"/>
  <c r="AF32" i="9"/>
  <c r="AF32" i="12"/>
  <c r="BE35" i="9"/>
  <c r="BE35" i="12"/>
  <c r="BE22" i="9"/>
  <c r="BE22" i="12"/>
  <c r="BE11" i="9"/>
  <c r="BE11" i="12"/>
  <c r="BL8" i="9"/>
  <c r="BL8" i="12"/>
  <c r="D19" i="7"/>
  <c r="D31" i="7"/>
  <c r="D14" i="7"/>
  <c r="D30" i="7"/>
  <c r="D13" i="7"/>
  <c r="D36" i="7"/>
  <c r="D35" i="7"/>
  <c r="D29" i="7"/>
  <c r="D8" i="7"/>
  <c r="D15" i="7"/>
  <c r="D25" i="7"/>
  <c r="D40" i="7"/>
  <c r="D24" i="7"/>
  <c r="B15" i="7"/>
  <c r="B40" i="7"/>
  <c r="B36" i="7"/>
  <c r="B20" i="7"/>
  <c r="B31" i="7"/>
  <c r="F16" i="6"/>
  <c r="F37" i="6"/>
  <c r="D9" i="7"/>
  <c r="F33" i="5"/>
  <c r="F32" i="5"/>
  <c r="F24" i="5"/>
  <c r="F25" i="5"/>
  <c r="F14" i="5"/>
  <c r="F10" i="6"/>
  <c r="F16" i="5"/>
  <c r="F40" i="5"/>
  <c r="F6" i="6"/>
  <c r="F38" i="5"/>
  <c r="F30" i="5"/>
  <c r="F22" i="5"/>
  <c r="F11" i="5"/>
  <c r="F37" i="5"/>
  <c r="F29" i="5"/>
  <c r="F21" i="5"/>
  <c r="F10" i="5"/>
  <c r="F36" i="5"/>
  <c r="F28" i="5"/>
  <c r="F20" i="5"/>
  <c r="F7" i="5"/>
  <c r="F39" i="5"/>
  <c r="F31" i="5"/>
  <c r="F23" i="5"/>
  <c r="F13" i="5"/>
  <c r="F35" i="5"/>
  <c r="F27" i="5"/>
  <c r="F19" i="5"/>
  <c r="F34" i="5"/>
  <c r="F26" i="5"/>
  <c r="F17" i="5"/>
  <c r="D39" i="4"/>
  <c r="D31" i="4"/>
  <c r="D23" i="4"/>
  <c r="D15" i="4"/>
  <c r="D7" i="4"/>
  <c r="D14" i="4"/>
  <c r="D6" i="4"/>
  <c r="AQ4" i="12" s="1"/>
  <c r="D28" i="4"/>
  <c r="D20" i="4"/>
  <c r="D12" i="4"/>
  <c r="D16" i="4"/>
  <c r="D38" i="4"/>
  <c r="D30" i="4"/>
  <c r="D22" i="4"/>
  <c r="D10" i="4"/>
  <c r="D25" i="4"/>
  <c r="D32" i="4"/>
  <c r="D37" i="4"/>
  <c r="D29" i="4"/>
  <c r="D21" i="4"/>
  <c r="D13" i="4"/>
  <c r="D36" i="4"/>
  <c r="D40" i="4"/>
  <c r="D8" i="4"/>
  <c r="D35" i="4"/>
  <c r="D27" i="4"/>
  <c r="D19" i="4"/>
  <c r="D11" i="4"/>
  <c r="D34" i="4"/>
  <c r="D26" i="4"/>
  <c r="D18" i="4"/>
  <c r="D17" i="4"/>
  <c r="D9" i="4"/>
  <c r="D24" i="4"/>
  <c r="D33" i="4"/>
  <c r="B40" i="4"/>
  <c r="B39" i="4"/>
  <c r="B31" i="4"/>
  <c r="B23" i="4"/>
  <c r="B15" i="4"/>
  <c r="B7" i="4"/>
  <c r="B29" i="4"/>
  <c r="B21" i="4"/>
  <c r="B33" i="4"/>
  <c r="B38" i="4"/>
  <c r="B30" i="4"/>
  <c r="B22" i="4"/>
  <c r="B14" i="4"/>
  <c r="B6" i="4"/>
  <c r="B37" i="4"/>
  <c r="B13" i="4"/>
  <c r="B17" i="4"/>
  <c r="B9" i="4"/>
  <c r="B24" i="4"/>
  <c r="B8" i="4"/>
  <c r="B32" i="4"/>
  <c r="B36" i="4"/>
  <c r="B28" i="4"/>
  <c r="B20" i="4"/>
  <c r="B12" i="4"/>
  <c r="B26" i="4"/>
  <c r="B10" i="4"/>
  <c r="B25" i="4"/>
  <c r="B16" i="4"/>
  <c r="AO14" i="12" s="1"/>
  <c r="B35" i="4"/>
  <c r="B27" i="4"/>
  <c r="B19" i="4"/>
  <c r="B11" i="4"/>
  <c r="B34" i="4"/>
  <c r="B18" i="4"/>
  <c r="D41" i="3"/>
  <c r="D34" i="3"/>
  <c r="B32" i="7"/>
  <c r="B23" i="7"/>
  <c r="B12" i="7"/>
  <c r="L21" i="3"/>
  <c r="B7" i="7"/>
  <c r="L13" i="3"/>
  <c r="B24" i="7"/>
  <c r="D9" i="3"/>
  <c r="D40" i="3"/>
  <c r="D10" i="3"/>
  <c r="P12" i="3"/>
  <c r="L37" i="3"/>
  <c r="L36" i="3"/>
  <c r="B38" i="5"/>
  <c r="B31" i="5"/>
  <c r="B20" i="5"/>
  <c r="B14" i="5"/>
  <c r="B12" i="5"/>
  <c r="B36" i="5"/>
  <c r="B30" i="5"/>
  <c r="F33" i="3"/>
  <c r="B23" i="5"/>
  <c r="B6" i="5"/>
  <c r="AV4" i="12" s="1"/>
  <c r="F8" i="3"/>
  <c r="B7" i="5"/>
  <c r="B39" i="5"/>
  <c r="B28" i="5"/>
  <c r="B22" i="5"/>
  <c r="B15" i="5"/>
  <c r="D25" i="5"/>
  <c r="P27" i="3"/>
  <c r="D26" i="5"/>
  <c r="D22" i="5"/>
  <c r="D35" i="5"/>
  <c r="D14" i="5"/>
  <c r="P11" i="3"/>
  <c r="P28" i="3"/>
  <c r="D39" i="5"/>
  <c r="D36" i="5"/>
  <c r="D32" i="5"/>
  <c r="D29" i="5"/>
  <c r="D19" i="5"/>
  <c r="D15" i="5"/>
  <c r="D10" i="5"/>
  <c r="P19" i="3"/>
  <c r="D38" i="5"/>
  <c r="D31" i="5"/>
  <c r="D28" i="5"/>
  <c r="D24" i="5"/>
  <c r="D21" i="5"/>
  <c r="D17" i="5"/>
  <c r="P34" i="3"/>
  <c r="P20" i="3"/>
  <c r="P35" i="3"/>
  <c r="D34" i="5"/>
  <c r="D13" i="5"/>
  <c r="D7" i="5"/>
  <c r="D18" i="5"/>
  <c r="D40" i="5"/>
  <c r="D37" i="5"/>
  <c r="D27" i="5"/>
  <c r="D16" i="5"/>
  <c r="B32" i="6"/>
  <c r="D9" i="5"/>
  <c r="B27" i="3"/>
  <c r="D33" i="5"/>
  <c r="D30" i="5"/>
  <c r="D23" i="5"/>
  <c r="D20" i="5"/>
  <c r="F36" i="6"/>
  <c r="F31" i="6"/>
  <c r="F23" i="6"/>
  <c r="F18" i="6"/>
  <c r="F32" i="6"/>
  <c r="B14" i="6"/>
  <c r="H23" i="3"/>
  <c r="H38" i="3"/>
  <c r="F9" i="3"/>
  <c r="D17" i="3"/>
  <c r="F24" i="3"/>
  <c r="F40" i="6"/>
  <c r="F35" i="6"/>
  <c r="B30" i="6"/>
  <c r="F26" i="6"/>
  <c r="B22" i="6"/>
  <c r="B17" i="6"/>
  <c r="F14" i="6"/>
  <c r="F9" i="6"/>
  <c r="F19" i="6"/>
  <c r="F39" i="3"/>
  <c r="H16" i="3"/>
  <c r="F17" i="3"/>
  <c r="H24" i="3"/>
  <c r="H31" i="3"/>
  <c r="F34" i="6"/>
  <c r="B25" i="6"/>
  <c r="F22" i="6"/>
  <c r="B8" i="6"/>
  <c r="H15" i="3"/>
  <c r="B18" i="3"/>
  <c r="D25" i="3"/>
  <c r="F32" i="3"/>
  <c r="H39" i="3"/>
  <c r="B38" i="6"/>
  <c r="B33" i="6"/>
  <c r="F30" i="6"/>
  <c r="F25" i="6"/>
  <c r="F21" i="6"/>
  <c r="F17" i="6"/>
  <c r="F13" i="6"/>
  <c r="D7" i="6"/>
  <c r="B28" i="7"/>
  <c r="B19" i="7"/>
  <c r="B11" i="7"/>
  <c r="F16" i="3"/>
  <c r="F41" i="3"/>
  <c r="B40" i="6"/>
  <c r="F27" i="6"/>
  <c r="B9" i="6"/>
  <c r="D18" i="3"/>
  <c r="F25" i="3"/>
  <c r="H32" i="3"/>
  <c r="F38" i="6"/>
  <c r="B24" i="6"/>
  <c r="B16" i="6"/>
  <c r="B6" i="6"/>
  <c r="BC4" i="12" s="1"/>
  <c r="B35" i="7"/>
  <c r="B27" i="7"/>
  <c r="H8" i="3"/>
  <c r="H7" i="3"/>
  <c r="D26" i="3"/>
  <c r="F33" i="6"/>
  <c r="F20" i="6"/>
  <c r="D6" i="6"/>
  <c r="BE4" i="12" s="1"/>
  <c r="B16" i="7"/>
  <c r="B8" i="7"/>
  <c r="D34" i="7"/>
  <c r="D18" i="7"/>
  <c r="D39" i="7"/>
  <c r="D33" i="7"/>
  <c r="D28" i="7"/>
  <c r="D23" i="7"/>
  <c r="D17" i="7"/>
  <c r="D12" i="7"/>
  <c r="D7" i="7"/>
  <c r="D38" i="7"/>
  <c r="D22" i="7"/>
  <c r="D6" i="7"/>
  <c r="BL4" i="12" s="1"/>
  <c r="D37" i="7"/>
  <c r="D32" i="7"/>
  <c r="D27" i="7"/>
  <c r="D21" i="7"/>
  <c r="D16" i="7"/>
  <c r="D11" i="7"/>
  <c r="D26" i="7"/>
  <c r="B38" i="7"/>
  <c r="B34" i="7"/>
  <c r="B30" i="7"/>
  <c r="B26" i="7"/>
  <c r="B22" i="7"/>
  <c r="B18" i="7"/>
  <c r="B14" i="7"/>
  <c r="B10" i="7"/>
  <c r="B6" i="7"/>
  <c r="BJ4" i="12" s="1"/>
  <c r="B37" i="7"/>
  <c r="B33" i="7"/>
  <c r="B29" i="7"/>
  <c r="B25" i="7"/>
  <c r="B21" i="7"/>
  <c r="B17" i="7"/>
  <c r="B13" i="7"/>
  <c r="F39" i="6"/>
  <c r="D35" i="6"/>
  <c r="D32" i="6"/>
  <c r="F29" i="6"/>
  <c r="D25" i="6"/>
  <c r="D22" i="6"/>
  <c r="D18" i="6"/>
  <c r="D15" i="6"/>
  <c r="F12" i="6"/>
  <c r="F15" i="6"/>
  <c r="D11" i="6"/>
  <c r="D8" i="6"/>
  <c r="D38" i="6"/>
  <c r="D34" i="6"/>
  <c r="D31" i="6"/>
  <c r="F28" i="6"/>
  <c r="F11" i="6"/>
  <c r="F8" i="6"/>
  <c r="B35" i="6"/>
  <c r="B27" i="6"/>
  <c r="B19" i="6"/>
  <c r="B11" i="6"/>
  <c r="B37" i="6"/>
  <c r="B29" i="6"/>
  <c r="B21" i="6"/>
  <c r="B13" i="6"/>
  <c r="B34" i="6"/>
  <c r="B26" i="6"/>
  <c r="B18" i="6"/>
  <c r="B10" i="6"/>
  <c r="B39" i="6"/>
  <c r="B31" i="6"/>
  <c r="B23" i="6"/>
  <c r="B15" i="6"/>
  <c r="B7" i="6"/>
  <c r="B36" i="6"/>
  <c r="B28" i="6"/>
  <c r="B20" i="6"/>
  <c r="D6" i="5"/>
  <c r="AX4" i="12" s="1"/>
  <c r="F9" i="5"/>
  <c r="F6" i="5"/>
  <c r="AZ4" i="12" s="1"/>
  <c r="D12" i="5"/>
  <c r="D8" i="5"/>
  <c r="F15" i="5"/>
  <c r="F12" i="5"/>
  <c r="F8" i="5"/>
  <c r="B33" i="5"/>
  <c r="B25" i="5"/>
  <c r="B17" i="5"/>
  <c r="B9" i="5"/>
  <c r="B35" i="5"/>
  <c r="B27" i="5"/>
  <c r="B19" i="5"/>
  <c r="B11" i="5"/>
  <c r="B40" i="5"/>
  <c r="B32" i="5"/>
  <c r="B24" i="5"/>
  <c r="B16" i="5"/>
  <c r="B8" i="5"/>
  <c r="B37" i="5"/>
  <c r="B29" i="5"/>
  <c r="B21" i="5"/>
  <c r="B13" i="5"/>
  <c r="B34" i="5"/>
  <c r="B26" i="5"/>
  <c r="B18" i="5"/>
  <c r="R19" i="3"/>
  <c r="R26" i="3"/>
  <c r="R41" i="3"/>
  <c r="R11" i="3"/>
  <c r="R27" i="3"/>
  <c r="R34" i="3"/>
  <c r="R18" i="3"/>
  <c r="R10" i="3"/>
  <c r="B34" i="3"/>
  <c r="B10" i="3"/>
  <c r="B19" i="3"/>
  <c r="B41" i="3"/>
  <c r="B26" i="3"/>
  <c r="B35" i="3"/>
  <c r="L7" i="3"/>
  <c r="J8" i="3"/>
  <c r="H9" i="3"/>
  <c r="F10" i="3"/>
  <c r="D11" i="3"/>
  <c r="B12" i="3"/>
  <c r="R12" i="3"/>
  <c r="P13" i="3"/>
  <c r="N14" i="3"/>
  <c r="L15" i="3"/>
  <c r="J16" i="3"/>
  <c r="H17" i="3"/>
  <c r="F18" i="3"/>
  <c r="D19" i="3"/>
  <c r="B20" i="3"/>
  <c r="R20" i="3"/>
  <c r="P21" i="3"/>
  <c r="N22" i="3"/>
  <c r="L23" i="3"/>
  <c r="J24" i="3"/>
  <c r="H25" i="3"/>
  <c r="F26" i="3"/>
  <c r="D27" i="3"/>
  <c r="B28" i="3"/>
  <c r="R28" i="3"/>
  <c r="P29" i="3"/>
  <c r="N30" i="3"/>
  <c r="L31" i="3"/>
  <c r="J32" i="3"/>
  <c r="H33" i="3"/>
  <c r="F34" i="3"/>
  <c r="D35" i="3"/>
  <c r="B36" i="3"/>
  <c r="R36" i="3"/>
  <c r="P37" i="3"/>
  <c r="N38" i="3"/>
  <c r="L39" i="3"/>
  <c r="J40" i="3"/>
  <c r="H41" i="3"/>
  <c r="N36" i="3"/>
  <c r="J38" i="3"/>
  <c r="J23" i="3"/>
  <c r="L30" i="3"/>
  <c r="J39" i="3"/>
  <c r="N7" i="3"/>
  <c r="L8" i="3"/>
  <c r="J9" i="3"/>
  <c r="H10" i="3"/>
  <c r="F11" i="3"/>
  <c r="D12" i="3"/>
  <c r="B13" i="3"/>
  <c r="R13" i="3"/>
  <c r="P14" i="3"/>
  <c r="N15" i="3"/>
  <c r="L16" i="3"/>
  <c r="J17" i="3"/>
  <c r="H18" i="3"/>
  <c r="F19" i="3"/>
  <c r="D20" i="3"/>
  <c r="B21" i="3"/>
  <c r="R21" i="3"/>
  <c r="P22" i="3"/>
  <c r="N23" i="3"/>
  <c r="L24" i="3"/>
  <c r="J25" i="3"/>
  <c r="H26" i="3"/>
  <c r="F27" i="3"/>
  <c r="D28" i="3"/>
  <c r="B29" i="3"/>
  <c r="R29" i="3"/>
  <c r="P30" i="3"/>
  <c r="N31" i="3"/>
  <c r="L32" i="3"/>
  <c r="J33" i="3"/>
  <c r="H34" i="3"/>
  <c r="F35" i="3"/>
  <c r="D36" i="3"/>
  <c r="B37" i="3"/>
  <c r="R37" i="3"/>
  <c r="P38" i="3"/>
  <c r="N39" i="3"/>
  <c r="L40" i="3"/>
  <c r="J41" i="3"/>
  <c r="L38" i="3"/>
  <c r="P7" i="3"/>
  <c r="N8" i="3"/>
  <c r="L9" i="3"/>
  <c r="J10" i="3"/>
  <c r="H11" i="3"/>
  <c r="F12" i="3"/>
  <c r="D13" i="3"/>
  <c r="B14" i="3"/>
  <c r="R14" i="3"/>
  <c r="P15" i="3"/>
  <c r="N16" i="3"/>
  <c r="L17" i="3"/>
  <c r="J18" i="3"/>
  <c r="H19" i="3"/>
  <c r="F20" i="3"/>
  <c r="D21" i="3"/>
  <c r="B22" i="3"/>
  <c r="R22" i="3"/>
  <c r="P23" i="3"/>
  <c r="N24" i="3"/>
  <c r="L25" i="3"/>
  <c r="J26" i="3"/>
  <c r="H27" i="3"/>
  <c r="F28" i="3"/>
  <c r="D29" i="3"/>
  <c r="B30" i="3"/>
  <c r="R30" i="3"/>
  <c r="P31" i="3"/>
  <c r="N32" i="3"/>
  <c r="L33" i="3"/>
  <c r="J34" i="3"/>
  <c r="H35" i="3"/>
  <c r="F36" i="3"/>
  <c r="D37" i="3"/>
  <c r="B38" i="3"/>
  <c r="R38" i="3"/>
  <c r="P39" i="3"/>
  <c r="N40" i="3"/>
  <c r="L41" i="3"/>
  <c r="J22" i="3"/>
  <c r="L22" i="3"/>
  <c r="J31" i="3"/>
  <c r="B7" i="3"/>
  <c r="R7" i="3"/>
  <c r="P8" i="3"/>
  <c r="N9" i="3"/>
  <c r="L10" i="3"/>
  <c r="J11" i="3"/>
  <c r="H12" i="3"/>
  <c r="F13" i="3"/>
  <c r="D14" i="3"/>
  <c r="B15" i="3"/>
  <c r="R15" i="3"/>
  <c r="P16" i="3"/>
  <c r="N17" i="3"/>
  <c r="L18" i="3"/>
  <c r="J19" i="3"/>
  <c r="H20" i="3"/>
  <c r="F21" i="3"/>
  <c r="D22" i="3"/>
  <c r="B23" i="3"/>
  <c r="R23" i="3"/>
  <c r="P24" i="3"/>
  <c r="N25" i="3"/>
  <c r="L26" i="3"/>
  <c r="J27" i="3"/>
  <c r="H28" i="3"/>
  <c r="F29" i="3"/>
  <c r="D30" i="3"/>
  <c r="B31" i="3"/>
  <c r="R31" i="3"/>
  <c r="P32" i="3"/>
  <c r="N33" i="3"/>
  <c r="L34" i="3"/>
  <c r="J35" i="3"/>
  <c r="H36" i="3"/>
  <c r="F37" i="3"/>
  <c r="D38" i="3"/>
  <c r="B39" i="3"/>
  <c r="R39" i="3"/>
  <c r="P40" i="3"/>
  <c r="N41" i="3"/>
  <c r="N28" i="3"/>
  <c r="L14" i="3"/>
  <c r="N29" i="3"/>
  <c r="N37" i="3"/>
  <c r="D7" i="3"/>
  <c r="B8" i="3"/>
  <c r="R8" i="3"/>
  <c r="P9" i="3"/>
  <c r="N10" i="3"/>
  <c r="L11" i="3"/>
  <c r="J12" i="3"/>
  <c r="H13" i="3"/>
  <c r="F14" i="3"/>
  <c r="D15" i="3"/>
  <c r="B16" i="3"/>
  <c r="R16" i="3"/>
  <c r="P17" i="3"/>
  <c r="N18" i="3"/>
  <c r="L19" i="3"/>
  <c r="J20" i="3"/>
  <c r="H21" i="3"/>
  <c r="F22" i="3"/>
  <c r="D23" i="3"/>
  <c r="B24" i="3"/>
  <c r="R24" i="3"/>
  <c r="P25" i="3"/>
  <c r="N26" i="3"/>
  <c r="L27" i="3"/>
  <c r="J28" i="3"/>
  <c r="H29" i="3"/>
  <c r="F30" i="3"/>
  <c r="D31" i="3"/>
  <c r="B32" i="3"/>
  <c r="R32" i="3"/>
  <c r="P33" i="3"/>
  <c r="N34" i="3"/>
  <c r="L35" i="3"/>
  <c r="J36" i="3"/>
  <c r="H37" i="3"/>
  <c r="F38" i="3"/>
  <c r="D39" i="3"/>
  <c r="B40" i="3"/>
  <c r="R40" i="3"/>
  <c r="P41" i="3"/>
  <c r="N12" i="3"/>
  <c r="J14" i="3"/>
  <c r="N20" i="3"/>
  <c r="J30" i="3"/>
  <c r="J7" i="3"/>
  <c r="N13" i="3"/>
  <c r="J15" i="3"/>
  <c r="N21" i="3"/>
  <c r="F7" i="3"/>
  <c r="D8" i="3"/>
  <c r="B9" i="3"/>
  <c r="R9" i="3"/>
  <c r="P10" i="3"/>
  <c r="N11" i="3"/>
  <c r="L12" i="3"/>
  <c r="J13" i="3"/>
  <c r="H14" i="3"/>
  <c r="F15" i="3"/>
  <c r="D16" i="3"/>
  <c r="B17" i="3"/>
  <c r="R17" i="3"/>
  <c r="P18" i="3"/>
  <c r="N19" i="3"/>
  <c r="L20" i="3"/>
  <c r="J21" i="3"/>
  <c r="H22" i="3"/>
  <c r="F23" i="3"/>
  <c r="D24" i="3"/>
  <c r="B25" i="3"/>
  <c r="R25" i="3"/>
  <c r="P26" i="3"/>
  <c r="N27" i="3"/>
  <c r="L28" i="3"/>
  <c r="J29" i="3"/>
  <c r="H30" i="3"/>
  <c r="F31" i="3"/>
  <c r="D32" i="3"/>
  <c r="B33" i="3"/>
  <c r="R33" i="3"/>
  <c r="BE25" i="9" l="1"/>
  <c r="BE24" i="12"/>
  <c r="BE14" i="12"/>
  <c r="BE21" i="12"/>
  <c r="BE18" i="12"/>
  <c r="BE15" i="9"/>
  <c r="BE8" i="12"/>
  <c r="BL18" i="9"/>
  <c r="BE7" i="9"/>
  <c r="BG22" i="12"/>
  <c r="AZ8" i="9"/>
  <c r="AZ8" i="12"/>
  <c r="BL34" i="9"/>
  <c r="BL34" i="12"/>
  <c r="V21" i="9"/>
  <c r="V21" i="12"/>
  <c r="AJ6" i="9"/>
  <c r="AJ6" i="12"/>
  <c r="X35" i="9"/>
  <c r="X35" i="12"/>
  <c r="T21" i="9"/>
  <c r="T21" i="12"/>
  <c r="AH6" i="9"/>
  <c r="AH6" i="12"/>
  <c r="AF38" i="9"/>
  <c r="AF38" i="12"/>
  <c r="AB24" i="9"/>
  <c r="AB24" i="12"/>
  <c r="Z17" i="9"/>
  <c r="Z17" i="12"/>
  <c r="X10" i="9"/>
  <c r="X10" i="12"/>
  <c r="AB28" i="9"/>
  <c r="AB28" i="12"/>
  <c r="V34" i="9"/>
  <c r="V34" i="12"/>
  <c r="T27" i="9"/>
  <c r="T27" i="12"/>
  <c r="AJ19" i="9"/>
  <c r="AJ19" i="12"/>
  <c r="AH12" i="9"/>
  <c r="AH12" i="12"/>
  <c r="AF5" i="9"/>
  <c r="AF5" i="12"/>
  <c r="AJ26" i="9"/>
  <c r="AJ26" i="12"/>
  <c r="AH19" i="9"/>
  <c r="AH19" i="12"/>
  <c r="AF12" i="9"/>
  <c r="AF12" i="12"/>
  <c r="AD5" i="9"/>
  <c r="AD5" i="12"/>
  <c r="AB37" i="9"/>
  <c r="AB37" i="12"/>
  <c r="Z30" i="9"/>
  <c r="Z30" i="12"/>
  <c r="X23" i="9"/>
  <c r="X23" i="12"/>
  <c r="V16" i="9"/>
  <c r="V16" i="12"/>
  <c r="T9" i="9"/>
  <c r="T9" i="12"/>
  <c r="T38" i="9"/>
  <c r="T38" i="12"/>
  <c r="AJ8" i="9"/>
  <c r="AJ8" i="12"/>
  <c r="AV19" i="9"/>
  <c r="AV19" i="12"/>
  <c r="AV9" i="9"/>
  <c r="AV9" i="12"/>
  <c r="AZ6" i="9"/>
  <c r="AZ6" i="12"/>
  <c r="BC18" i="9"/>
  <c r="BC18" i="12"/>
  <c r="BC8" i="9"/>
  <c r="BC8" i="12"/>
  <c r="BC9" i="9"/>
  <c r="BC9" i="12"/>
  <c r="BE32" i="9"/>
  <c r="BE32" i="12"/>
  <c r="BE20" i="9"/>
  <c r="BE20" i="12"/>
  <c r="BJ19" i="9"/>
  <c r="BJ19" i="12"/>
  <c r="BJ16" i="9"/>
  <c r="BJ16" i="12"/>
  <c r="BL14" i="9"/>
  <c r="BL14" i="12"/>
  <c r="BL5" i="9"/>
  <c r="BL5" i="12"/>
  <c r="BL32" i="9"/>
  <c r="BL32" i="12"/>
  <c r="Z5" i="9"/>
  <c r="Z5" i="12"/>
  <c r="X22" i="9"/>
  <c r="X22" i="12"/>
  <c r="BJ17" i="9"/>
  <c r="BJ17" i="12"/>
  <c r="BC31" i="9"/>
  <c r="BC31" i="12"/>
  <c r="BG20" i="9"/>
  <c r="BG20" i="12"/>
  <c r="BG17" i="9"/>
  <c r="BG17" i="12"/>
  <c r="BG38" i="9"/>
  <c r="BG38" i="12"/>
  <c r="BG16" i="9"/>
  <c r="BG16" i="12"/>
  <c r="T24" i="9"/>
  <c r="T24" i="12"/>
  <c r="AX5" i="9"/>
  <c r="AX5" i="12"/>
  <c r="AX22" i="9"/>
  <c r="AX22" i="12"/>
  <c r="AX27" i="9"/>
  <c r="AX27" i="12"/>
  <c r="AX20" i="9"/>
  <c r="AX20" i="12"/>
  <c r="AV5" i="9"/>
  <c r="AV5" i="12"/>
  <c r="AV12" i="9"/>
  <c r="AV12" i="12"/>
  <c r="V37" i="9"/>
  <c r="V37" i="12"/>
  <c r="BJ30" i="9"/>
  <c r="BJ30" i="12"/>
  <c r="AO33" i="9"/>
  <c r="AO33" i="12"/>
  <c r="AO34" i="9"/>
  <c r="AO34" i="12"/>
  <c r="AO4" i="9"/>
  <c r="AO4" i="12"/>
  <c r="AO5" i="9"/>
  <c r="AO5" i="12"/>
  <c r="AQ7" i="9"/>
  <c r="AQ7" i="12"/>
  <c r="AQ33" i="9"/>
  <c r="AQ33" i="12"/>
  <c r="AQ30" i="9"/>
  <c r="AQ30" i="12"/>
  <c r="AQ18" i="9"/>
  <c r="AQ18" i="12"/>
  <c r="AQ37" i="9"/>
  <c r="AQ37" i="12"/>
  <c r="AZ21" i="9"/>
  <c r="AZ21" i="12"/>
  <c r="AZ19" i="9"/>
  <c r="AZ19" i="12"/>
  <c r="AZ38" i="9"/>
  <c r="AZ38" i="12"/>
  <c r="BL7" i="9"/>
  <c r="BL7" i="12"/>
  <c r="BL22" i="9"/>
  <c r="BL22" i="12"/>
  <c r="BL11" i="9"/>
  <c r="BL11" i="12"/>
  <c r="AH7" i="9"/>
  <c r="AH7" i="12"/>
  <c r="AH20" i="9"/>
  <c r="AH20" i="12"/>
  <c r="AV31" i="9"/>
  <c r="AV31" i="12"/>
  <c r="BC37" i="9"/>
  <c r="BC37" i="12"/>
  <c r="BE29" i="9"/>
  <c r="BE29" i="12"/>
  <c r="BJ15" i="9"/>
  <c r="BJ15" i="12"/>
  <c r="BL9" i="9"/>
  <c r="BL9" i="12"/>
  <c r="BL36" i="9"/>
  <c r="BL36" i="12"/>
  <c r="BC6" i="9"/>
  <c r="BC6" i="12"/>
  <c r="AX31" i="9"/>
  <c r="AX31" i="12"/>
  <c r="AX17" i="9"/>
  <c r="AX17" i="12"/>
  <c r="AV10" i="9"/>
  <c r="AV10" i="12"/>
  <c r="AQ10" i="9"/>
  <c r="AQ10" i="12"/>
  <c r="BJ13" i="9"/>
  <c r="BJ13" i="12"/>
  <c r="T14" i="9"/>
  <c r="T14" i="12"/>
  <c r="AB27" i="9"/>
  <c r="AB27" i="12"/>
  <c r="V28" i="9"/>
  <c r="V28" i="12"/>
  <c r="AJ13" i="9"/>
  <c r="AJ13" i="12"/>
  <c r="AD31" i="9"/>
  <c r="AD31" i="12"/>
  <c r="T34" i="9"/>
  <c r="T34" i="12"/>
  <c r="Z27" i="9"/>
  <c r="Z27" i="12"/>
  <c r="X20" i="9"/>
  <c r="X20" i="12"/>
  <c r="V13" i="9"/>
  <c r="V13" i="12"/>
  <c r="T6" i="9"/>
  <c r="T6" i="12"/>
  <c r="AF17" i="9"/>
  <c r="AF17" i="12"/>
  <c r="Z34" i="9"/>
  <c r="Z34" i="12"/>
  <c r="X27" i="9"/>
  <c r="X27" i="12"/>
  <c r="V20" i="9"/>
  <c r="V20" i="12"/>
  <c r="T13" i="9"/>
  <c r="T13" i="12"/>
  <c r="AJ5" i="9"/>
  <c r="AJ5" i="12"/>
  <c r="AH37" i="9"/>
  <c r="AH37" i="12"/>
  <c r="AF30" i="9"/>
  <c r="AF30" i="12"/>
  <c r="AD23" i="9"/>
  <c r="AD23" i="12"/>
  <c r="AB16" i="9"/>
  <c r="AB16" i="12"/>
  <c r="Z9" i="9"/>
  <c r="Z9" i="12"/>
  <c r="AD19" i="9"/>
  <c r="AD19" i="12"/>
  <c r="X33" i="9"/>
  <c r="X33" i="12"/>
  <c r="V26" i="9"/>
  <c r="V26" i="12"/>
  <c r="T19" i="9"/>
  <c r="T19" i="12"/>
  <c r="AJ11" i="9"/>
  <c r="AJ11" i="12"/>
  <c r="AH4" i="9"/>
  <c r="AH4" i="12"/>
  <c r="V33" i="9"/>
  <c r="V33" i="12"/>
  <c r="T26" i="9"/>
  <c r="T26" i="12"/>
  <c r="AJ18" i="9"/>
  <c r="AJ18" i="12"/>
  <c r="AH11" i="9"/>
  <c r="AH11" i="12"/>
  <c r="AF4" i="9"/>
  <c r="AF4" i="12"/>
  <c r="AD36" i="9"/>
  <c r="AD36" i="12"/>
  <c r="AB29" i="9"/>
  <c r="AB29" i="12"/>
  <c r="Z22" i="9"/>
  <c r="Z22" i="12"/>
  <c r="X15" i="9"/>
  <c r="X15" i="12"/>
  <c r="V8" i="9"/>
  <c r="V8" i="12"/>
  <c r="T16" i="9"/>
  <c r="T16" i="12"/>
  <c r="AJ38" i="9"/>
  <c r="AJ38" i="12"/>
  <c r="AV27" i="9"/>
  <c r="AV27" i="12"/>
  <c r="AV17" i="9"/>
  <c r="AV17" i="12"/>
  <c r="AZ10" i="9"/>
  <c r="AZ10" i="12"/>
  <c r="BC26" i="9"/>
  <c r="BC26" i="12"/>
  <c r="BC16" i="9"/>
  <c r="BC16" i="12"/>
  <c r="BC17" i="9"/>
  <c r="BC17" i="12"/>
  <c r="BE36" i="9"/>
  <c r="BE36" i="12"/>
  <c r="BE23" i="9"/>
  <c r="BE23" i="12"/>
  <c r="BJ23" i="9"/>
  <c r="BJ23" i="12"/>
  <c r="BJ20" i="9"/>
  <c r="BJ20" i="12"/>
  <c r="BL19" i="9"/>
  <c r="BL19" i="12"/>
  <c r="BL10" i="9"/>
  <c r="BL10" i="12"/>
  <c r="BJ6" i="9"/>
  <c r="BJ6" i="12"/>
  <c r="BJ25" i="9"/>
  <c r="BJ25" i="12"/>
  <c r="V15" i="9"/>
  <c r="V15" i="12"/>
  <c r="BJ26" i="9"/>
  <c r="BJ26" i="12"/>
  <c r="BC36" i="9"/>
  <c r="BC36" i="12"/>
  <c r="BC23" i="9"/>
  <c r="BC23" i="12"/>
  <c r="BG7" i="9"/>
  <c r="BG7" i="12"/>
  <c r="X21" i="9"/>
  <c r="X21" i="12"/>
  <c r="BG21" i="9"/>
  <c r="BG21" i="12"/>
  <c r="AX7" i="9"/>
  <c r="AX7" i="12"/>
  <c r="AX11" i="9"/>
  <c r="AX11" i="12"/>
  <c r="AX26" i="9"/>
  <c r="AX26" i="12"/>
  <c r="AX30" i="9"/>
  <c r="AX30" i="12"/>
  <c r="AX24" i="9"/>
  <c r="AX24" i="12"/>
  <c r="X5" i="9"/>
  <c r="X5" i="12"/>
  <c r="AV18" i="9"/>
  <c r="AV18" i="12"/>
  <c r="V6" i="9"/>
  <c r="V6" i="12"/>
  <c r="V31" i="9"/>
  <c r="V31" i="12"/>
  <c r="AO30" i="9"/>
  <c r="AO30" i="12"/>
  <c r="AO12" i="9"/>
  <c r="AO12" i="12"/>
  <c r="AO13" i="9"/>
  <c r="AO13" i="12"/>
  <c r="AQ15" i="9"/>
  <c r="AQ15" i="12"/>
  <c r="AQ6" i="9"/>
  <c r="AQ6" i="12"/>
  <c r="AQ23" i="9"/>
  <c r="AQ23" i="12"/>
  <c r="AQ26" i="9"/>
  <c r="AQ26" i="12"/>
  <c r="AZ15" i="9"/>
  <c r="AZ15" i="12"/>
  <c r="AZ29" i="9"/>
  <c r="AZ29" i="12"/>
  <c r="AZ27" i="9"/>
  <c r="AZ27" i="12"/>
  <c r="AZ14" i="9"/>
  <c r="AZ14" i="12"/>
  <c r="BG35" i="9"/>
  <c r="BG35" i="12"/>
  <c r="BL38" i="9"/>
  <c r="BL38" i="12"/>
  <c r="BL28" i="9"/>
  <c r="BL28" i="12"/>
  <c r="AJ14" i="9"/>
  <c r="AJ14" i="12"/>
  <c r="V36" i="9"/>
  <c r="V36" i="12"/>
  <c r="AF7" i="9"/>
  <c r="AF7" i="12"/>
  <c r="Z25" i="9"/>
  <c r="Z25" i="12"/>
  <c r="T4" i="9"/>
  <c r="T4" i="12"/>
  <c r="AF13" i="9"/>
  <c r="AF13" i="12"/>
  <c r="AH27" i="9"/>
  <c r="AH27" i="12"/>
  <c r="AD13" i="9"/>
  <c r="AD13" i="12"/>
  <c r="Z38" i="9"/>
  <c r="Z38" i="12"/>
  <c r="V24" i="9"/>
  <c r="V24" i="12"/>
  <c r="T17" i="9"/>
  <c r="T17" i="12"/>
  <c r="AJ24" i="9"/>
  <c r="AJ24" i="12"/>
  <c r="BJ9" i="9"/>
  <c r="BJ9" i="12"/>
  <c r="BG30" i="9"/>
  <c r="BG30" i="12"/>
  <c r="V7" i="9"/>
  <c r="V7" i="12"/>
  <c r="AO26" i="9"/>
  <c r="AO26" i="12"/>
  <c r="AO35" i="9"/>
  <c r="AO35" i="12"/>
  <c r="AO27" i="9"/>
  <c r="AO27" i="12"/>
  <c r="AQ22" i="9"/>
  <c r="AQ22" i="12"/>
  <c r="AQ35" i="9"/>
  <c r="AQ35" i="12"/>
  <c r="AZ11" i="9"/>
  <c r="AZ11" i="12"/>
  <c r="X28" i="9"/>
  <c r="X28" i="12"/>
  <c r="AB26" i="9"/>
  <c r="AB26" i="12"/>
  <c r="Z19" i="9"/>
  <c r="Z19" i="12"/>
  <c r="X12" i="9"/>
  <c r="X12" i="12"/>
  <c r="V5" i="9"/>
  <c r="V5" i="12"/>
  <c r="AB11" i="9"/>
  <c r="AB11" i="12"/>
  <c r="AB33" i="9"/>
  <c r="AB33" i="12"/>
  <c r="Z26" i="9"/>
  <c r="Z26" i="12"/>
  <c r="X19" i="9"/>
  <c r="X19" i="12"/>
  <c r="V12" i="9"/>
  <c r="V12" i="12"/>
  <c r="T5" i="9"/>
  <c r="T5" i="12"/>
  <c r="AJ36" i="9"/>
  <c r="AJ36" i="12"/>
  <c r="AH29" i="9"/>
  <c r="AH29" i="12"/>
  <c r="AF22" i="9"/>
  <c r="AF22" i="12"/>
  <c r="AD15" i="9"/>
  <c r="AD15" i="12"/>
  <c r="AB8" i="9"/>
  <c r="AB8" i="12"/>
  <c r="AB19" i="9"/>
  <c r="AB19" i="12"/>
  <c r="Z32" i="9"/>
  <c r="Z32" i="12"/>
  <c r="X25" i="9"/>
  <c r="X25" i="12"/>
  <c r="V18" i="9"/>
  <c r="V18" i="12"/>
  <c r="T11" i="9"/>
  <c r="T11" i="12"/>
  <c r="AD35" i="9"/>
  <c r="AD35" i="12"/>
  <c r="X32" i="9"/>
  <c r="X32" i="12"/>
  <c r="V25" i="9"/>
  <c r="V25" i="12"/>
  <c r="T18" i="9"/>
  <c r="T18" i="12"/>
  <c r="AJ10" i="9"/>
  <c r="AJ10" i="12"/>
  <c r="AB36" i="9"/>
  <c r="AB36" i="12"/>
  <c r="AF35" i="9"/>
  <c r="AF35" i="12"/>
  <c r="AD28" i="9"/>
  <c r="AD28" i="12"/>
  <c r="AB21" i="9"/>
  <c r="AB21" i="12"/>
  <c r="Z14" i="9"/>
  <c r="Z14" i="12"/>
  <c r="X7" i="9"/>
  <c r="X7" i="12"/>
  <c r="T7" i="9"/>
  <c r="T7" i="12"/>
  <c r="AJ23" i="9"/>
  <c r="AJ23" i="12"/>
  <c r="AV35" i="9"/>
  <c r="AV35" i="12"/>
  <c r="AV25" i="9"/>
  <c r="AV25" i="12"/>
  <c r="AZ13" i="9"/>
  <c r="AZ13" i="12"/>
  <c r="BC34" i="9"/>
  <c r="BC34" i="12"/>
  <c r="BC24" i="9"/>
  <c r="BC24" i="12"/>
  <c r="BC25" i="9"/>
  <c r="BC25" i="12"/>
  <c r="BE6" i="9"/>
  <c r="BE6" i="12"/>
  <c r="BG27" i="9"/>
  <c r="BG27" i="12"/>
  <c r="BJ27" i="9"/>
  <c r="BJ27" i="12"/>
  <c r="BJ24" i="9"/>
  <c r="BJ24" i="12"/>
  <c r="BL25" i="9"/>
  <c r="BL25" i="12"/>
  <c r="BL15" i="9"/>
  <c r="BL15" i="12"/>
  <c r="BJ14" i="9"/>
  <c r="BJ14" i="12"/>
  <c r="BJ33" i="9"/>
  <c r="BJ33" i="12"/>
  <c r="BC7" i="9"/>
  <c r="BC7" i="12"/>
  <c r="BE5" i="9"/>
  <c r="BE5" i="12"/>
  <c r="Z36" i="9"/>
  <c r="Z36" i="12"/>
  <c r="BG32" i="9"/>
  <c r="BG32" i="12"/>
  <c r="BG12" i="9"/>
  <c r="BG12" i="12"/>
  <c r="V14" i="9"/>
  <c r="V14" i="12"/>
  <c r="BG29" i="9"/>
  <c r="BG29" i="12"/>
  <c r="BC30" i="9"/>
  <c r="BC30" i="12"/>
  <c r="AX32" i="9"/>
  <c r="AX32" i="12"/>
  <c r="AX29" i="9"/>
  <c r="AX29" i="12"/>
  <c r="AX34" i="9"/>
  <c r="AX34" i="12"/>
  <c r="AH24" i="9"/>
  <c r="AH24" i="12"/>
  <c r="AV29" i="9"/>
  <c r="AV29" i="12"/>
  <c r="BJ22" i="9"/>
  <c r="BJ22" i="12"/>
  <c r="V38" i="9"/>
  <c r="V38" i="12"/>
  <c r="AO23" i="9"/>
  <c r="AO23" i="12"/>
  <c r="AO6" i="9"/>
  <c r="AO6" i="12"/>
  <c r="AO20" i="9"/>
  <c r="AO20" i="12"/>
  <c r="AO21" i="9"/>
  <c r="AO21" i="12"/>
  <c r="AQ16" i="9"/>
  <c r="AQ16" i="12"/>
  <c r="AQ38" i="9"/>
  <c r="AQ38" i="12"/>
  <c r="AQ8" i="9"/>
  <c r="AQ8" i="12"/>
  <c r="AZ24" i="9"/>
  <c r="AZ24" i="12"/>
  <c r="AZ37" i="9"/>
  <c r="AZ37" i="12"/>
  <c r="AZ35" i="9"/>
  <c r="AZ35" i="12"/>
  <c r="BG8" i="9"/>
  <c r="BG8" i="12"/>
  <c r="BG14" i="9"/>
  <c r="BG14" i="12"/>
  <c r="BL23" i="9"/>
  <c r="BL23" i="12"/>
  <c r="BL12" i="9"/>
  <c r="BL12" i="12"/>
  <c r="T22" i="9"/>
  <c r="T22" i="12"/>
  <c r="AJ21" i="9"/>
  <c r="AJ21" i="12"/>
  <c r="AB32" i="9"/>
  <c r="AB32" i="12"/>
  <c r="V11" i="9"/>
  <c r="V11" i="12"/>
  <c r="AD6" i="9"/>
  <c r="AD6" i="12"/>
  <c r="AF20" i="9"/>
  <c r="AF20" i="12"/>
  <c r="AB6" i="9"/>
  <c r="AB6" i="12"/>
  <c r="T23" i="9"/>
  <c r="T23" i="12"/>
  <c r="AV11" i="9"/>
  <c r="AV11" i="12"/>
  <c r="BC35" i="9"/>
  <c r="BC35" i="12"/>
  <c r="BJ12" i="9"/>
  <c r="BJ12" i="12"/>
  <c r="BL16" i="9"/>
  <c r="BL16" i="12"/>
  <c r="Z29" i="9"/>
  <c r="Z29" i="12"/>
  <c r="X36" i="9"/>
  <c r="X36" i="12"/>
  <c r="AX19" i="9"/>
  <c r="AX19" i="12"/>
  <c r="AV37" i="9"/>
  <c r="AV37" i="12"/>
  <c r="AO25" i="9"/>
  <c r="AO25" i="12"/>
  <c r="AQ29" i="9"/>
  <c r="AQ29" i="12"/>
  <c r="AB18" i="9"/>
  <c r="AB18" i="12"/>
  <c r="X4" i="9"/>
  <c r="X4" i="12"/>
  <c r="AD32" i="9"/>
  <c r="AD32" i="12"/>
  <c r="Z18" i="9"/>
  <c r="Z18" i="12"/>
  <c r="V4" i="9"/>
  <c r="V4" i="12"/>
  <c r="T36" i="9"/>
  <c r="T36" i="12"/>
  <c r="AH21" i="9"/>
  <c r="AH21" i="12"/>
  <c r="AF14" i="9"/>
  <c r="AF14" i="12"/>
  <c r="AD38" i="9"/>
  <c r="AD38" i="12"/>
  <c r="AB31" i="9"/>
  <c r="AB31" i="12"/>
  <c r="Z24" i="9"/>
  <c r="Z24" i="12"/>
  <c r="X17" i="9"/>
  <c r="X17" i="12"/>
  <c r="V10" i="9"/>
  <c r="V10" i="12"/>
  <c r="AB38" i="9"/>
  <c r="AB38" i="12"/>
  <c r="X24" i="9"/>
  <c r="X24" i="12"/>
  <c r="V17" i="9"/>
  <c r="V17" i="12"/>
  <c r="T10" i="9"/>
  <c r="T10" i="12"/>
  <c r="AD27" i="9"/>
  <c r="AD27" i="12"/>
  <c r="AH34" i="9"/>
  <c r="AH34" i="12"/>
  <c r="AF27" i="9"/>
  <c r="AF27" i="12"/>
  <c r="AD20" i="9"/>
  <c r="AD20" i="12"/>
  <c r="AB13" i="9"/>
  <c r="AB13" i="12"/>
  <c r="Z6" i="9"/>
  <c r="Z6" i="12"/>
  <c r="T31" i="9"/>
  <c r="T31" i="12"/>
  <c r="AJ16" i="9"/>
  <c r="AJ16" i="12"/>
  <c r="AV6" i="9"/>
  <c r="AV6" i="12"/>
  <c r="AV33" i="9"/>
  <c r="AV33" i="12"/>
  <c r="AX6" i="9"/>
  <c r="AX6" i="12"/>
  <c r="BC5" i="9"/>
  <c r="BC5" i="12"/>
  <c r="BC32" i="9"/>
  <c r="BC32" i="12"/>
  <c r="BC33" i="9"/>
  <c r="BC33" i="12"/>
  <c r="BE9" i="9"/>
  <c r="BE9" i="12"/>
  <c r="BE30" i="9"/>
  <c r="BE30" i="12"/>
  <c r="BJ31" i="9"/>
  <c r="BJ31" i="12"/>
  <c r="BJ28" i="9"/>
  <c r="BJ28" i="12"/>
  <c r="BL30" i="9"/>
  <c r="BL30" i="12"/>
  <c r="BL21" i="9"/>
  <c r="BL21" i="12"/>
  <c r="BG25" i="9"/>
  <c r="BG25" i="12"/>
  <c r="BG11" i="9"/>
  <c r="BG11" i="12"/>
  <c r="X29" i="9"/>
  <c r="X29" i="12"/>
  <c r="Z28" i="9"/>
  <c r="Z28" i="12"/>
  <c r="BC15" i="9"/>
  <c r="BC15" i="12"/>
  <c r="X6" i="9"/>
  <c r="X6" i="12"/>
  <c r="BG34" i="9"/>
  <c r="BG34" i="12"/>
  <c r="AX14" i="9"/>
  <c r="AX14" i="12"/>
  <c r="AH32" i="9"/>
  <c r="AH32" i="12"/>
  <c r="AX36" i="9"/>
  <c r="AX36" i="12"/>
  <c r="AX37" i="9"/>
  <c r="AX37" i="12"/>
  <c r="AX23" i="9"/>
  <c r="AX23" i="12"/>
  <c r="AV21" i="9"/>
  <c r="AV21" i="12"/>
  <c r="AV36" i="9"/>
  <c r="AV36" i="12"/>
  <c r="AD10" i="9"/>
  <c r="AD10" i="12"/>
  <c r="AO16" i="9"/>
  <c r="AO16" i="12"/>
  <c r="AO8" i="9"/>
  <c r="AO8" i="12"/>
  <c r="AO22" i="9"/>
  <c r="AO22" i="12"/>
  <c r="AO28" i="9"/>
  <c r="AO28" i="12"/>
  <c r="AO29" i="9"/>
  <c r="AO29" i="12"/>
  <c r="AQ24" i="9"/>
  <c r="AQ24" i="12"/>
  <c r="AQ34" i="9"/>
  <c r="AQ34" i="12"/>
  <c r="AQ20" i="9"/>
  <c r="AQ20" i="12"/>
  <c r="AQ12" i="9"/>
  <c r="AQ12" i="12"/>
  <c r="AZ32" i="9"/>
  <c r="AZ32" i="12"/>
  <c r="AZ5" i="9"/>
  <c r="AZ5" i="12"/>
  <c r="AZ9" i="9"/>
  <c r="AZ9" i="12"/>
  <c r="AZ12" i="9"/>
  <c r="AZ12" i="12"/>
  <c r="BJ29" i="9"/>
  <c r="BJ29" i="12"/>
  <c r="BL13" i="9"/>
  <c r="BL13" i="12"/>
  <c r="BL29" i="9"/>
  <c r="BL29" i="12"/>
  <c r="V29" i="9"/>
  <c r="V29" i="12"/>
  <c r="AB4" i="9"/>
  <c r="AB4" i="12"/>
  <c r="AH14" i="9"/>
  <c r="AH14" i="12"/>
  <c r="AF25" i="9"/>
  <c r="AF25" i="12"/>
  <c r="X18" i="9"/>
  <c r="X18" i="12"/>
  <c r="AJ27" i="9"/>
  <c r="AJ27" i="12"/>
  <c r="AJ34" i="9"/>
  <c r="AJ34" i="12"/>
  <c r="X31" i="9"/>
  <c r="X31" i="12"/>
  <c r="BE16" i="9"/>
  <c r="BE16" i="12"/>
  <c r="BG28" i="9"/>
  <c r="BG28" i="12"/>
  <c r="AZ31" i="9"/>
  <c r="AZ31" i="12"/>
  <c r="AD25" i="9"/>
  <c r="AD25" i="12"/>
  <c r="Z11" i="9"/>
  <c r="Z11" i="12"/>
  <c r="AF9" i="9"/>
  <c r="AF9" i="12"/>
  <c r="AB25" i="9"/>
  <c r="AB25" i="12"/>
  <c r="X11" i="9"/>
  <c r="X11" i="12"/>
  <c r="AJ28" i="9"/>
  <c r="AJ28" i="12"/>
  <c r="AD7" i="9"/>
  <c r="AD7" i="12"/>
  <c r="Z31" i="9"/>
  <c r="Z31" i="12"/>
  <c r="AF24" i="9"/>
  <c r="AF24" i="12"/>
  <c r="AD17" i="9"/>
  <c r="AD17" i="12"/>
  <c r="AB10" i="9"/>
  <c r="AB10" i="12"/>
  <c r="AF18" i="9"/>
  <c r="AF18" i="12"/>
  <c r="AH38" i="9"/>
  <c r="AH38" i="12"/>
  <c r="AF31" i="9"/>
  <c r="AF31" i="12"/>
  <c r="AD24" i="9"/>
  <c r="AD24" i="12"/>
  <c r="AB17" i="9"/>
  <c r="AB17" i="12"/>
  <c r="Z10" i="9"/>
  <c r="Z10" i="12"/>
  <c r="AF34" i="9"/>
  <c r="AF34" i="12"/>
  <c r="V35" i="9"/>
  <c r="V35" i="12"/>
  <c r="T28" i="9"/>
  <c r="T28" i="12"/>
  <c r="AJ20" i="9"/>
  <c r="AJ20" i="12"/>
  <c r="AH13" i="9"/>
  <c r="AH13" i="12"/>
  <c r="AF6" i="9"/>
  <c r="AF6" i="12"/>
  <c r="AF37" i="9"/>
  <c r="AF37" i="12"/>
  <c r="AD30" i="9"/>
  <c r="AD30" i="12"/>
  <c r="AB23" i="9"/>
  <c r="AB23" i="12"/>
  <c r="Z16" i="9"/>
  <c r="Z16" i="12"/>
  <c r="X9" i="9"/>
  <c r="X9" i="12"/>
  <c r="AD37" i="9"/>
  <c r="AD37" i="12"/>
  <c r="AB30" i="9"/>
  <c r="AB30" i="12"/>
  <c r="Z23" i="9"/>
  <c r="Z23" i="12"/>
  <c r="X16" i="9"/>
  <c r="X16" i="12"/>
  <c r="V9" i="9"/>
  <c r="V9" i="12"/>
  <c r="AB20" i="9"/>
  <c r="AB20" i="12"/>
  <c r="AJ33" i="9"/>
  <c r="AJ33" i="12"/>
  <c r="AH26" i="9"/>
  <c r="AH26" i="12"/>
  <c r="AF19" i="9"/>
  <c r="AF19" i="12"/>
  <c r="AD12" i="9"/>
  <c r="AD12" i="12"/>
  <c r="AB5" i="9"/>
  <c r="AB5" i="12"/>
  <c r="AJ7" i="9"/>
  <c r="AJ7" i="12"/>
  <c r="AV16" i="9"/>
  <c r="AV16" i="12"/>
  <c r="AV14" i="9"/>
  <c r="AV14" i="12"/>
  <c r="AV7" i="9"/>
  <c r="AV7" i="12"/>
  <c r="AX10" i="9"/>
  <c r="AX10" i="12"/>
  <c r="BC13" i="9"/>
  <c r="BC13" i="12"/>
  <c r="BC11" i="9"/>
  <c r="BC11" i="12"/>
  <c r="BG6" i="9"/>
  <c r="BG6" i="12"/>
  <c r="BG13" i="9"/>
  <c r="BG13" i="12"/>
  <c r="BE33" i="9"/>
  <c r="BE33" i="12"/>
  <c r="BJ35" i="9"/>
  <c r="BJ35" i="12"/>
  <c r="BJ32" i="9"/>
  <c r="BJ32" i="12"/>
  <c r="BL35" i="9"/>
  <c r="BL35" i="12"/>
  <c r="BL26" i="9"/>
  <c r="BL26" i="12"/>
  <c r="BG18" i="9"/>
  <c r="BG18" i="12"/>
  <c r="BC14" i="9"/>
  <c r="BC14" i="12"/>
  <c r="BC38" i="9"/>
  <c r="BC38" i="12"/>
  <c r="BG15" i="9"/>
  <c r="BG15" i="12"/>
  <c r="V22" i="9"/>
  <c r="V22" i="12"/>
  <c r="Z21" i="9"/>
  <c r="Z21" i="12"/>
  <c r="BC20" i="9"/>
  <c r="BC20" i="12"/>
  <c r="Z35" i="9"/>
  <c r="Z35" i="12"/>
  <c r="AX18" i="9"/>
  <c r="AX18" i="12"/>
  <c r="AX25" i="9"/>
  <c r="AX25" i="12"/>
  <c r="AH17" i="9"/>
  <c r="AH17" i="12"/>
  <c r="AH16" i="9"/>
  <c r="AH16" i="12"/>
  <c r="AH25" i="9"/>
  <c r="AH25" i="12"/>
  <c r="AV13" i="9"/>
  <c r="AV13" i="12"/>
  <c r="X30" i="9"/>
  <c r="X30" i="12"/>
  <c r="AD33" i="9"/>
  <c r="AD33" i="12"/>
  <c r="BJ5" i="9"/>
  <c r="BJ5" i="12"/>
  <c r="AO32" i="9"/>
  <c r="AO32" i="12"/>
  <c r="AO24" i="9"/>
  <c r="AO24" i="12"/>
  <c r="AO7" i="9"/>
  <c r="AO7" i="12"/>
  <c r="AO36" i="9"/>
  <c r="AO36" i="12"/>
  <c r="AO37" i="9"/>
  <c r="AO37" i="12"/>
  <c r="AQ32" i="9"/>
  <c r="AQ32" i="12"/>
  <c r="AQ11" i="9"/>
  <c r="AQ11" i="12"/>
  <c r="AQ28" i="9"/>
  <c r="AQ28" i="12"/>
  <c r="AQ5" i="9"/>
  <c r="AQ5" i="12"/>
  <c r="AZ17" i="9"/>
  <c r="AZ17" i="12"/>
  <c r="AZ18" i="9"/>
  <c r="AZ18" i="12"/>
  <c r="AZ20" i="9"/>
  <c r="AZ20" i="12"/>
  <c r="AZ23" i="9"/>
  <c r="AZ23" i="12"/>
  <c r="BJ18" i="9"/>
  <c r="BJ18" i="12"/>
  <c r="BL6" i="9"/>
  <c r="BL6" i="12"/>
  <c r="BL17" i="9"/>
  <c r="BL17" i="12"/>
  <c r="T29" i="9"/>
  <c r="T29" i="12"/>
  <c r="T35" i="9"/>
  <c r="T35" i="12"/>
  <c r="AJ9" i="9"/>
  <c r="AJ9" i="12"/>
  <c r="AV38" i="9"/>
  <c r="AV38" i="12"/>
  <c r="Z4" i="9"/>
  <c r="Z4" i="12"/>
  <c r="BG33" i="9"/>
  <c r="BG33" i="12"/>
  <c r="AX16" i="9"/>
  <c r="AX16" i="12"/>
  <c r="AX33" i="9"/>
  <c r="AX33" i="12"/>
  <c r="BJ21" i="9"/>
  <c r="BJ21" i="12"/>
  <c r="AQ25" i="9"/>
  <c r="AQ25" i="12"/>
  <c r="BG4" i="9"/>
  <c r="BG4" i="12"/>
  <c r="AH23" i="9"/>
  <c r="AH23" i="12"/>
  <c r="AD9" i="9"/>
  <c r="AD9" i="12"/>
  <c r="AJ37" i="9"/>
  <c r="AJ37" i="12"/>
  <c r="AF23" i="9"/>
  <c r="AF23" i="12"/>
  <c r="AB9" i="9"/>
  <c r="AB9" i="12"/>
  <c r="X34" i="9"/>
  <c r="X34" i="12"/>
  <c r="V27" i="9"/>
  <c r="V27" i="12"/>
  <c r="AJ12" i="9"/>
  <c r="AJ12" i="12"/>
  <c r="AF29" i="9"/>
  <c r="AF29" i="12"/>
  <c r="AB15" i="9"/>
  <c r="AB15" i="12"/>
  <c r="AF36" i="9"/>
  <c r="AF36" i="12"/>
  <c r="AB22" i="9"/>
  <c r="AB22" i="12"/>
  <c r="AB35" i="9"/>
  <c r="AB35" i="12"/>
  <c r="AJ25" i="9"/>
  <c r="AJ25" i="12"/>
  <c r="AF11" i="9"/>
  <c r="AF11" i="12"/>
  <c r="AJ15" i="9"/>
  <c r="AJ15" i="12"/>
  <c r="AV24" i="9"/>
  <c r="AV24" i="12"/>
  <c r="AV22" i="9"/>
  <c r="AV22" i="12"/>
  <c r="AV15" i="9"/>
  <c r="AV15" i="12"/>
  <c r="BC21" i="9"/>
  <c r="BC21" i="12"/>
  <c r="BC19" i="9"/>
  <c r="BC19" i="12"/>
  <c r="BG9" i="9"/>
  <c r="BG9" i="12"/>
  <c r="BG10" i="9"/>
  <c r="BG10" i="12"/>
  <c r="BG37" i="9"/>
  <c r="BG37" i="12"/>
  <c r="BJ36" i="9"/>
  <c r="BJ36" i="12"/>
  <c r="BL31" i="9"/>
  <c r="BL31" i="12"/>
  <c r="BG31" i="9"/>
  <c r="BG31" i="12"/>
  <c r="BC22" i="9"/>
  <c r="BC22" i="12"/>
  <c r="X38" i="9"/>
  <c r="X38" i="12"/>
  <c r="BG19" i="9"/>
  <c r="BG19" i="12"/>
  <c r="T15" i="9"/>
  <c r="T15" i="12"/>
  <c r="X14" i="9"/>
  <c r="X14" i="12"/>
  <c r="BG24" i="9"/>
  <c r="BG24" i="12"/>
  <c r="Z20" i="9"/>
  <c r="Z20" i="12"/>
  <c r="AX21" i="9"/>
  <c r="AX21" i="12"/>
  <c r="AX35" i="9"/>
  <c r="AX35" i="12"/>
  <c r="AH31" i="9"/>
  <c r="AH31" i="12"/>
  <c r="AX8" i="9"/>
  <c r="AX8" i="12"/>
  <c r="AH8" i="9"/>
  <c r="AH8" i="12"/>
  <c r="AV20" i="9"/>
  <c r="AV20" i="12"/>
  <c r="AV28" i="9"/>
  <c r="AV28" i="12"/>
  <c r="AD34" i="9"/>
  <c r="AD34" i="12"/>
  <c r="AD18" i="9"/>
  <c r="AD18" i="12"/>
  <c r="AO9" i="9"/>
  <c r="AO9" i="12"/>
  <c r="AO10" i="9"/>
  <c r="AO10" i="12"/>
  <c r="AO15" i="9"/>
  <c r="AO15" i="12"/>
  <c r="AO31" i="9"/>
  <c r="AO31" i="12"/>
  <c r="AO38" i="9"/>
  <c r="AO38" i="12"/>
  <c r="AQ9" i="9"/>
  <c r="AQ9" i="12"/>
  <c r="AQ19" i="9"/>
  <c r="AQ19" i="12"/>
  <c r="AQ36" i="9"/>
  <c r="AQ36" i="12"/>
  <c r="AQ13" i="9"/>
  <c r="AQ13" i="12"/>
  <c r="AZ25" i="9"/>
  <c r="AZ25" i="12"/>
  <c r="AZ26" i="9"/>
  <c r="AZ26" i="12"/>
  <c r="AZ28" i="9"/>
  <c r="AZ28" i="12"/>
  <c r="AZ22" i="9"/>
  <c r="AZ22" i="12"/>
  <c r="BJ34" i="9"/>
  <c r="BJ34" i="12"/>
  <c r="BL27" i="9"/>
  <c r="BL27" i="12"/>
  <c r="AJ30" i="9"/>
  <c r="AJ30" i="12"/>
  <c r="AF16" i="9"/>
  <c r="AF16" i="12"/>
  <c r="AB12" i="9"/>
  <c r="AB12" i="12"/>
  <c r="AH30" i="9"/>
  <c r="AH30" i="12"/>
  <c r="AD16" i="9"/>
  <c r="AD16" i="12"/>
  <c r="AF26" i="9"/>
  <c r="AF26" i="12"/>
  <c r="T20" i="9"/>
  <c r="T20" i="12"/>
  <c r="AH5" i="9"/>
  <c r="AH5" i="12"/>
  <c r="AH36" i="9"/>
  <c r="AH36" i="12"/>
  <c r="AD22" i="9"/>
  <c r="AD22" i="12"/>
  <c r="Z8" i="9"/>
  <c r="Z8" i="12"/>
  <c r="AD29" i="9"/>
  <c r="AD29" i="12"/>
  <c r="Z15" i="9"/>
  <c r="Z15" i="12"/>
  <c r="X8" i="9"/>
  <c r="X8" i="12"/>
  <c r="T33" i="9"/>
  <c r="T33" i="12"/>
  <c r="AH18" i="9"/>
  <c r="AH18" i="12"/>
  <c r="AD4" i="9"/>
  <c r="AD4" i="12"/>
  <c r="T30" i="9"/>
  <c r="T30" i="12"/>
  <c r="AJ22" i="9"/>
  <c r="AJ22" i="12"/>
  <c r="AH15" i="9"/>
  <c r="AH15" i="12"/>
  <c r="AF8" i="9"/>
  <c r="AF8" i="12"/>
  <c r="AF10" i="9"/>
  <c r="AF10" i="12"/>
  <c r="T37" i="9"/>
  <c r="T37" i="12"/>
  <c r="AJ29" i="9"/>
  <c r="AJ29" i="12"/>
  <c r="AH22" i="9"/>
  <c r="AH22" i="12"/>
  <c r="AF15" i="9"/>
  <c r="AF15" i="12"/>
  <c r="AD8" i="9"/>
  <c r="AD8" i="12"/>
  <c r="AD11" i="9"/>
  <c r="AD11" i="12"/>
  <c r="Z33" i="9"/>
  <c r="Z33" i="12"/>
  <c r="X26" i="9"/>
  <c r="X26" i="12"/>
  <c r="V19" i="9"/>
  <c r="V19" i="12"/>
  <c r="T12" i="9"/>
  <c r="T12" i="12"/>
  <c r="AJ4" i="9"/>
  <c r="AJ4" i="12"/>
  <c r="AJ35" i="9"/>
  <c r="AJ35" i="12"/>
  <c r="AH28" i="9"/>
  <c r="AH28" i="12"/>
  <c r="AF21" i="9"/>
  <c r="AF21" i="12"/>
  <c r="AD14" i="9"/>
  <c r="AD14" i="12"/>
  <c r="AB7" i="9"/>
  <c r="AB7" i="12"/>
  <c r="AH35" i="9"/>
  <c r="AH35" i="12"/>
  <c r="AF28" i="9"/>
  <c r="AF28" i="12"/>
  <c r="AD21" i="9"/>
  <c r="AD21" i="12"/>
  <c r="AB14" i="9"/>
  <c r="AB14" i="12"/>
  <c r="Z7" i="9"/>
  <c r="Z7" i="12"/>
  <c r="AF33" i="9"/>
  <c r="AF33" i="12"/>
  <c r="V32" i="9"/>
  <c r="V32" i="12"/>
  <c r="T25" i="9"/>
  <c r="T25" i="12"/>
  <c r="AJ17" i="9"/>
  <c r="AJ17" i="12"/>
  <c r="AH10" i="9"/>
  <c r="AH10" i="12"/>
  <c r="T32" i="9"/>
  <c r="T32" i="12"/>
  <c r="AJ31" i="9"/>
  <c r="AJ31" i="12"/>
  <c r="AV32" i="9"/>
  <c r="AV32" i="12"/>
  <c r="AV30" i="9"/>
  <c r="AV30" i="12"/>
  <c r="AV23" i="9"/>
  <c r="AV23" i="12"/>
  <c r="AZ7" i="9"/>
  <c r="AZ7" i="12"/>
  <c r="BC29" i="9"/>
  <c r="BC29" i="12"/>
  <c r="BC27" i="9"/>
  <c r="BC27" i="12"/>
  <c r="BG26" i="9"/>
  <c r="BG26" i="12"/>
  <c r="BE13" i="9"/>
  <c r="BE13" i="12"/>
  <c r="BJ11" i="9"/>
  <c r="BJ11" i="12"/>
  <c r="BJ8" i="9"/>
  <c r="BJ8" i="12"/>
  <c r="BL24" i="9"/>
  <c r="BL24" i="12"/>
  <c r="BL20" i="9"/>
  <c r="BL20" i="12"/>
  <c r="BL37" i="9"/>
  <c r="BL37" i="12"/>
  <c r="V23" i="9"/>
  <c r="V23" i="12"/>
  <c r="BG36" i="9"/>
  <c r="BG36" i="12"/>
  <c r="X13" i="9"/>
  <c r="X13" i="12"/>
  <c r="BG23" i="9"/>
  <c r="BG23" i="12"/>
  <c r="Z12" i="9"/>
  <c r="Z12" i="12"/>
  <c r="Z13" i="9"/>
  <c r="Z13" i="12"/>
  <c r="BC28" i="9"/>
  <c r="BC28" i="12"/>
  <c r="BC12" i="9"/>
  <c r="BC12" i="12"/>
  <c r="AX28" i="9"/>
  <c r="AX28" i="12"/>
  <c r="AX38" i="9"/>
  <c r="AX38" i="12"/>
  <c r="AX15" i="9"/>
  <c r="AX15" i="12"/>
  <c r="AX13" i="9"/>
  <c r="AX13" i="12"/>
  <c r="AX12" i="9"/>
  <c r="AX12" i="12"/>
  <c r="AV26" i="9"/>
  <c r="AV26" i="12"/>
  <c r="AV34" i="9"/>
  <c r="AV34" i="12"/>
  <c r="AH9" i="9"/>
  <c r="AH9" i="12"/>
  <c r="BJ10" i="9"/>
  <c r="BJ10" i="12"/>
  <c r="AO17" i="9"/>
  <c r="AO17" i="12"/>
  <c r="AO18" i="9"/>
  <c r="AO18" i="12"/>
  <c r="AO11" i="9"/>
  <c r="AO11" i="12"/>
  <c r="AO19" i="9"/>
  <c r="AO19" i="12"/>
  <c r="AQ31" i="9"/>
  <c r="AQ31" i="12"/>
  <c r="AQ17" i="9"/>
  <c r="AQ17" i="12"/>
  <c r="AQ27" i="9"/>
  <c r="AQ27" i="12"/>
  <c r="AQ14" i="9"/>
  <c r="AQ14" i="12"/>
  <c r="AQ21" i="9"/>
  <c r="AQ21" i="12"/>
  <c r="AZ33" i="9"/>
  <c r="AZ33" i="12"/>
  <c r="AZ34" i="9"/>
  <c r="AZ34" i="12"/>
  <c r="AZ36" i="9"/>
  <c r="AZ36" i="12"/>
  <c r="AZ30" i="9"/>
  <c r="AZ30" i="12"/>
  <c r="BJ38" i="9"/>
  <c r="BJ38" i="12"/>
  <c r="BL33" i="9"/>
  <c r="BL33" i="12"/>
  <c r="F41" i="6" a="1"/>
  <c r="F41" i="6" s="1"/>
  <c r="AZ4" i="9"/>
  <c r="F41" i="5" a="1"/>
  <c r="F41" i="5" s="1"/>
  <c r="BL4" i="9"/>
  <c r="D41" i="7" a="1"/>
  <c r="D41" i="7" s="1"/>
  <c r="B41" i="4" a="1"/>
  <c r="B41" i="4" s="1"/>
  <c r="AO14" i="9"/>
  <c r="AV4" i="9"/>
  <c r="B41" i="5" a="1"/>
  <c r="B41" i="5" s="1"/>
  <c r="AQ4" i="9"/>
  <c r="D41" i="4" a="1"/>
  <c r="D41" i="4" s="1"/>
  <c r="BE4" i="9"/>
  <c r="D41" i="6" a="1"/>
  <c r="D41" i="6" s="1"/>
  <c r="BC4" i="9"/>
  <c r="B41" i="6" a="1"/>
  <c r="B41" i="6" s="1"/>
  <c r="BJ4" i="9"/>
  <c r="B41" i="7" a="1"/>
  <c r="B41" i="7" s="1"/>
  <c r="AX4" i="9"/>
  <c r="D41" i="5" a="1"/>
  <c r="D41" i="5" s="1"/>
  <c r="P42" i="3" a="1"/>
  <c r="P42" i="3" s="1"/>
  <c r="H42" i="3" a="1"/>
  <c r="H42" i="3" s="1"/>
  <c r="F42" i="3" a="1"/>
  <c r="F42" i="3" s="1"/>
  <c r="L42" i="3" a="1"/>
  <c r="L42" i="3" s="1"/>
  <c r="N42" i="3" a="1"/>
  <c r="N42" i="3" s="1"/>
  <c r="J42" i="3" a="1"/>
  <c r="J42" i="3" s="1"/>
  <c r="D42" i="3" a="1"/>
  <c r="D42" i="3" s="1"/>
  <c r="B42" i="3" a="1"/>
  <c r="B42" i="3" s="1"/>
  <c r="R42" i="3" a="1"/>
  <c r="R42" i="3" s="1"/>
  <c r="E44" i="3" l="1"/>
  <c r="B44" i="6"/>
  <c r="S64" i="6" s="1"/>
  <c r="B44" i="4"/>
  <c r="B44" i="7"/>
  <c r="S64" i="7" s="1"/>
  <c r="B44" i="5"/>
  <c r="S64" i="5" s="1"/>
  <c r="B44" i="3"/>
  <c r="F44" i="3"/>
  <c r="C27" i="13" l="1"/>
  <c r="AE87" i="3"/>
  <c r="AE83" i="3"/>
  <c r="G59" i="3"/>
  <c r="G58" i="3"/>
  <c r="F58" i="3"/>
  <c r="F68" i="3"/>
  <c r="H68" i="3" s="1"/>
  <c r="G61" i="3"/>
  <c r="K61" i="3" s="1"/>
  <c r="F66" i="3"/>
  <c r="H66" i="3" s="1"/>
  <c r="F56" i="3"/>
  <c r="G57" i="3"/>
  <c r="K57" i="3" s="1"/>
  <c r="G60" i="3"/>
  <c r="G50" i="3"/>
  <c r="G51" i="3"/>
  <c r="K51" i="3" s="1"/>
  <c r="G62" i="3"/>
  <c r="G63" i="3"/>
  <c r="K63" i="3" s="1"/>
  <c r="G52" i="3"/>
  <c r="F50" i="3"/>
  <c r="G53" i="3"/>
  <c r="K53" i="3" s="1"/>
  <c r="F52" i="3"/>
  <c r="H52" i="3" s="1"/>
  <c r="G56" i="3"/>
  <c r="G54" i="3"/>
  <c r="G67" i="3"/>
  <c r="K67" i="3" s="1"/>
  <c r="F54" i="3"/>
  <c r="G68" i="3"/>
  <c r="F62" i="3"/>
  <c r="H62" i="3" s="1"/>
  <c r="G55" i="3"/>
  <c r="K55" i="3" s="1"/>
  <c r="G48" i="3"/>
  <c r="G64" i="3"/>
  <c r="F48" i="3"/>
  <c r="H48" i="3" s="1"/>
  <c r="G65" i="3"/>
  <c r="K65" i="3" s="1"/>
  <c r="G69" i="3"/>
  <c r="K69" i="3" s="1"/>
  <c r="G66" i="3"/>
  <c r="F60" i="3"/>
  <c r="F64" i="3"/>
  <c r="H64" i="3" s="1"/>
  <c r="G49" i="3"/>
  <c r="K49" i="3" s="1"/>
  <c r="J3" i="12"/>
  <c r="L3" i="12"/>
  <c r="I3" i="12"/>
  <c r="K3" i="12"/>
  <c r="H3" i="12"/>
  <c r="H19" i="12" s="1"/>
  <c r="C22" i="13"/>
  <c r="F52" i="4"/>
  <c r="H52" i="4" s="1"/>
  <c r="F54" i="4"/>
  <c r="H54" i="4" s="1"/>
  <c r="F55" i="4"/>
  <c r="H55" i="4" s="1"/>
  <c r="F48" i="4"/>
  <c r="H48" i="4" s="1"/>
  <c r="F49" i="4"/>
  <c r="H49" i="4" s="1"/>
  <c r="F53" i="4"/>
  <c r="H53" i="4" s="1"/>
  <c r="F50" i="4"/>
  <c r="H50" i="4" s="1"/>
  <c r="F51" i="4"/>
  <c r="H51" i="4" s="1"/>
  <c r="G54" i="4"/>
  <c r="G52" i="4"/>
  <c r="G50" i="4"/>
  <c r="G48" i="4"/>
  <c r="I3" i="9"/>
  <c r="K3" i="9"/>
  <c r="H3" i="9"/>
  <c r="H56" i="3"/>
  <c r="K59" i="3"/>
  <c r="H50" i="3"/>
  <c r="F52" i="6"/>
  <c r="H52" i="6" s="1"/>
  <c r="J52" i="6" s="1"/>
  <c r="G48" i="6"/>
  <c r="F48" i="6"/>
  <c r="H48" i="6" s="1"/>
  <c r="J48" i="6" s="1"/>
  <c r="G50" i="6"/>
  <c r="G52" i="6"/>
  <c r="F50" i="6"/>
  <c r="L3" i="9"/>
  <c r="G48" i="7"/>
  <c r="G50" i="7"/>
  <c r="F50" i="7"/>
  <c r="H50" i="7" s="1"/>
  <c r="F48" i="7"/>
  <c r="J3" i="9"/>
  <c r="G50" i="5"/>
  <c r="F48" i="5"/>
  <c r="H48" i="5" s="1"/>
  <c r="G52" i="5"/>
  <c r="G48" i="5"/>
  <c r="F52" i="5"/>
  <c r="H52" i="5" s="1"/>
  <c r="F50" i="5"/>
  <c r="S55" i="5" s="1" a="1"/>
  <c r="S55" i="5" s="1"/>
  <c r="B2" i="8"/>
  <c r="G26" i="8" s="1"/>
  <c r="X68" i="3" l="1"/>
  <c r="Z56" i="3"/>
  <c r="Y65" i="3"/>
  <c r="Y64" i="3"/>
  <c r="Y72" i="3"/>
  <c r="Y69" i="3"/>
  <c r="Y73" i="3"/>
  <c r="Y70" i="3"/>
  <c r="Y63" i="3"/>
  <c r="Y67" i="3"/>
  <c r="Y68" i="3"/>
  <c r="Y71" i="3"/>
  <c r="Y66" i="3"/>
  <c r="C33" i="13"/>
  <c r="C29" i="13"/>
  <c r="C48" i="13" s="1"/>
  <c r="C45" i="13"/>
  <c r="C46" i="13"/>
  <c r="C28" i="13"/>
  <c r="S56" i="5" a="1"/>
  <c r="S56" i="5" s="1"/>
  <c r="S57" i="5" a="1"/>
  <c r="S57" i="5" s="1"/>
  <c r="S58" i="5"/>
  <c r="S60" i="5" a="1"/>
  <c r="S60" i="5" s="1"/>
  <c r="H48" i="7"/>
  <c r="S55" i="7" a="1"/>
  <c r="S55" i="7" s="1"/>
  <c r="H50" i="6"/>
  <c r="J50" i="6" s="1"/>
  <c r="S55" i="6" a="1"/>
  <c r="S55" i="6" s="1"/>
  <c r="AE85" i="3"/>
  <c r="H50" i="5"/>
  <c r="J50" i="5" s="1"/>
  <c r="S47" i="6" a="1"/>
  <c r="S47" i="6" s="1"/>
  <c r="S47" i="5" a="1"/>
  <c r="S47" i="5" s="1"/>
  <c r="H60" i="3"/>
  <c r="J60" i="3" s="1"/>
  <c r="H18" i="12"/>
  <c r="C4" i="9"/>
  <c r="C4" i="12"/>
  <c r="C3" i="12"/>
  <c r="C5" i="12"/>
  <c r="M4" i="9"/>
  <c r="M4" i="12"/>
  <c r="C3" i="9"/>
  <c r="C5" i="9"/>
  <c r="K51" i="4"/>
  <c r="J51" i="4"/>
  <c r="U56" i="4" s="1" a="1"/>
  <c r="U56" i="4" s="1"/>
  <c r="H58" i="3"/>
  <c r="J58" i="3" s="1"/>
  <c r="H18" i="9"/>
  <c r="H19" i="9"/>
  <c r="J55" i="4"/>
  <c r="U48" i="4" s="1" a="1"/>
  <c r="U48" i="4" s="1"/>
  <c r="U65" i="4" s="1"/>
  <c r="K55" i="4"/>
  <c r="K53" i="4"/>
  <c r="J53" i="4"/>
  <c r="K66" i="3"/>
  <c r="J66" i="3"/>
  <c r="K49" i="4"/>
  <c r="J49" i="4"/>
  <c r="J68" i="3"/>
  <c r="K68" i="3"/>
  <c r="J48" i="4"/>
  <c r="K48" i="6"/>
  <c r="K52" i="6"/>
  <c r="H54" i="3"/>
  <c r="J54" i="3" s="1"/>
  <c r="S47" i="7" a="1"/>
  <c r="S47" i="7" s="1"/>
  <c r="K52" i="5"/>
  <c r="J52" i="5"/>
  <c r="J48" i="7"/>
  <c r="K48" i="7"/>
  <c r="K48" i="5"/>
  <c r="J48" i="5"/>
  <c r="K50" i="3"/>
  <c r="K50" i="7"/>
  <c r="J50" i="7"/>
  <c r="K62" i="3"/>
  <c r="J50" i="4"/>
  <c r="K50" i="4"/>
  <c r="J48" i="3"/>
  <c r="J64" i="3"/>
  <c r="K52" i="4"/>
  <c r="J52" i="4"/>
  <c r="K48" i="3"/>
  <c r="K52" i="3"/>
  <c r="K56" i="3"/>
  <c r="J56" i="3"/>
  <c r="J52" i="3"/>
  <c r="G25" i="8"/>
  <c r="C25" i="8"/>
  <c r="C26" i="8"/>
  <c r="C21" i="8"/>
  <c r="X73" i="3" l="1"/>
  <c r="X65" i="3"/>
  <c r="X63" i="3"/>
  <c r="Z52" i="3"/>
  <c r="X69" i="3"/>
  <c r="X67" i="3"/>
  <c r="X66" i="3"/>
  <c r="X71" i="3"/>
  <c r="X72" i="3"/>
  <c r="X70" i="3"/>
  <c r="X64" i="3"/>
  <c r="K50" i="6"/>
  <c r="Z50" i="3"/>
  <c r="C24" i="13" s="1"/>
  <c r="Z51" i="3"/>
  <c r="S57" i="7" a="1"/>
  <c r="S57" i="7" s="1"/>
  <c r="S58" i="7"/>
  <c r="S59" i="7" s="1" a="1"/>
  <c r="S59" i="7" s="1"/>
  <c r="S56" i="7" a="1"/>
  <c r="S56" i="7" s="1"/>
  <c r="S59" i="5" a="1"/>
  <c r="S59" i="5" s="1"/>
  <c r="O11" i="12"/>
  <c r="O11" i="9"/>
  <c r="Z49" i="3"/>
  <c r="S58" i="6"/>
  <c r="S60" i="6" s="1" a="1"/>
  <c r="S60" i="6" s="1"/>
  <c r="S57" i="6" a="1"/>
  <c r="S57" i="6" s="1"/>
  <c r="S56" i="6" a="1"/>
  <c r="S56" i="6" s="1"/>
  <c r="U58" i="4" a="1"/>
  <c r="U58" i="4" s="1"/>
  <c r="U59" i="4"/>
  <c r="U60" i="4" s="1" a="1"/>
  <c r="U60" i="4" s="1"/>
  <c r="U57" i="4" a="1"/>
  <c r="U57" i="4" s="1"/>
  <c r="Z54" i="3"/>
  <c r="D24" i="13" s="1"/>
  <c r="Z55" i="3"/>
  <c r="Z53" i="3"/>
  <c r="K60" i="3"/>
  <c r="U68" i="4"/>
  <c r="U67" i="4"/>
  <c r="U66" i="4"/>
  <c r="K50" i="5"/>
  <c r="O4" i="12"/>
  <c r="O4" i="9"/>
  <c r="S49" i="5" a="1"/>
  <c r="S49" i="5" s="1"/>
  <c r="S48" i="5" a="1"/>
  <c r="S48" i="5" s="1"/>
  <c r="J4" i="12"/>
  <c r="AE84" i="3"/>
  <c r="H4" i="12"/>
  <c r="C23" i="13"/>
  <c r="I4" i="12"/>
  <c r="C6" i="12"/>
  <c r="C6" i="9"/>
  <c r="L4" i="9"/>
  <c r="L4" i="12"/>
  <c r="K4" i="9"/>
  <c r="K4" i="12"/>
  <c r="K48" i="4"/>
  <c r="S50" i="6"/>
  <c r="S52" i="6" s="1" a="1"/>
  <c r="S52" i="6" s="1"/>
  <c r="S49" i="6" a="1"/>
  <c r="S49" i="6" s="1"/>
  <c r="S48" i="6" a="1"/>
  <c r="S48" i="6" s="1"/>
  <c r="C25" i="13"/>
  <c r="S48" i="7" a="1"/>
  <c r="S48" i="7" s="1"/>
  <c r="S50" i="7"/>
  <c r="S49" i="7" a="1"/>
  <c r="S49" i="7" s="1"/>
  <c r="J4" i="9"/>
  <c r="S50" i="5"/>
  <c r="S51" i="5" s="1" a="1"/>
  <c r="S51" i="5" s="1"/>
  <c r="H4" i="9"/>
  <c r="D23" i="13"/>
  <c r="J62" i="3"/>
  <c r="K58" i="3"/>
  <c r="K54" i="3"/>
  <c r="K64" i="3"/>
  <c r="J50" i="3"/>
  <c r="J54" i="4"/>
  <c r="K54" i="4"/>
  <c r="C27" i="8"/>
  <c r="C28" i="8" s="1"/>
  <c r="G27" i="8"/>
  <c r="I51" i="8" s="1"/>
  <c r="H51" i="8" s="1"/>
  <c r="S60" i="7" l="1" a="1"/>
  <c r="S60" i="7" s="1"/>
  <c r="S59" i="6" a="1"/>
  <c r="S59" i="6" s="1"/>
  <c r="U61" i="4" a="1"/>
  <c r="U61" i="4" s="1"/>
  <c r="N11" i="9"/>
  <c r="N11" i="12"/>
  <c r="U49" i="4" a="1"/>
  <c r="U49" i="4" s="1"/>
  <c r="I5" i="9" s="1"/>
  <c r="U50" i="4" a="1"/>
  <c r="U50" i="4" s="1"/>
  <c r="I6" i="9" s="1"/>
  <c r="U51" i="4"/>
  <c r="I11" i="12" s="1"/>
  <c r="I4" i="9"/>
  <c r="L6" i="9"/>
  <c r="L6" i="12"/>
  <c r="M11" i="9"/>
  <c r="M11" i="12"/>
  <c r="J5" i="9"/>
  <c r="J5" i="12"/>
  <c r="J6" i="9"/>
  <c r="J6" i="12"/>
  <c r="S52" i="7" a="1"/>
  <c r="S52" i="7" s="1"/>
  <c r="L11" i="12"/>
  <c r="M5" i="9"/>
  <c r="M5" i="12"/>
  <c r="H6" i="9"/>
  <c r="H6" i="12"/>
  <c r="K13" i="9"/>
  <c r="K13" i="12"/>
  <c r="M6" i="9"/>
  <c r="M6" i="12"/>
  <c r="K5" i="9"/>
  <c r="K5" i="12"/>
  <c r="J11" i="9"/>
  <c r="J11" i="12"/>
  <c r="K6" i="9"/>
  <c r="K6" i="12"/>
  <c r="L5" i="9"/>
  <c r="L5" i="12"/>
  <c r="H5" i="9"/>
  <c r="H5" i="12"/>
  <c r="H11" i="12"/>
  <c r="K11" i="9"/>
  <c r="K11" i="12"/>
  <c r="S52" i="5" a="1"/>
  <c r="S52" i="5" s="1"/>
  <c r="S51" i="7" a="1"/>
  <c r="S51" i="7" s="1"/>
  <c r="L11" i="9"/>
  <c r="S51" i="6" a="1"/>
  <c r="S51" i="6" s="1"/>
  <c r="D25" i="13"/>
  <c r="H11" i="9"/>
  <c r="C41" i="8"/>
  <c r="C42" i="8" s="1"/>
  <c r="C36" i="8"/>
  <c r="C31" i="8"/>
  <c r="C33" i="8" s="1"/>
  <c r="C40" i="8" s="1"/>
  <c r="C37" i="8"/>
  <c r="G28" i="8"/>
  <c r="J51" i="8" s="1"/>
  <c r="G37" i="8"/>
  <c r="G41" i="8"/>
  <c r="G42" i="8" s="1"/>
  <c r="G31" i="8"/>
  <c r="G33" i="8" s="1"/>
  <c r="G34" i="8" s="1"/>
  <c r="G36" i="8"/>
  <c r="I52" i="8"/>
  <c r="H52" i="8" s="1"/>
  <c r="U53" i="4" l="1" a="1"/>
  <c r="U53" i="4" s="1"/>
  <c r="I13" i="9" s="1"/>
  <c r="I11" i="9"/>
  <c r="U52" i="4" a="1"/>
  <c r="U52" i="4" s="1"/>
  <c r="I12" i="9" s="1"/>
  <c r="I6" i="12"/>
  <c r="I5" i="12"/>
  <c r="M13" i="9"/>
  <c r="M13" i="12"/>
  <c r="J12" i="9"/>
  <c r="J12" i="12"/>
  <c r="M12" i="9"/>
  <c r="M12" i="12"/>
  <c r="H13" i="9"/>
  <c r="H13" i="12"/>
  <c r="K12" i="9"/>
  <c r="K12" i="12"/>
  <c r="H12" i="9"/>
  <c r="H12" i="12"/>
  <c r="J13" i="9"/>
  <c r="J13" i="12"/>
  <c r="L12" i="9"/>
  <c r="L12" i="12"/>
  <c r="L13" i="9"/>
  <c r="L13" i="12"/>
  <c r="C51" i="8"/>
  <c r="B51" i="8" s="1"/>
  <c r="J50" i="8"/>
  <c r="K50" i="8" s="1"/>
  <c r="D50" i="8"/>
  <c r="C34" i="8"/>
  <c r="G40" i="8"/>
  <c r="J52" i="8"/>
  <c r="I53" i="8"/>
  <c r="H53" i="8" s="1"/>
  <c r="I13" i="12" l="1"/>
  <c r="I12" i="12"/>
  <c r="D51" i="8"/>
  <c r="E50" i="8" s="1"/>
  <c r="C52" i="8"/>
  <c r="B52" i="8" s="1"/>
  <c r="K51" i="8"/>
  <c r="J53" i="8"/>
  <c r="K52" i="8" s="1"/>
  <c r="I54" i="8"/>
  <c r="H54" i="8" s="1"/>
  <c r="C53" i="8" l="1"/>
  <c r="B53" i="8" s="1"/>
  <c r="D52" i="8"/>
  <c r="E51" i="8" s="1"/>
  <c r="J54" i="8"/>
  <c r="K53" i="8" s="1"/>
  <c r="I55" i="8"/>
  <c r="H55" i="8" s="1"/>
  <c r="D53" i="8" l="1"/>
  <c r="E52" i="8" s="1"/>
  <c r="C54" i="8"/>
  <c r="B54" i="8" s="1"/>
  <c r="J55" i="8"/>
  <c r="I56" i="8"/>
  <c r="H56" i="8" s="1"/>
  <c r="D54" i="8" l="1"/>
  <c r="E53" i="8" s="1"/>
  <c r="C55" i="8"/>
  <c r="B55" i="8" s="1"/>
  <c r="I57" i="8"/>
  <c r="H57" i="8" s="1"/>
  <c r="J56" i="8"/>
  <c r="K55" i="8" s="1"/>
  <c r="K54" i="8"/>
  <c r="C56" i="8" l="1"/>
  <c r="D56" i="8" s="1"/>
  <c r="D55" i="8"/>
  <c r="E54" i="8" s="1"/>
  <c r="I58" i="8"/>
  <c r="H58" i="8" s="1"/>
  <c r="J57" i="8"/>
  <c r="K56" i="8" s="1"/>
  <c r="C57" i="8" l="1"/>
  <c r="C58" i="8" s="1"/>
  <c r="B58" i="8" s="1"/>
  <c r="B56" i="8"/>
  <c r="E55" i="8" s="1"/>
  <c r="I59" i="8"/>
  <c r="H59" i="8" s="1"/>
  <c r="J58" i="8"/>
  <c r="K57" i="8" s="1"/>
  <c r="C59" i="8" l="1"/>
  <c r="C60" i="8" s="1"/>
  <c r="B60" i="8" s="1"/>
  <c r="B57" i="8"/>
  <c r="D57" i="8"/>
  <c r="D58" i="8"/>
  <c r="J59" i="8"/>
  <c r="K58" i="8" s="1"/>
  <c r="I60" i="8"/>
  <c r="H60" i="8" s="1"/>
  <c r="E56" i="8"/>
  <c r="E57" i="8" l="1"/>
  <c r="B59" i="8"/>
  <c r="D59" i="8"/>
  <c r="C61" i="8"/>
  <c r="B61" i="8" s="1"/>
  <c r="D60" i="8"/>
  <c r="E59" i="8" s="1"/>
  <c r="J60" i="8"/>
  <c r="K59" i="8" s="1"/>
  <c r="I61" i="8"/>
  <c r="H61" i="8" s="1"/>
  <c r="C62" i="8"/>
  <c r="D61" i="8" l="1"/>
  <c r="E60" i="8" s="1"/>
  <c r="E58" i="8"/>
  <c r="I62" i="8"/>
  <c r="H62" i="8" s="1"/>
  <c r="J61" i="8"/>
  <c r="K60" i="8" s="1"/>
  <c r="C63" i="8"/>
  <c r="D62" i="8"/>
  <c r="B62" i="8"/>
  <c r="J62" i="8" l="1"/>
  <c r="K61" i="8" s="1"/>
  <c r="I63" i="8"/>
  <c r="H63" i="8" s="1"/>
  <c r="E61" i="8"/>
  <c r="B63" i="8"/>
  <c r="D63" i="8"/>
  <c r="C64" i="8"/>
  <c r="J63" i="8" l="1"/>
  <c r="K62" i="8" s="1"/>
  <c r="I64" i="8"/>
  <c r="H64" i="8" s="1"/>
  <c r="B64" i="8"/>
  <c r="C65" i="8"/>
  <c r="D64" i="8"/>
  <c r="E62" i="8"/>
  <c r="J64" i="8" l="1"/>
  <c r="I65" i="8"/>
  <c r="H65" i="8" s="1"/>
  <c r="K63" i="8"/>
  <c r="E63" i="8"/>
  <c r="B65" i="8"/>
  <c r="D65" i="8"/>
  <c r="C66" i="8"/>
  <c r="J65" i="8"/>
  <c r="I66" i="8" l="1"/>
  <c r="H66" i="8" s="1"/>
  <c r="B66" i="8"/>
  <c r="D66" i="8"/>
  <c r="C67" i="8"/>
  <c r="E64" i="8"/>
  <c r="K64" i="8"/>
  <c r="I67" i="8" l="1"/>
  <c r="H67" i="8" s="1"/>
  <c r="J66" i="8"/>
  <c r="K65" i="8" s="1"/>
  <c r="E65" i="8"/>
  <c r="B67" i="8"/>
  <c r="C68" i="8"/>
  <c r="D67" i="8"/>
  <c r="E66" i="8" s="1"/>
  <c r="J67" i="8"/>
  <c r="I68" i="8" l="1"/>
  <c r="H68" i="8" s="1"/>
  <c r="B68" i="8"/>
  <c r="C69" i="8"/>
  <c r="D68" i="8"/>
  <c r="K66" i="8"/>
  <c r="I69" i="8"/>
  <c r="H69" i="8" s="1"/>
  <c r="J68" i="8"/>
  <c r="E67" i="8" l="1"/>
  <c r="D69" i="8"/>
  <c r="C70" i="8"/>
  <c r="B69" i="8"/>
  <c r="I70" i="8"/>
  <c r="H70" i="8" s="1"/>
  <c r="J69" i="8"/>
  <c r="K67" i="8"/>
  <c r="K68" i="8" l="1"/>
  <c r="B70" i="8"/>
  <c r="D70" i="8"/>
  <c r="C71" i="8"/>
  <c r="E68" i="8"/>
  <c r="I71" i="8"/>
  <c r="H71" i="8" s="1"/>
  <c r="J70" i="8"/>
  <c r="E69" i="8" l="1"/>
  <c r="B71" i="8"/>
  <c r="C72" i="8"/>
  <c r="D71" i="8"/>
  <c r="I72" i="8"/>
  <c r="H72" i="8" s="1"/>
  <c r="J71" i="8"/>
  <c r="K69" i="8"/>
  <c r="E70" i="8" l="1"/>
  <c r="C73" i="8"/>
  <c r="B72" i="8"/>
  <c r="D72" i="8"/>
  <c r="K70" i="8"/>
  <c r="I73" i="8"/>
  <c r="H73" i="8" s="1"/>
  <c r="J72" i="8"/>
  <c r="E71" i="8" l="1"/>
  <c r="B73" i="8"/>
  <c r="C74" i="8"/>
  <c r="D73" i="8"/>
  <c r="I74" i="8"/>
  <c r="H74" i="8" s="1"/>
  <c r="J73" i="8"/>
  <c r="K71" i="8"/>
  <c r="K72" i="8" l="1"/>
  <c r="B74" i="8"/>
  <c r="C75" i="8"/>
  <c r="D74" i="8"/>
  <c r="E72" i="8"/>
  <c r="I75" i="8"/>
  <c r="H75" i="8" s="1"/>
  <c r="J74" i="8"/>
  <c r="E73" i="8" l="1"/>
  <c r="C76" i="8"/>
  <c r="B75" i="8"/>
  <c r="D75" i="8"/>
  <c r="I76" i="8"/>
  <c r="H76" i="8" s="1"/>
  <c r="J75" i="8"/>
  <c r="K73" i="8"/>
  <c r="E74" i="8" l="1"/>
  <c r="B76" i="8"/>
  <c r="D76" i="8"/>
  <c r="C77" i="8"/>
  <c r="I77" i="8"/>
  <c r="H77" i="8" s="1"/>
  <c r="J76" i="8"/>
  <c r="K75" i="8" s="1"/>
  <c r="K74" i="8"/>
  <c r="E75" i="8" l="1"/>
  <c r="C78" i="8"/>
  <c r="B77" i="8"/>
  <c r="D77" i="8"/>
  <c r="I78" i="8"/>
  <c r="H78" i="8" s="1"/>
  <c r="J77" i="8"/>
  <c r="E76" i="8" l="1"/>
  <c r="B78" i="8"/>
  <c r="C79" i="8"/>
  <c r="D78" i="8"/>
  <c r="I79" i="8"/>
  <c r="H79" i="8" s="1"/>
  <c r="J78" i="8"/>
  <c r="K76" i="8"/>
  <c r="K77" i="8" l="1"/>
  <c r="B79" i="8"/>
  <c r="C80" i="8"/>
  <c r="D79" i="8"/>
  <c r="E77" i="8"/>
  <c r="I80" i="8"/>
  <c r="H80" i="8" s="1"/>
  <c r="J79" i="8"/>
  <c r="E78" i="8" l="1"/>
  <c r="C81" i="8"/>
  <c r="D80" i="8"/>
  <c r="B80" i="8"/>
  <c r="I81" i="8"/>
  <c r="H81" i="8" s="1"/>
  <c r="J80" i="8"/>
  <c r="K78" i="8"/>
  <c r="E79" i="8" l="1"/>
  <c r="B81" i="8"/>
  <c r="C82" i="8"/>
  <c r="D81" i="8"/>
  <c r="I82" i="8"/>
  <c r="H82" i="8" s="1"/>
  <c r="J81" i="8"/>
  <c r="K79" i="8"/>
  <c r="C83" i="8" l="1"/>
  <c r="D82" i="8"/>
  <c r="B82" i="8"/>
  <c r="E80" i="8"/>
  <c r="I83" i="8"/>
  <c r="H83" i="8" s="1"/>
  <c r="J82" i="8"/>
  <c r="K80" i="8"/>
  <c r="K81" i="8" l="1"/>
  <c r="B83" i="8"/>
  <c r="D83" i="8"/>
  <c r="C84" i="8"/>
  <c r="E81" i="8"/>
  <c r="I84" i="8"/>
  <c r="H84" i="8" s="1"/>
  <c r="J83" i="8"/>
  <c r="K82" i="8" s="1"/>
  <c r="E82" i="8" l="1"/>
  <c r="B84" i="8"/>
  <c r="C85" i="8"/>
  <c r="D84" i="8"/>
  <c r="I85" i="8"/>
  <c r="H85" i="8" s="1"/>
  <c r="J84" i="8"/>
  <c r="C86" i="8" l="1"/>
  <c r="D85" i="8"/>
  <c r="B85" i="8"/>
  <c r="E83" i="8"/>
  <c r="I86" i="8"/>
  <c r="H86" i="8" s="1"/>
  <c r="J85" i="8"/>
  <c r="K83" i="8"/>
  <c r="E84" i="8" l="1"/>
  <c r="D86" i="8"/>
  <c r="B86" i="8"/>
  <c r="C87" i="8"/>
  <c r="K84" i="8"/>
  <c r="I87" i="8"/>
  <c r="H87" i="8" s="1"/>
  <c r="J86" i="8"/>
  <c r="B87" i="8" l="1"/>
  <c r="C88" i="8"/>
  <c r="D87" i="8"/>
  <c r="E85" i="8"/>
  <c r="I88" i="8"/>
  <c r="H88" i="8" s="1"/>
  <c r="J87" i="8"/>
  <c r="K85" i="8"/>
  <c r="E86" i="8" l="1"/>
  <c r="B88" i="8"/>
  <c r="D88" i="8"/>
  <c r="C89" i="8"/>
  <c r="K86" i="8"/>
  <c r="I89" i="8"/>
  <c r="H89" i="8" s="1"/>
  <c r="J88" i="8"/>
  <c r="E87" i="8" l="1"/>
  <c r="C90" i="8"/>
  <c r="B89" i="8"/>
  <c r="D89" i="8"/>
  <c r="I90" i="8"/>
  <c r="H90" i="8" s="1"/>
  <c r="J89" i="8"/>
  <c r="K88" i="8" s="1"/>
  <c r="K87" i="8"/>
  <c r="E88" i="8" l="1"/>
  <c r="C91" i="8"/>
  <c r="B90" i="8"/>
  <c r="D90" i="8"/>
  <c r="I91" i="8"/>
  <c r="H91" i="8" s="1"/>
  <c r="J90" i="8"/>
  <c r="E89" i="8" l="1"/>
  <c r="D91" i="8"/>
  <c r="B91" i="8"/>
  <c r="C92" i="8"/>
  <c r="I92" i="8"/>
  <c r="H92" i="8" s="1"/>
  <c r="J91" i="8"/>
  <c r="K89" i="8"/>
  <c r="E90" i="8" l="1"/>
  <c r="D92" i="8"/>
  <c r="C93" i="8"/>
  <c r="B92" i="8"/>
  <c r="I93" i="8"/>
  <c r="H93" i="8" s="1"/>
  <c r="J92" i="8"/>
  <c r="K90" i="8"/>
  <c r="D93" i="8" l="1"/>
  <c r="B93" i="8"/>
  <c r="C94" i="8"/>
  <c r="E91" i="8"/>
  <c r="K91" i="8"/>
  <c r="I94" i="8"/>
  <c r="H94" i="8" s="1"/>
  <c r="J93" i="8"/>
  <c r="C95" i="8" l="1"/>
  <c r="B94" i="8"/>
  <c r="D94" i="8"/>
  <c r="E92" i="8"/>
  <c r="I95" i="8"/>
  <c r="H95" i="8" s="1"/>
  <c r="J94" i="8"/>
  <c r="K92" i="8"/>
  <c r="B95" i="8" l="1"/>
  <c r="C96" i="8"/>
  <c r="D95" i="8"/>
  <c r="E93" i="8"/>
  <c r="I96" i="8"/>
  <c r="H96" i="8" s="1"/>
  <c r="J95" i="8"/>
  <c r="K93" i="8"/>
  <c r="E94" i="8" l="1"/>
  <c r="C97" i="8"/>
  <c r="B96" i="8"/>
  <c r="D96" i="8"/>
  <c r="I97" i="8"/>
  <c r="H97" i="8" s="1"/>
  <c r="J96" i="8"/>
  <c r="K94" i="8"/>
  <c r="E95" i="8" l="1"/>
  <c r="B97" i="8"/>
  <c r="D97" i="8"/>
  <c r="C98" i="8"/>
  <c r="I98" i="8"/>
  <c r="H98" i="8" s="1"/>
  <c r="J97" i="8"/>
  <c r="K95" i="8"/>
  <c r="E96" i="8" l="1"/>
  <c r="C99" i="8"/>
  <c r="B98" i="8"/>
  <c r="D98" i="8"/>
  <c r="I99" i="8"/>
  <c r="H99" i="8" s="1"/>
  <c r="J98" i="8"/>
  <c r="K96" i="8"/>
  <c r="B99" i="8" l="1"/>
  <c r="C100" i="8"/>
  <c r="D99" i="8"/>
  <c r="K97" i="8"/>
  <c r="E97" i="8"/>
  <c r="I100" i="8"/>
  <c r="H100" i="8" s="1"/>
  <c r="J99" i="8"/>
  <c r="E98" i="8" l="1"/>
  <c r="B100" i="8"/>
  <c r="C101" i="8"/>
  <c r="D100" i="8"/>
  <c r="I101" i="8"/>
  <c r="H101" i="8" s="1"/>
  <c r="J100" i="8"/>
  <c r="K98" i="8"/>
  <c r="B101" i="8" l="1"/>
  <c r="C102" i="8"/>
  <c r="D101" i="8"/>
  <c r="E99" i="8"/>
  <c r="I102" i="8"/>
  <c r="H102" i="8" s="1"/>
  <c r="J101" i="8"/>
  <c r="K100" i="8" s="1"/>
  <c r="K99" i="8"/>
  <c r="E100" i="8" l="1"/>
  <c r="B102" i="8"/>
  <c r="C103" i="8"/>
  <c r="D102" i="8"/>
  <c r="I103" i="8"/>
  <c r="H103" i="8" s="1"/>
  <c r="J102" i="8"/>
  <c r="E101" i="8" l="1"/>
  <c r="B103" i="8"/>
  <c r="C104" i="8"/>
  <c r="D103" i="8"/>
  <c r="I104" i="8"/>
  <c r="H104" i="8" s="1"/>
  <c r="J103" i="8"/>
  <c r="K101" i="8"/>
  <c r="B104" i="8" l="1"/>
  <c r="D104" i="8"/>
  <c r="C105" i="8"/>
  <c r="E102" i="8"/>
  <c r="I105" i="8"/>
  <c r="H105" i="8" s="1"/>
  <c r="J104" i="8"/>
  <c r="K102" i="8"/>
  <c r="E103" i="8" l="1"/>
  <c r="B105" i="8"/>
  <c r="C106" i="8"/>
  <c r="D105" i="8"/>
  <c r="I106" i="8"/>
  <c r="H106" i="8" s="1"/>
  <c r="J105" i="8"/>
  <c r="K104" i="8" s="1"/>
  <c r="K103" i="8"/>
  <c r="E104" i="8" l="1"/>
  <c r="C107" i="8"/>
  <c r="B106" i="8"/>
  <c r="D106" i="8"/>
  <c r="I107" i="8"/>
  <c r="H107" i="8" s="1"/>
  <c r="J106" i="8"/>
  <c r="E105" i="8" l="1"/>
  <c r="D107" i="8"/>
  <c r="B107" i="8"/>
  <c r="C108" i="8"/>
  <c r="I108" i="8"/>
  <c r="H108" i="8" s="1"/>
  <c r="J107" i="8"/>
  <c r="K106" i="8" s="1"/>
  <c r="K105" i="8"/>
  <c r="C109" i="8" l="1"/>
  <c r="B108" i="8"/>
  <c r="D108" i="8"/>
  <c r="E106" i="8"/>
  <c r="I109" i="8"/>
  <c r="H109" i="8" s="1"/>
  <c r="J108" i="8"/>
  <c r="E107" i="8" l="1"/>
  <c r="C110" i="8"/>
  <c r="D109" i="8"/>
  <c r="B109" i="8"/>
  <c r="I110" i="8"/>
  <c r="H110" i="8" s="1"/>
  <c r="J109" i="8"/>
  <c r="K107" i="8"/>
  <c r="E108" i="8" l="1"/>
  <c r="C111" i="8"/>
  <c r="B110" i="8"/>
  <c r="D110" i="8"/>
  <c r="K108" i="8"/>
  <c r="I111" i="8"/>
  <c r="H111" i="8" s="1"/>
  <c r="J110" i="8"/>
  <c r="E109" i="8" l="1"/>
  <c r="D111" i="8"/>
  <c r="B111" i="8"/>
  <c r="C112" i="8"/>
  <c r="I112" i="8"/>
  <c r="H112" i="8" s="1"/>
  <c r="J111" i="8"/>
  <c r="K110" i="8" s="1"/>
  <c r="K109" i="8"/>
  <c r="E110" i="8" l="1"/>
  <c r="B112" i="8"/>
  <c r="C113" i="8"/>
  <c r="D112" i="8"/>
  <c r="E111" i="8" s="1"/>
  <c r="I113" i="8"/>
  <c r="H113" i="8" s="1"/>
  <c r="J112" i="8"/>
  <c r="B113" i="8" l="1"/>
  <c r="C114" i="8"/>
  <c r="D113" i="8"/>
  <c r="I114" i="8"/>
  <c r="H114" i="8" s="1"/>
  <c r="J113" i="8"/>
  <c r="K111" i="8"/>
  <c r="E112" i="8" l="1"/>
  <c r="B114" i="8"/>
  <c r="D114" i="8"/>
  <c r="C115" i="8"/>
  <c r="I115" i="8"/>
  <c r="H115" i="8" s="1"/>
  <c r="J114" i="8"/>
  <c r="K112" i="8"/>
  <c r="E113" i="8" l="1"/>
  <c r="C116" i="8"/>
  <c r="B115" i="8"/>
  <c r="D115" i="8"/>
  <c r="I116" i="8"/>
  <c r="H116" i="8" s="1"/>
  <c r="J115" i="8"/>
  <c r="K113" i="8"/>
  <c r="E114" i="8" l="1"/>
  <c r="C117" i="8"/>
  <c r="D116" i="8"/>
  <c r="B116" i="8"/>
  <c r="I117" i="8"/>
  <c r="H117" i="8" s="1"/>
  <c r="J116" i="8"/>
  <c r="K114" i="8"/>
  <c r="D117" i="8" l="1"/>
  <c r="B117" i="8"/>
  <c r="C118" i="8"/>
  <c r="E115" i="8"/>
  <c r="K115" i="8"/>
  <c r="I118" i="8"/>
  <c r="H118" i="8" s="1"/>
  <c r="J117" i="8"/>
  <c r="E116" i="8" l="1"/>
  <c r="D118" i="8"/>
  <c r="B118" i="8"/>
  <c r="C119" i="8"/>
  <c r="I119" i="8"/>
  <c r="H119" i="8" s="1"/>
  <c r="J118" i="8"/>
  <c r="K117" i="8" s="1"/>
  <c r="K116" i="8"/>
  <c r="E117" i="8" l="1"/>
  <c r="C120" i="8"/>
  <c r="D119" i="8"/>
  <c r="B119" i="8"/>
  <c r="I120" i="8"/>
  <c r="H120" i="8" s="1"/>
  <c r="J119" i="8"/>
  <c r="K118" i="8" s="1"/>
  <c r="E118" i="8" l="1"/>
  <c r="B120" i="8"/>
  <c r="C121" i="8"/>
  <c r="D120" i="8"/>
  <c r="I121" i="8"/>
  <c r="H121" i="8" s="1"/>
  <c r="J120" i="8"/>
  <c r="E119" i="8" l="1"/>
  <c r="C122" i="8"/>
  <c r="D121" i="8"/>
  <c r="B121" i="8"/>
  <c r="I122" i="8"/>
  <c r="H122" i="8" s="1"/>
  <c r="J121" i="8"/>
  <c r="K119" i="8"/>
  <c r="E120" i="8" l="1"/>
  <c r="C123" i="8"/>
  <c r="B122" i="8"/>
  <c r="D122" i="8"/>
  <c r="I123" i="8"/>
  <c r="H123" i="8" s="1"/>
  <c r="J122" i="8"/>
  <c r="K121" i="8" s="1"/>
  <c r="K120" i="8"/>
  <c r="E121" i="8" l="1"/>
  <c r="C124" i="8"/>
  <c r="B123" i="8"/>
  <c r="D123" i="8"/>
  <c r="I124" i="8"/>
  <c r="H124" i="8" s="1"/>
  <c r="J123" i="8"/>
  <c r="K122" i="8" s="1"/>
  <c r="E122" i="8" l="1"/>
  <c r="C125" i="8"/>
  <c r="D124" i="8"/>
  <c r="B124" i="8"/>
  <c r="I125" i="8"/>
  <c r="H125" i="8" s="1"/>
  <c r="J124" i="8"/>
  <c r="E123" i="8" l="1"/>
  <c r="D125" i="8"/>
  <c r="C126" i="8"/>
  <c r="B125" i="8"/>
  <c r="I126" i="8"/>
  <c r="H126" i="8" s="1"/>
  <c r="J125" i="8"/>
  <c r="K123" i="8"/>
  <c r="E124" i="8" l="1"/>
  <c r="B126" i="8"/>
  <c r="C127" i="8"/>
  <c r="D126" i="8"/>
  <c r="E125" i="8" s="1"/>
  <c r="I127" i="8"/>
  <c r="H127" i="8" s="1"/>
  <c r="J126" i="8"/>
  <c r="K124" i="8"/>
  <c r="C128" i="8" l="1"/>
  <c r="D127" i="8"/>
  <c r="B127" i="8"/>
  <c r="K125" i="8"/>
  <c r="I128" i="8"/>
  <c r="H128" i="8" s="1"/>
  <c r="J127" i="8"/>
  <c r="K126" i="8" s="1"/>
  <c r="E126" i="8" l="1"/>
  <c r="B128" i="8"/>
  <c r="C129" i="8"/>
  <c r="D128" i="8"/>
  <c r="I129" i="8"/>
  <c r="H129" i="8" s="1"/>
  <c r="J128" i="8"/>
  <c r="E127" i="8" l="1"/>
  <c r="B129" i="8"/>
  <c r="D129" i="8"/>
  <c r="C130" i="8"/>
  <c r="K127" i="8"/>
  <c r="I130" i="8"/>
  <c r="H130" i="8" s="1"/>
  <c r="J129" i="8"/>
  <c r="E128" i="8" l="1"/>
  <c r="C131" i="8"/>
  <c r="B130" i="8"/>
  <c r="D130" i="8"/>
  <c r="I131" i="8"/>
  <c r="H131" i="8" s="1"/>
  <c r="J130" i="8"/>
  <c r="K128" i="8"/>
  <c r="E129" i="8" l="1"/>
  <c r="C132" i="8"/>
  <c r="D131" i="8"/>
  <c r="B131" i="8"/>
  <c r="I132" i="8"/>
  <c r="H132" i="8" s="1"/>
  <c r="J131" i="8"/>
  <c r="K129" i="8"/>
  <c r="B132" i="8" l="1"/>
  <c r="C133" i="8"/>
  <c r="D132" i="8"/>
  <c r="E130" i="8"/>
  <c r="I133" i="8"/>
  <c r="H133" i="8" s="1"/>
  <c r="J132" i="8"/>
  <c r="K130" i="8"/>
  <c r="E131" i="8" l="1"/>
  <c r="B133" i="8"/>
  <c r="C134" i="8"/>
  <c r="D133" i="8"/>
  <c r="I134" i="8"/>
  <c r="H134" i="8" s="1"/>
  <c r="J133" i="8"/>
  <c r="K131" i="8"/>
  <c r="E132" i="8" l="1"/>
  <c r="B134" i="8"/>
  <c r="D134" i="8"/>
  <c r="C135" i="8"/>
  <c r="I135" i="8"/>
  <c r="H135" i="8" s="1"/>
  <c r="J134" i="8"/>
  <c r="K132" i="8"/>
  <c r="E133" i="8" l="1"/>
  <c r="B135" i="8"/>
  <c r="C136" i="8"/>
  <c r="D135" i="8"/>
  <c r="I136" i="8"/>
  <c r="H136" i="8" s="1"/>
  <c r="J135" i="8"/>
  <c r="K133" i="8"/>
  <c r="B136" i="8" l="1"/>
  <c r="C137" i="8"/>
  <c r="D136" i="8"/>
  <c r="E134" i="8"/>
  <c r="K134" i="8"/>
  <c r="I137" i="8"/>
  <c r="H137" i="8" s="1"/>
  <c r="J136" i="8"/>
  <c r="E135" i="8" l="1"/>
  <c r="B137" i="8"/>
  <c r="C138" i="8"/>
  <c r="D137" i="8"/>
  <c r="I138" i="8"/>
  <c r="H138" i="8" s="1"/>
  <c r="J137" i="8"/>
  <c r="K135" i="8"/>
  <c r="E136" i="8" l="1"/>
  <c r="D138" i="8"/>
  <c r="C139" i="8"/>
  <c r="B138" i="8"/>
  <c r="I139" i="8"/>
  <c r="H139" i="8" s="1"/>
  <c r="J138" i="8"/>
  <c r="K137" i="8" s="1"/>
  <c r="K136" i="8"/>
  <c r="D139" i="8" l="1"/>
  <c r="C140" i="8"/>
  <c r="B139" i="8"/>
  <c r="E137" i="8"/>
  <c r="I140" i="8"/>
  <c r="H140" i="8" s="1"/>
  <c r="J139" i="8"/>
  <c r="E138" i="8" l="1"/>
  <c r="B140" i="8"/>
  <c r="C141" i="8"/>
  <c r="D140" i="8"/>
  <c r="I141" i="8"/>
  <c r="H141" i="8" s="1"/>
  <c r="J140" i="8"/>
  <c r="K138" i="8"/>
  <c r="E139" i="8" l="1"/>
  <c r="K139" i="8"/>
  <c r="D141" i="8"/>
  <c r="B141" i="8"/>
  <c r="C142" i="8"/>
  <c r="I142" i="8"/>
  <c r="H142" i="8" s="1"/>
  <c r="J141" i="8"/>
  <c r="E140" i="8" l="1"/>
  <c r="D142" i="8"/>
  <c r="B142" i="8"/>
  <c r="C143" i="8"/>
  <c r="I143" i="8"/>
  <c r="H143" i="8" s="1"/>
  <c r="J142" i="8"/>
  <c r="K140" i="8"/>
  <c r="E141" i="8" l="1"/>
  <c r="B143" i="8"/>
  <c r="C144" i="8"/>
  <c r="D143" i="8"/>
  <c r="K141" i="8"/>
  <c r="I144" i="8"/>
  <c r="H144" i="8" s="1"/>
  <c r="J143" i="8"/>
  <c r="E142" i="8" l="1"/>
  <c r="B144" i="8"/>
  <c r="C145" i="8"/>
  <c r="D144" i="8"/>
  <c r="I145" i="8"/>
  <c r="H145" i="8" s="1"/>
  <c r="J144" i="8"/>
  <c r="K142" i="8"/>
  <c r="C146" i="8" l="1"/>
  <c r="B145" i="8"/>
  <c r="D145" i="8"/>
  <c r="E143" i="8"/>
  <c r="I146" i="8"/>
  <c r="H146" i="8" s="1"/>
  <c r="J145" i="8"/>
  <c r="K144" i="8" s="1"/>
  <c r="K143" i="8"/>
  <c r="E144" i="8" l="1"/>
  <c r="C147" i="8"/>
  <c r="B146" i="8"/>
  <c r="D146" i="8"/>
  <c r="I147" i="8"/>
  <c r="H147" i="8" s="1"/>
  <c r="J146" i="8"/>
  <c r="B147" i="8" l="1"/>
  <c r="C148" i="8"/>
  <c r="D147" i="8"/>
  <c r="E145" i="8"/>
  <c r="I148" i="8"/>
  <c r="H148" i="8" s="1"/>
  <c r="J147" i="8"/>
  <c r="K145" i="8"/>
  <c r="E146" i="8" l="1"/>
  <c r="C149" i="8"/>
  <c r="B148" i="8"/>
  <c r="D148" i="8"/>
  <c r="I149" i="8"/>
  <c r="H149" i="8" s="1"/>
  <c r="J148" i="8"/>
  <c r="K146" i="8"/>
  <c r="E147" i="8" l="1"/>
  <c r="B149" i="8"/>
  <c r="C150" i="8"/>
  <c r="D149" i="8"/>
  <c r="I150" i="8"/>
  <c r="H150" i="8" s="1"/>
  <c r="J149" i="8"/>
  <c r="K147" i="8"/>
  <c r="K148" i="8" l="1"/>
  <c r="B150" i="8"/>
  <c r="C151" i="8"/>
  <c r="D150" i="8"/>
  <c r="E148" i="8"/>
  <c r="I151" i="8"/>
  <c r="H151" i="8" s="1"/>
  <c r="J150" i="8"/>
  <c r="C152" i="8" l="1"/>
  <c r="D151" i="8"/>
  <c r="B151" i="8"/>
  <c r="E149" i="8"/>
  <c r="I152" i="8"/>
  <c r="H152" i="8" s="1"/>
  <c r="J151" i="8"/>
  <c r="K150" i="8" s="1"/>
  <c r="K149" i="8"/>
  <c r="E150" i="8" l="1"/>
  <c r="C153" i="8"/>
  <c r="D152" i="8"/>
  <c r="B152" i="8"/>
  <c r="I153" i="8"/>
  <c r="H153" i="8" s="1"/>
  <c r="J152" i="8"/>
  <c r="E151" i="8" l="1"/>
  <c r="B153" i="8"/>
  <c r="D153" i="8"/>
  <c r="C154" i="8"/>
  <c r="I154" i="8"/>
  <c r="H154" i="8" s="1"/>
  <c r="J153" i="8"/>
  <c r="K151" i="8"/>
  <c r="E152" i="8" l="1"/>
  <c r="B154" i="8"/>
  <c r="C155" i="8"/>
  <c r="D154" i="8"/>
  <c r="I155" i="8"/>
  <c r="H155" i="8" s="1"/>
  <c r="J154" i="8"/>
  <c r="K152" i="8"/>
  <c r="E153" i="8" l="1"/>
  <c r="C156" i="8"/>
  <c r="B155" i="8"/>
  <c r="D155" i="8"/>
  <c r="K153" i="8"/>
  <c r="I156" i="8"/>
  <c r="H156" i="8" s="1"/>
  <c r="J155" i="8"/>
  <c r="E154" i="8" l="1"/>
  <c r="D156" i="8"/>
  <c r="C157" i="8"/>
  <c r="B156" i="8"/>
  <c r="I157" i="8"/>
  <c r="H157" i="8" s="1"/>
  <c r="J156" i="8"/>
  <c r="K154" i="8"/>
  <c r="K155" i="8" l="1"/>
  <c r="E155" i="8"/>
  <c r="C158" i="8"/>
  <c r="B157" i="8"/>
  <c r="D157" i="8"/>
  <c r="I158" i="8"/>
  <c r="H158" i="8" s="1"/>
  <c r="J157" i="8"/>
  <c r="B158" i="8" l="1"/>
  <c r="C159" i="8"/>
  <c r="D158" i="8"/>
  <c r="E156" i="8"/>
  <c r="I159" i="8"/>
  <c r="H159" i="8" s="1"/>
  <c r="J158" i="8"/>
  <c r="K156" i="8"/>
  <c r="E157" i="8" l="1"/>
  <c r="C160" i="8"/>
  <c r="D159" i="8"/>
  <c r="B159" i="8"/>
  <c r="I160" i="8"/>
  <c r="H160" i="8" s="1"/>
  <c r="J159" i="8"/>
  <c r="K158" i="8" s="1"/>
  <c r="K157" i="8"/>
  <c r="E158" i="8" l="1"/>
  <c r="D160" i="8"/>
  <c r="B160" i="8"/>
  <c r="C161" i="8"/>
  <c r="I161" i="8"/>
  <c r="H161" i="8" s="1"/>
  <c r="J160" i="8"/>
  <c r="K159" i="8" s="1"/>
  <c r="E159" i="8" l="1"/>
  <c r="B161" i="8"/>
  <c r="C162" i="8"/>
  <c r="D161" i="8"/>
  <c r="I162" i="8"/>
  <c r="H162" i="8" s="1"/>
  <c r="J161" i="8"/>
  <c r="E160" i="8" l="1"/>
  <c r="B162" i="8"/>
  <c r="D162" i="8"/>
  <c r="C163" i="8"/>
  <c r="K160" i="8"/>
  <c r="I163" i="8"/>
  <c r="H163" i="8" s="1"/>
  <c r="J162" i="8"/>
  <c r="E161" i="8" l="1"/>
  <c r="D163" i="8"/>
  <c r="C164" i="8"/>
  <c r="B163" i="8"/>
  <c r="K161" i="8"/>
  <c r="I164" i="8"/>
  <c r="H164" i="8" s="1"/>
  <c r="J163" i="8"/>
  <c r="K162" i="8" l="1"/>
  <c r="B164" i="8"/>
  <c r="D164" i="8"/>
  <c r="C165" i="8"/>
  <c r="E162" i="8"/>
  <c r="I165" i="8"/>
  <c r="H165" i="8" s="1"/>
  <c r="J164" i="8"/>
  <c r="E163" i="8" l="1"/>
  <c r="B165" i="8"/>
  <c r="C166" i="8"/>
  <c r="D165" i="8"/>
  <c r="K163" i="8"/>
  <c r="I166" i="8"/>
  <c r="H166" i="8" s="1"/>
  <c r="J165" i="8"/>
  <c r="E164" i="8" l="1"/>
  <c r="D166" i="8"/>
  <c r="B166" i="8"/>
  <c r="C167" i="8"/>
  <c r="I167" i="8"/>
  <c r="H167" i="8" s="1"/>
  <c r="J166" i="8"/>
  <c r="K164" i="8"/>
  <c r="B167" i="8" l="1"/>
  <c r="C168" i="8"/>
  <c r="D167" i="8"/>
  <c r="E165" i="8"/>
  <c r="I168" i="8"/>
  <c r="H168" i="8" s="1"/>
  <c r="J167" i="8"/>
  <c r="K166" i="8" s="1"/>
  <c r="K165" i="8"/>
  <c r="E166" i="8" l="1"/>
  <c r="B168" i="8"/>
  <c r="D168" i="8"/>
  <c r="C169" i="8"/>
  <c r="I169" i="8"/>
  <c r="H169" i="8" s="1"/>
  <c r="J168" i="8"/>
  <c r="E167" i="8" l="1"/>
  <c r="C170" i="8"/>
  <c r="B169" i="8"/>
  <c r="D169" i="8"/>
  <c r="K167" i="8"/>
  <c r="I170" i="8"/>
  <c r="H170" i="8" s="1"/>
  <c r="J169" i="8"/>
  <c r="E168" i="8" l="1"/>
  <c r="C171" i="8"/>
  <c r="D170" i="8"/>
  <c r="B170" i="8"/>
  <c r="K168" i="8"/>
  <c r="I171" i="8"/>
  <c r="H171" i="8" s="1"/>
  <c r="J170" i="8"/>
  <c r="E169" i="8" l="1"/>
  <c r="K169" i="8"/>
  <c r="B171" i="8"/>
  <c r="C172" i="8"/>
  <c r="D171" i="8"/>
  <c r="E170" i="8" s="1"/>
  <c r="I172" i="8"/>
  <c r="H172" i="8" s="1"/>
  <c r="J171" i="8"/>
  <c r="B172" i="8" l="1"/>
  <c r="D172" i="8"/>
  <c r="C173" i="8"/>
  <c r="K170" i="8"/>
  <c r="I173" i="8"/>
  <c r="H173" i="8" s="1"/>
  <c r="J172" i="8"/>
  <c r="E171" i="8" l="1"/>
  <c r="B173" i="8"/>
  <c r="C174" i="8"/>
  <c r="D173" i="8"/>
  <c r="I174" i="8"/>
  <c r="H174" i="8" s="1"/>
  <c r="J173" i="8"/>
  <c r="K171" i="8"/>
  <c r="B174" i="8" l="1"/>
  <c r="C175" i="8"/>
  <c r="D174" i="8"/>
  <c r="E172" i="8"/>
  <c r="K172" i="8"/>
  <c r="I175" i="8"/>
  <c r="H175" i="8" s="1"/>
  <c r="J174" i="8"/>
  <c r="D175" i="8" l="1"/>
  <c r="B175" i="8"/>
  <c r="C176" i="8"/>
  <c r="E173" i="8"/>
  <c r="I176" i="8"/>
  <c r="H176" i="8" s="1"/>
  <c r="J175" i="8"/>
  <c r="K173" i="8"/>
  <c r="C177" i="8" l="1"/>
  <c r="D176" i="8"/>
  <c r="B176" i="8"/>
  <c r="E174" i="8"/>
  <c r="I177" i="8"/>
  <c r="H177" i="8" s="1"/>
  <c r="J176" i="8"/>
  <c r="K174" i="8"/>
  <c r="B177" i="8" l="1"/>
  <c r="D177" i="8"/>
  <c r="C178" i="8"/>
  <c r="E175" i="8"/>
  <c r="I178" i="8"/>
  <c r="H178" i="8" s="1"/>
  <c r="J177" i="8"/>
  <c r="K176" i="8" s="1"/>
  <c r="K175" i="8"/>
  <c r="E176" i="8" l="1"/>
  <c r="C179" i="8"/>
  <c r="D178" i="8"/>
  <c r="B178" i="8"/>
  <c r="I179" i="8"/>
  <c r="H179" i="8" s="1"/>
  <c r="J178" i="8"/>
  <c r="E177" i="8" l="1"/>
  <c r="B179" i="8"/>
  <c r="C180" i="8"/>
  <c r="D179" i="8"/>
  <c r="I180" i="8"/>
  <c r="H180" i="8" s="1"/>
  <c r="J179" i="8"/>
  <c r="K177" i="8"/>
  <c r="K178" i="8" l="1"/>
  <c r="B180" i="8"/>
  <c r="D180" i="8"/>
  <c r="C181" i="8"/>
  <c r="E178" i="8"/>
  <c r="I181" i="8"/>
  <c r="H181" i="8" s="1"/>
  <c r="J180" i="8"/>
  <c r="E179" i="8" l="1"/>
  <c r="C182" i="8"/>
  <c r="D181" i="8"/>
  <c r="B181" i="8"/>
  <c r="K179" i="8"/>
  <c r="I182" i="8"/>
  <c r="H182" i="8" s="1"/>
  <c r="J181" i="8"/>
  <c r="E180" i="8" l="1"/>
  <c r="K180" i="8"/>
  <c r="D182" i="8"/>
  <c r="C183" i="8"/>
  <c r="B182" i="8"/>
  <c r="I183" i="8"/>
  <c r="H183" i="8" s="1"/>
  <c r="J182" i="8"/>
  <c r="C184" i="8" l="1"/>
  <c r="B183" i="8"/>
  <c r="D183" i="8"/>
  <c r="E182" i="8" s="1"/>
  <c r="E181" i="8"/>
  <c r="I184" i="8"/>
  <c r="H184" i="8" s="1"/>
  <c r="J183" i="8"/>
  <c r="K181" i="8"/>
  <c r="B184" i="8" l="1"/>
  <c r="C185" i="8"/>
  <c r="D184" i="8"/>
  <c r="I185" i="8"/>
  <c r="H185" i="8" s="1"/>
  <c r="J184" i="8"/>
  <c r="K182" i="8"/>
  <c r="C186" i="8" l="1"/>
  <c r="D185" i="8"/>
  <c r="B185" i="8"/>
  <c r="E183" i="8"/>
  <c r="I186" i="8"/>
  <c r="H186" i="8" s="1"/>
  <c r="J185" i="8"/>
  <c r="K183" i="8"/>
  <c r="E184" i="8" l="1"/>
  <c r="D186" i="8"/>
  <c r="C187" i="8"/>
  <c r="B186" i="8"/>
  <c r="I187" i="8"/>
  <c r="H187" i="8" s="1"/>
  <c r="J186" i="8"/>
  <c r="K185" i="8" s="1"/>
  <c r="K184" i="8"/>
  <c r="D187" i="8" l="1"/>
  <c r="C188" i="8"/>
  <c r="B187" i="8"/>
  <c r="E185" i="8"/>
  <c r="I188" i="8"/>
  <c r="H188" i="8" s="1"/>
  <c r="J187" i="8"/>
  <c r="K186" i="8" s="1"/>
  <c r="E186" i="8" l="1"/>
  <c r="B188" i="8"/>
  <c r="C189" i="8"/>
  <c r="D188" i="8"/>
  <c r="I189" i="8"/>
  <c r="H189" i="8" s="1"/>
  <c r="J188" i="8"/>
  <c r="K187" i="8" s="1"/>
  <c r="E187" i="8" l="1"/>
  <c r="B189" i="8"/>
  <c r="D189" i="8"/>
  <c r="C190" i="8"/>
  <c r="I190" i="8"/>
  <c r="H190" i="8" s="1"/>
  <c r="J189" i="8"/>
  <c r="K188" i="8" l="1"/>
  <c r="C191" i="8"/>
  <c r="D190" i="8"/>
  <c r="B190" i="8"/>
  <c r="E188" i="8"/>
  <c r="I191" i="8"/>
  <c r="H191" i="8" s="1"/>
  <c r="J190" i="8"/>
  <c r="K189" i="8" l="1"/>
  <c r="C192" i="8"/>
  <c r="B191" i="8"/>
  <c r="D191" i="8"/>
  <c r="E190" i="8" s="1"/>
  <c r="E189" i="8"/>
  <c r="I192" i="8"/>
  <c r="H192" i="8" s="1"/>
  <c r="J191" i="8"/>
  <c r="B192" i="8" l="1"/>
  <c r="C193" i="8"/>
  <c r="D192" i="8"/>
  <c r="I193" i="8"/>
  <c r="H193" i="8" s="1"/>
  <c r="J192" i="8"/>
  <c r="K191" i="8" s="1"/>
  <c r="K190" i="8"/>
  <c r="E191" i="8" l="1"/>
  <c r="B193" i="8"/>
  <c r="C194" i="8"/>
  <c r="D193" i="8"/>
  <c r="I194" i="8"/>
  <c r="H194" i="8" s="1"/>
  <c r="J193" i="8"/>
  <c r="E192" i="8" l="1"/>
  <c r="B194" i="8"/>
  <c r="C195" i="8"/>
  <c r="D194" i="8"/>
  <c r="I195" i="8"/>
  <c r="H195" i="8" s="1"/>
  <c r="J194" i="8"/>
  <c r="K192" i="8"/>
  <c r="K193" i="8" l="1"/>
  <c r="E193" i="8"/>
  <c r="B195" i="8"/>
  <c r="D195" i="8"/>
  <c r="C196" i="8"/>
  <c r="I196" i="8"/>
  <c r="H196" i="8" s="1"/>
  <c r="J195" i="8"/>
  <c r="E194" i="8" l="1"/>
  <c r="B196" i="8"/>
  <c r="C197" i="8"/>
  <c r="D196" i="8"/>
  <c r="I197" i="8"/>
  <c r="H197" i="8" s="1"/>
  <c r="J196" i="8"/>
  <c r="K194" i="8"/>
  <c r="D197" i="8" l="1"/>
  <c r="B197" i="8"/>
  <c r="C198" i="8"/>
  <c r="E195" i="8"/>
  <c r="I198" i="8"/>
  <c r="H198" i="8" s="1"/>
  <c r="J197" i="8"/>
  <c r="K196" i="8" s="1"/>
  <c r="K195" i="8"/>
  <c r="E196" i="8" l="1"/>
  <c r="C199" i="8"/>
  <c r="D198" i="8"/>
  <c r="B198" i="8"/>
  <c r="I199" i="8"/>
  <c r="H199" i="8" s="1"/>
  <c r="J198" i="8"/>
  <c r="E197" i="8" l="1"/>
  <c r="C200" i="8"/>
  <c r="B199" i="8"/>
  <c r="D199" i="8"/>
  <c r="I200" i="8"/>
  <c r="H200" i="8" s="1"/>
  <c r="J199" i="8"/>
  <c r="K198" i="8" s="1"/>
  <c r="K197" i="8"/>
  <c r="E198" i="8" l="1"/>
  <c r="D200" i="8"/>
  <c r="B200" i="8"/>
  <c r="C201" i="8"/>
  <c r="I201" i="8"/>
  <c r="H201" i="8" s="1"/>
  <c r="J200" i="8"/>
  <c r="D201" i="8" l="1"/>
  <c r="C202" i="8"/>
  <c r="B201" i="8"/>
  <c r="E199" i="8"/>
  <c r="I202" i="8"/>
  <c r="H202" i="8" s="1"/>
  <c r="J201" i="8"/>
  <c r="K199" i="8"/>
  <c r="E200" i="8" l="1"/>
  <c r="B202" i="8"/>
  <c r="C203" i="8"/>
  <c r="D202" i="8"/>
  <c r="E201" i="8" s="1"/>
  <c r="I203" i="8"/>
  <c r="H203" i="8" s="1"/>
  <c r="J202" i="8"/>
  <c r="K200" i="8"/>
  <c r="B203" i="8" l="1"/>
  <c r="C204" i="8"/>
  <c r="D203" i="8"/>
  <c r="K201" i="8"/>
  <c r="I204" i="8"/>
  <c r="H204" i="8" s="1"/>
  <c r="J203" i="8"/>
  <c r="B204" i="8" l="1"/>
  <c r="D204" i="8"/>
  <c r="C205" i="8"/>
  <c r="E202" i="8"/>
  <c r="K202" i="8"/>
  <c r="I205" i="8"/>
  <c r="H205" i="8" s="1"/>
  <c r="J204" i="8"/>
  <c r="E203" i="8" l="1"/>
  <c r="D205" i="8"/>
  <c r="B205" i="8"/>
  <c r="C206" i="8"/>
  <c r="I206" i="8"/>
  <c r="H206" i="8" s="1"/>
  <c r="J205" i="8"/>
  <c r="K203" i="8"/>
  <c r="E204" i="8" l="1"/>
  <c r="B206" i="8"/>
  <c r="D206" i="8"/>
  <c r="C207" i="8"/>
  <c r="I207" i="8"/>
  <c r="H207" i="8" s="1"/>
  <c r="J206" i="8"/>
  <c r="K204" i="8"/>
  <c r="E205" i="8" l="1"/>
  <c r="B207" i="8"/>
  <c r="D207" i="8"/>
  <c r="C208" i="8"/>
  <c r="K205" i="8"/>
  <c r="I208" i="8"/>
  <c r="H208" i="8" s="1"/>
  <c r="J207" i="8"/>
  <c r="E206" i="8" l="1"/>
  <c r="B208" i="8"/>
  <c r="C209" i="8"/>
  <c r="D208" i="8"/>
  <c r="I209" i="8"/>
  <c r="H209" i="8" s="1"/>
  <c r="J208" i="8"/>
  <c r="K206" i="8"/>
  <c r="D209" i="8" l="1"/>
  <c r="C210" i="8"/>
  <c r="B209" i="8"/>
  <c r="K207" i="8"/>
  <c r="E207" i="8"/>
  <c r="I210" i="8"/>
  <c r="H210" i="8" s="1"/>
  <c r="J209" i="8"/>
  <c r="E208" i="8" l="1"/>
  <c r="B210" i="8"/>
  <c r="D210" i="8"/>
  <c r="C211" i="8"/>
  <c r="K208" i="8"/>
  <c r="I211" i="8"/>
  <c r="H211" i="8" s="1"/>
  <c r="J210" i="8"/>
  <c r="E209" i="8" l="1"/>
  <c r="B211" i="8"/>
  <c r="C212" i="8"/>
  <c r="D211" i="8"/>
  <c r="K209" i="8"/>
  <c r="I212" i="8"/>
  <c r="H212" i="8" s="1"/>
  <c r="J211" i="8"/>
  <c r="K210" i="8" s="1"/>
  <c r="E210" i="8" l="1"/>
  <c r="B212" i="8"/>
  <c r="D212" i="8"/>
  <c r="C213" i="8"/>
  <c r="I213" i="8"/>
  <c r="H213" i="8" s="1"/>
  <c r="J212" i="8"/>
  <c r="K211" i="8" s="1"/>
  <c r="B213" i="8" l="1"/>
  <c r="C214" i="8"/>
  <c r="D213" i="8"/>
  <c r="E211" i="8"/>
  <c r="I214" i="8"/>
  <c r="H214" i="8" s="1"/>
  <c r="J213" i="8"/>
  <c r="B214" i="8" l="1"/>
  <c r="D214" i="8"/>
  <c r="C215" i="8"/>
  <c r="E212" i="8"/>
  <c r="K212" i="8"/>
  <c r="I215" i="8"/>
  <c r="H215" i="8" s="1"/>
  <c r="J214" i="8"/>
  <c r="C216" i="8" l="1"/>
  <c r="B215" i="8"/>
  <c r="D215" i="8"/>
  <c r="E213" i="8"/>
  <c r="I216" i="8"/>
  <c r="H216" i="8" s="1"/>
  <c r="J215" i="8"/>
  <c r="K213" i="8"/>
  <c r="B216" i="8" l="1"/>
  <c r="C217" i="8"/>
  <c r="D216" i="8"/>
  <c r="E214" i="8"/>
  <c r="I217" i="8"/>
  <c r="H217" i="8" s="1"/>
  <c r="J216" i="8"/>
  <c r="K214" i="8"/>
  <c r="E215" i="8" l="1"/>
  <c r="C218" i="8"/>
  <c r="B217" i="8"/>
  <c r="D217" i="8"/>
  <c r="K215" i="8"/>
  <c r="I218" i="8"/>
  <c r="H218" i="8" s="1"/>
  <c r="J217" i="8"/>
  <c r="E216" i="8" l="1"/>
  <c r="K216" i="8"/>
  <c r="D218" i="8"/>
  <c r="B218" i="8"/>
  <c r="C219" i="8"/>
  <c r="I219" i="8"/>
  <c r="H219" i="8" s="1"/>
  <c r="J218" i="8"/>
  <c r="E217" i="8" l="1"/>
  <c r="B219" i="8"/>
  <c r="C220" i="8"/>
  <c r="D219" i="8"/>
  <c r="E218" i="8" s="1"/>
  <c r="K217" i="8"/>
  <c r="I220" i="8"/>
  <c r="H220" i="8" s="1"/>
  <c r="J219" i="8"/>
  <c r="D220" i="8" l="1"/>
  <c r="B220" i="8"/>
  <c r="C221" i="8"/>
  <c r="I221" i="8"/>
  <c r="H221" i="8" s="1"/>
  <c r="J220" i="8"/>
  <c r="K218" i="8"/>
  <c r="E219" i="8" l="1"/>
  <c r="B221" i="8"/>
  <c r="C222" i="8"/>
  <c r="D221" i="8"/>
  <c r="I222" i="8"/>
  <c r="H222" i="8" s="1"/>
  <c r="J221" i="8"/>
  <c r="K219" i="8"/>
  <c r="K220" i="8" l="1"/>
  <c r="B222" i="8"/>
  <c r="D222" i="8"/>
  <c r="C223" i="8"/>
  <c r="E220" i="8"/>
  <c r="I223" i="8"/>
  <c r="H223" i="8" s="1"/>
  <c r="J222" i="8"/>
  <c r="E221" i="8" l="1"/>
  <c r="C224" i="8"/>
  <c r="D223" i="8"/>
  <c r="B223" i="8"/>
  <c r="K221" i="8"/>
  <c r="I224" i="8"/>
  <c r="H224" i="8" s="1"/>
  <c r="J223" i="8"/>
  <c r="D224" i="8" l="1"/>
  <c r="C225" i="8"/>
  <c r="B224" i="8"/>
  <c r="E222" i="8"/>
  <c r="I225" i="8"/>
  <c r="H225" i="8" s="1"/>
  <c r="J224" i="8"/>
  <c r="K222" i="8"/>
  <c r="E223" i="8" l="1"/>
  <c r="B225" i="8"/>
  <c r="C226" i="8"/>
  <c r="D225" i="8"/>
  <c r="I226" i="8"/>
  <c r="H226" i="8" s="1"/>
  <c r="J225" i="8"/>
  <c r="K223" i="8"/>
  <c r="B226" i="8" l="1"/>
  <c r="D226" i="8"/>
  <c r="C227" i="8"/>
  <c r="E224" i="8"/>
  <c r="I227" i="8"/>
  <c r="H227" i="8" s="1"/>
  <c r="J226" i="8"/>
  <c r="K224" i="8"/>
  <c r="B227" i="8" l="1"/>
  <c r="D227" i="8"/>
  <c r="C228" i="8"/>
  <c r="E225" i="8"/>
  <c r="I228" i="8"/>
  <c r="H228" i="8" s="1"/>
  <c r="J227" i="8"/>
  <c r="K225" i="8"/>
  <c r="E226" i="8" l="1"/>
  <c r="B228" i="8"/>
  <c r="C229" i="8"/>
  <c r="D228" i="8"/>
  <c r="I229" i="8"/>
  <c r="H229" i="8" s="1"/>
  <c r="J228" i="8"/>
  <c r="K226" i="8"/>
  <c r="E227" i="8" l="1"/>
  <c r="D229" i="8"/>
  <c r="B229" i="8"/>
  <c r="C230" i="8"/>
  <c r="I230" i="8"/>
  <c r="H230" i="8" s="1"/>
  <c r="J229" i="8"/>
  <c r="K228" i="8" s="1"/>
  <c r="K227" i="8"/>
  <c r="E228" i="8" l="1"/>
  <c r="D230" i="8"/>
  <c r="B230" i="8"/>
  <c r="C231" i="8"/>
  <c r="I231" i="8"/>
  <c r="H231" i="8" s="1"/>
  <c r="J230" i="8"/>
  <c r="E229" i="8" l="1"/>
  <c r="B231" i="8"/>
  <c r="C232" i="8"/>
  <c r="D231" i="8"/>
  <c r="K229" i="8"/>
  <c r="I232" i="8"/>
  <c r="H232" i="8" s="1"/>
  <c r="J231" i="8"/>
  <c r="E230" i="8" l="1"/>
  <c r="K230" i="8"/>
  <c r="C233" i="8"/>
  <c r="B232" i="8"/>
  <c r="D232" i="8"/>
  <c r="I233" i="8"/>
  <c r="H233" i="8" s="1"/>
  <c r="J232" i="8"/>
  <c r="E231" i="8" l="1"/>
  <c r="K231" i="8"/>
  <c r="B233" i="8"/>
  <c r="D233" i="8"/>
  <c r="C234" i="8"/>
  <c r="I234" i="8"/>
  <c r="H234" i="8" s="1"/>
  <c r="J233" i="8"/>
  <c r="E232" i="8" l="1"/>
  <c r="C235" i="8"/>
  <c r="B234" i="8"/>
  <c r="D234" i="8"/>
  <c r="K232" i="8"/>
  <c r="I235" i="8"/>
  <c r="H235" i="8" s="1"/>
  <c r="J234" i="8"/>
  <c r="E233" i="8" l="1"/>
  <c r="C236" i="8"/>
  <c r="D235" i="8"/>
  <c r="B235" i="8"/>
  <c r="I236" i="8"/>
  <c r="H236" i="8" s="1"/>
  <c r="J235" i="8"/>
  <c r="K233" i="8"/>
  <c r="E234" i="8" l="1"/>
  <c r="D236" i="8"/>
  <c r="B236" i="8"/>
  <c r="C237" i="8"/>
  <c r="K234" i="8"/>
  <c r="I237" i="8"/>
  <c r="H237" i="8" s="1"/>
  <c r="J236" i="8"/>
  <c r="D237" i="8" l="1"/>
  <c r="C238" i="8"/>
  <c r="B237" i="8"/>
  <c r="E235" i="8"/>
  <c r="K235" i="8"/>
  <c r="I238" i="8"/>
  <c r="H238" i="8" s="1"/>
  <c r="J237" i="8"/>
  <c r="E236" i="8" l="1"/>
  <c r="B238" i="8"/>
  <c r="C239" i="8"/>
  <c r="D238" i="8"/>
  <c r="I239" i="8"/>
  <c r="H239" i="8" s="1"/>
  <c r="J238" i="8"/>
  <c r="K237" i="8" s="1"/>
  <c r="K236" i="8"/>
  <c r="E237" i="8" l="1"/>
  <c r="C240" i="8"/>
  <c r="D239" i="8"/>
  <c r="B239" i="8"/>
  <c r="I240" i="8"/>
  <c r="H240" i="8" s="1"/>
  <c r="J239" i="8"/>
  <c r="E238" i="8" l="1"/>
  <c r="B240" i="8"/>
  <c r="D240" i="8"/>
  <c r="C241" i="8"/>
  <c r="K238" i="8"/>
  <c r="I241" i="8"/>
  <c r="H241" i="8" s="1"/>
  <c r="J240" i="8"/>
  <c r="E239" i="8" l="1"/>
  <c r="C242" i="8"/>
  <c r="D241" i="8"/>
  <c r="B241" i="8"/>
  <c r="I242" i="8"/>
  <c r="H242" i="8" s="1"/>
  <c r="J241" i="8"/>
  <c r="K239" i="8"/>
  <c r="E240" i="8" l="1"/>
  <c r="C243" i="8"/>
  <c r="D242" i="8"/>
  <c r="B242" i="8"/>
  <c r="I243" i="8"/>
  <c r="H243" i="8" s="1"/>
  <c r="J242" i="8"/>
  <c r="K240" i="8"/>
  <c r="E241" i="8" l="1"/>
  <c r="K241" i="8"/>
  <c r="B243" i="8"/>
  <c r="D243" i="8"/>
  <c r="E242" i="8" s="1"/>
  <c r="C244" i="8"/>
  <c r="I244" i="8"/>
  <c r="H244" i="8" s="1"/>
  <c r="J243" i="8"/>
  <c r="K242" i="8" l="1"/>
  <c r="B244" i="8"/>
  <c r="C245" i="8"/>
  <c r="D244" i="8"/>
  <c r="I245" i="8"/>
  <c r="H245" i="8" s="1"/>
  <c r="J244" i="8"/>
  <c r="C246" i="8" l="1"/>
  <c r="D245" i="8"/>
  <c r="B245" i="8"/>
  <c r="E243" i="8"/>
  <c r="I246" i="8"/>
  <c r="H246" i="8" s="1"/>
  <c r="J245" i="8"/>
  <c r="K244" i="8" s="1"/>
  <c r="K243" i="8"/>
  <c r="E244" i="8" l="1"/>
  <c r="B246" i="8"/>
  <c r="D246" i="8"/>
  <c r="C247" i="8"/>
  <c r="I247" i="8"/>
  <c r="H247" i="8" s="1"/>
  <c r="J246" i="8"/>
  <c r="B247" i="8" l="1"/>
  <c r="D247" i="8"/>
  <c r="C248" i="8"/>
  <c r="E245" i="8"/>
  <c r="I248" i="8"/>
  <c r="H248" i="8" s="1"/>
  <c r="J247" i="8"/>
  <c r="K245" i="8"/>
  <c r="E246" i="8" l="1"/>
  <c r="B248" i="8"/>
  <c r="D248" i="8"/>
  <c r="C249" i="8"/>
  <c r="K246" i="8"/>
  <c r="I249" i="8"/>
  <c r="H249" i="8" s="1"/>
  <c r="J248" i="8"/>
  <c r="E247" i="8" l="1"/>
  <c r="B249" i="8"/>
  <c r="C250" i="8"/>
  <c r="D249" i="8"/>
  <c r="E248" i="8" s="1"/>
  <c r="I250" i="8"/>
  <c r="H250" i="8" s="1"/>
  <c r="J249" i="8"/>
  <c r="K247" i="8"/>
  <c r="B250" i="8" l="1"/>
  <c r="C251" i="8"/>
  <c r="D250" i="8"/>
  <c r="K248" i="8"/>
  <c r="I251" i="8"/>
  <c r="H251" i="8" s="1"/>
  <c r="J250" i="8"/>
  <c r="B251" i="8" l="1"/>
  <c r="D251" i="8"/>
  <c r="C252" i="8"/>
  <c r="K249" i="8"/>
  <c r="E249" i="8"/>
  <c r="I252" i="8"/>
  <c r="H252" i="8" s="1"/>
  <c r="J251" i="8"/>
  <c r="E250" i="8" l="1"/>
  <c r="B252" i="8"/>
  <c r="D252" i="8"/>
  <c r="C253" i="8"/>
  <c r="I253" i="8"/>
  <c r="H253" i="8" s="1"/>
  <c r="J252" i="8"/>
  <c r="K250" i="8"/>
  <c r="E251" i="8" l="1"/>
  <c r="D253" i="8"/>
  <c r="B253" i="8"/>
  <c r="C254" i="8"/>
  <c r="K251" i="8"/>
  <c r="I254" i="8"/>
  <c r="H254" i="8" s="1"/>
  <c r="J253" i="8"/>
  <c r="B254" i="8" l="1"/>
  <c r="C255" i="8"/>
  <c r="D254" i="8"/>
  <c r="E252" i="8"/>
  <c r="I255" i="8"/>
  <c r="H255" i="8" s="1"/>
  <c r="J254" i="8"/>
  <c r="K253" i="8" s="1"/>
  <c r="K252" i="8"/>
  <c r="E253" i="8" l="1"/>
  <c r="B255" i="8"/>
  <c r="D255" i="8"/>
  <c r="C256" i="8"/>
  <c r="I256" i="8"/>
  <c r="H256" i="8" s="1"/>
  <c r="J255" i="8"/>
  <c r="K254" i="8" s="1"/>
  <c r="E254" i="8" l="1"/>
  <c r="B256" i="8"/>
  <c r="C257" i="8"/>
  <c r="D256" i="8"/>
  <c r="I257" i="8"/>
  <c r="H257" i="8" s="1"/>
  <c r="J256" i="8"/>
  <c r="E255" i="8" l="1"/>
  <c r="C258" i="8"/>
  <c r="D257" i="8"/>
  <c r="B257" i="8"/>
  <c r="I258" i="8"/>
  <c r="H258" i="8" s="1"/>
  <c r="J257" i="8"/>
  <c r="K255" i="8"/>
  <c r="E256" i="8" l="1"/>
  <c r="B258" i="8"/>
  <c r="D258" i="8"/>
  <c r="C259" i="8"/>
  <c r="I259" i="8"/>
  <c r="H259" i="8" s="1"/>
  <c r="J258" i="8"/>
  <c r="K256" i="8"/>
  <c r="E257" i="8" l="1"/>
  <c r="C260" i="8"/>
  <c r="D259" i="8"/>
  <c r="B259" i="8"/>
  <c r="I260" i="8"/>
  <c r="H260" i="8" s="1"/>
  <c r="J259" i="8"/>
  <c r="K258" i="8" s="1"/>
  <c r="K257" i="8"/>
  <c r="E258" i="8" l="1"/>
  <c r="B260" i="8"/>
  <c r="D260" i="8"/>
  <c r="C261" i="8"/>
  <c r="I261" i="8"/>
  <c r="H261" i="8" s="1"/>
  <c r="J260" i="8"/>
  <c r="E259" i="8" l="1"/>
  <c r="C262" i="8"/>
  <c r="D261" i="8"/>
  <c r="B261" i="8"/>
  <c r="K259" i="8"/>
  <c r="I262" i="8"/>
  <c r="H262" i="8" s="1"/>
  <c r="J261" i="8"/>
  <c r="E260" i="8" l="1"/>
  <c r="B262" i="8"/>
  <c r="D262" i="8"/>
  <c r="C263" i="8"/>
  <c r="I263" i="8"/>
  <c r="H263" i="8" s="1"/>
  <c r="J262" i="8"/>
  <c r="K261" i="8" s="1"/>
  <c r="K260" i="8"/>
  <c r="B263" i="8" l="1"/>
  <c r="C264" i="8"/>
  <c r="D263" i="8"/>
  <c r="E261" i="8"/>
  <c r="I264" i="8"/>
  <c r="H264" i="8" s="1"/>
  <c r="J263" i="8"/>
  <c r="E262" i="8" l="1"/>
  <c r="B264" i="8"/>
  <c r="D264" i="8"/>
  <c r="C265" i="8"/>
  <c r="I265" i="8"/>
  <c r="H265" i="8" s="1"/>
  <c r="J264" i="8"/>
  <c r="K262" i="8"/>
  <c r="E263" i="8" l="1"/>
  <c r="B265" i="8"/>
  <c r="C266" i="8"/>
  <c r="D265" i="8"/>
  <c r="I266" i="8"/>
  <c r="H266" i="8" s="1"/>
  <c r="J265" i="8"/>
  <c r="K264" i="8" s="1"/>
  <c r="K263" i="8"/>
  <c r="E264" i="8" l="1"/>
  <c r="C267" i="8"/>
  <c r="D266" i="8"/>
  <c r="B266" i="8"/>
  <c r="I267" i="8"/>
  <c r="H267" i="8" s="1"/>
  <c r="J266" i="8"/>
  <c r="E265" i="8" l="1"/>
  <c r="B267" i="8"/>
  <c r="C268" i="8"/>
  <c r="D267" i="8"/>
  <c r="K265" i="8"/>
  <c r="I268" i="8"/>
  <c r="H268" i="8" s="1"/>
  <c r="J267" i="8"/>
  <c r="E266" i="8" l="1"/>
  <c r="C269" i="8"/>
  <c r="D268" i="8"/>
  <c r="B268" i="8"/>
  <c r="I269" i="8"/>
  <c r="H269" i="8" s="1"/>
  <c r="J268" i="8"/>
  <c r="K267" i="8" s="1"/>
  <c r="K266" i="8"/>
  <c r="E267" i="8" l="1"/>
  <c r="D269" i="8"/>
  <c r="B269" i="8"/>
  <c r="C270" i="8"/>
  <c r="I270" i="8"/>
  <c r="H270" i="8" s="1"/>
  <c r="J269" i="8"/>
  <c r="C271" i="8" l="1"/>
  <c r="B270" i="8"/>
  <c r="D270" i="8"/>
  <c r="K268" i="8"/>
  <c r="E268" i="8"/>
  <c r="I271" i="8"/>
  <c r="H271" i="8" s="1"/>
  <c r="J270" i="8"/>
  <c r="D271" i="8" l="1"/>
  <c r="B271" i="8"/>
  <c r="C272" i="8"/>
  <c r="E269" i="8"/>
  <c r="I272" i="8"/>
  <c r="H272" i="8" s="1"/>
  <c r="J271" i="8"/>
  <c r="K269" i="8"/>
  <c r="E270" i="8" l="1"/>
  <c r="B272" i="8"/>
  <c r="C273" i="8"/>
  <c r="D272" i="8"/>
  <c r="I273" i="8"/>
  <c r="H273" i="8" s="1"/>
  <c r="J272" i="8"/>
  <c r="K270" i="8"/>
  <c r="E271" i="8" l="1"/>
  <c r="B273" i="8"/>
  <c r="D273" i="8"/>
  <c r="C274" i="8"/>
  <c r="I274" i="8"/>
  <c r="H274" i="8" s="1"/>
  <c r="J273" i="8"/>
  <c r="K271" i="8"/>
  <c r="E272" i="8" l="1"/>
  <c r="D274" i="8"/>
  <c r="B274" i="8"/>
  <c r="C275" i="8"/>
  <c r="I275" i="8"/>
  <c r="H275" i="8" s="1"/>
  <c r="J274" i="8"/>
  <c r="K272" i="8"/>
  <c r="C276" i="8" l="1"/>
  <c r="D275" i="8"/>
  <c r="B275" i="8"/>
  <c r="E273" i="8"/>
  <c r="K273" i="8"/>
  <c r="I276" i="8"/>
  <c r="H276" i="8" s="1"/>
  <c r="J275" i="8"/>
  <c r="E274" i="8" l="1"/>
  <c r="B276" i="8"/>
  <c r="D276" i="8"/>
  <c r="C277" i="8"/>
  <c r="I277" i="8"/>
  <c r="H277" i="8" s="1"/>
  <c r="J276" i="8"/>
  <c r="K274" i="8"/>
  <c r="E275" i="8" l="1"/>
  <c r="B277" i="8"/>
  <c r="C278" i="8"/>
  <c r="D277" i="8"/>
  <c r="K275" i="8"/>
  <c r="I278" i="8"/>
  <c r="H278" i="8" s="1"/>
  <c r="J277" i="8"/>
  <c r="E276" i="8" l="1"/>
  <c r="B278" i="8"/>
  <c r="C279" i="8"/>
  <c r="D278" i="8"/>
  <c r="K276" i="8"/>
  <c r="I279" i="8"/>
  <c r="H279" i="8" s="1"/>
  <c r="J278" i="8"/>
  <c r="K277" i="8" l="1"/>
  <c r="B279" i="8"/>
  <c r="C280" i="8"/>
  <c r="D279" i="8"/>
  <c r="E277" i="8"/>
  <c r="I280" i="8"/>
  <c r="H280" i="8" s="1"/>
  <c r="J279" i="8"/>
  <c r="C281" i="8" l="1"/>
  <c r="B280" i="8"/>
  <c r="D280" i="8"/>
  <c r="E278" i="8"/>
  <c r="K278" i="8"/>
  <c r="I281" i="8"/>
  <c r="H281" i="8" s="1"/>
  <c r="J280" i="8"/>
  <c r="K279" i="8" s="1"/>
  <c r="C282" i="8" l="1"/>
  <c r="D281" i="8"/>
  <c r="B281" i="8"/>
  <c r="E279" i="8"/>
  <c r="I282" i="8"/>
  <c r="H282" i="8" s="1"/>
  <c r="J281" i="8"/>
  <c r="K280" i="8" s="1"/>
  <c r="D282" i="8" l="1"/>
  <c r="B282" i="8"/>
  <c r="C283" i="8"/>
  <c r="E280" i="8"/>
  <c r="I283" i="8"/>
  <c r="H283" i="8" s="1"/>
  <c r="J282" i="8"/>
  <c r="K281" i="8" s="1"/>
  <c r="E281" i="8" l="1"/>
  <c r="D283" i="8"/>
  <c r="B283" i="8"/>
  <c r="C284" i="8"/>
  <c r="I284" i="8"/>
  <c r="H284" i="8" s="1"/>
  <c r="J283" i="8"/>
  <c r="K282" i="8" l="1"/>
  <c r="E282" i="8"/>
  <c r="D284" i="8"/>
  <c r="C285" i="8"/>
  <c r="B284" i="8"/>
  <c r="I285" i="8"/>
  <c r="H285" i="8" s="1"/>
  <c r="J284" i="8"/>
  <c r="E283" i="8" l="1"/>
  <c r="B285" i="8"/>
  <c r="C286" i="8"/>
  <c r="D285" i="8"/>
  <c r="K283" i="8"/>
  <c r="I286" i="8"/>
  <c r="H286" i="8" s="1"/>
  <c r="J285" i="8"/>
  <c r="E284" i="8" l="1"/>
  <c r="D286" i="8"/>
  <c r="C287" i="8"/>
  <c r="B286" i="8"/>
  <c r="I287" i="8"/>
  <c r="H287" i="8" s="1"/>
  <c r="J286" i="8"/>
  <c r="K284" i="8"/>
  <c r="E285" i="8" l="1"/>
  <c r="C288" i="8"/>
  <c r="D287" i="8"/>
  <c r="B287" i="8"/>
  <c r="K285" i="8"/>
  <c r="I288" i="8"/>
  <c r="H288" i="8" s="1"/>
  <c r="J287" i="8"/>
  <c r="E286" i="8" l="1"/>
  <c r="D288" i="8"/>
  <c r="B288" i="8"/>
  <c r="C289" i="8"/>
  <c r="I289" i="8"/>
  <c r="H289" i="8" s="1"/>
  <c r="J288" i="8"/>
  <c r="K287" i="8" s="1"/>
  <c r="K286" i="8"/>
  <c r="E287" i="8" l="1"/>
  <c r="B289" i="8"/>
  <c r="C290" i="8"/>
  <c r="D289" i="8"/>
  <c r="I290" i="8"/>
  <c r="H290" i="8" s="1"/>
  <c r="J289" i="8"/>
  <c r="E288" i="8" l="1"/>
  <c r="C291" i="8"/>
  <c r="D290" i="8"/>
  <c r="B290" i="8"/>
  <c r="K288" i="8"/>
  <c r="I291" i="8"/>
  <c r="H291" i="8" s="1"/>
  <c r="J290" i="8"/>
  <c r="B291" i="8" l="1"/>
  <c r="D291" i="8"/>
  <c r="C292" i="8"/>
  <c r="E289" i="8"/>
  <c r="K289" i="8"/>
  <c r="I292" i="8"/>
  <c r="H292" i="8" s="1"/>
  <c r="J291" i="8"/>
  <c r="E290" i="8" l="1"/>
  <c r="K290" i="8"/>
  <c r="B292" i="8"/>
  <c r="D292" i="8"/>
  <c r="C293" i="8"/>
  <c r="I293" i="8"/>
  <c r="H293" i="8" s="1"/>
  <c r="J292" i="8"/>
  <c r="E291" i="8" l="1"/>
  <c r="B293" i="8"/>
  <c r="D293" i="8"/>
  <c r="C294" i="8"/>
  <c r="K291" i="8"/>
  <c r="I294" i="8"/>
  <c r="H294" i="8" s="1"/>
  <c r="J293" i="8"/>
  <c r="B294" i="8" l="1"/>
  <c r="C295" i="8"/>
  <c r="D294" i="8"/>
  <c r="E292" i="8"/>
  <c r="I295" i="8"/>
  <c r="H295" i="8" s="1"/>
  <c r="J294" i="8"/>
  <c r="K292" i="8"/>
  <c r="E293" i="8" l="1"/>
  <c r="D295" i="8"/>
  <c r="C296" i="8"/>
  <c r="B295" i="8"/>
  <c r="I296" i="8"/>
  <c r="H296" i="8" s="1"/>
  <c r="J295" i="8"/>
  <c r="K293" i="8"/>
  <c r="E294" i="8" l="1"/>
  <c r="B296" i="8"/>
  <c r="D296" i="8"/>
  <c r="C297" i="8"/>
  <c r="I297" i="8"/>
  <c r="H297" i="8" s="1"/>
  <c r="J296" i="8"/>
  <c r="K294" i="8"/>
  <c r="E295" i="8" l="1"/>
  <c r="B297" i="8"/>
  <c r="C298" i="8"/>
  <c r="D297" i="8"/>
  <c r="K295" i="8"/>
  <c r="I298" i="8"/>
  <c r="H298" i="8" s="1"/>
  <c r="J297" i="8"/>
  <c r="E296" i="8" l="1"/>
  <c r="B298" i="8"/>
  <c r="D298" i="8"/>
  <c r="C299" i="8"/>
  <c r="K296" i="8"/>
  <c r="I299" i="8"/>
  <c r="H299" i="8" s="1"/>
  <c r="J298" i="8"/>
  <c r="C300" i="8" l="1"/>
  <c r="B299" i="8"/>
  <c r="D299" i="8"/>
  <c r="K297" i="8"/>
  <c r="E297" i="8"/>
  <c r="I300" i="8"/>
  <c r="H300" i="8" s="1"/>
  <c r="J299" i="8"/>
  <c r="K298" i="8" l="1"/>
  <c r="E298" i="8"/>
  <c r="C301" i="8"/>
  <c r="D300" i="8"/>
  <c r="B300" i="8"/>
  <c r="I301" i="8"/>
  <c r="H301" i="8" s="1"/>
  <c r="J300" i="8"/>
  <c r="K299" i="8" s="1"/>
  <c r="E299" i="8" l="1"/>
  <c r="B301" i="8"/>
  <c r="C302" i="8"/>
  <c r="D301" i="8"/>
  <c r="I302" i="8"/>
  <c r="H302" i="8" s="1"/>
  <c r="J301" i="8"/>
  <c r="C303" i="8" l="1"/>
  <c r="D302" i="8"/>
  <c r="B302" i="8"/>
  <c r="E300" i="8"/>
  <c r="I303" i="8"/>
  <c r="H303" i="8" s="1"/>
  <c r="J302" i="8"/>
  <c r="K300" i="8"/>
  <c r="E301" i="8" l="1"/>
  <c r="B303" i="8"/>
  <c r="D303" i="8"/>
  <c r="C304" i="8"/>
  <c r="I304" i="8"/>
  <c r="H304" i="8" s="1"/>
  <c r="J303" i="8"/>
  <c r="K301" i="8"/>
  <c r="E302" i="8" l="1"/>
  <c r="D304" i="8"/>
  <c r="B304" i="8"/>
  <c r="C305" i="8"/>
  <c r="I305" i="8"/>
  <c r="H305" i="8" s="1"/>
  <c r="J304" i="8"/>
  <c r="K302" i="8"/>
  <c r="D305" i="8" l="1"/>
  <c r="B305" i="8"/>
  <c r="C306" i="8"/>
  <c r="E303" i="8"/>
  <c r="I306" i="8"/>
  <c r="H306" i="8" s="1"/>
  <c r="J305" i="8"/>
  <c r="K303" i="8"/>
  <c r="E304" i="8" l="1"/>
  <c r="B306" i="8"/>
  <c r="C307" i="8"/>
  <c r="D306" i="8"/>
  <c r="E305" i="8" s="1"/>
  <c r="K304" i="8"/>
  <c r="I307" i="8"/>
  <c r="H307" i="8" s="1"/>
  <c r="J306" i="8"/>
  <c r="K305" i="8" s="1"/>
  <c r="D307" i="8" l="1"/>
  <c r="B307" i="8"/>
  <c r="C308" i="8"/>
  <c r="I308" i="8"/>
  <c r="H308" i="8" s="1"/>
  <c r="J307" i="8"/>
  <c r="K306" i="8" s="1"/>
  <c r="E306" i="8" l="1"/>
  <c r="D308" i="8"/>
  <c r="B308" i="8"/>
  <c r="C309" i="8"/>
  <c r="I309" i="8"/>
  <c r="H309" i="8" s="1"/>
  <c r="J308" i="8"/>
  <c r="E307" i="8" l="1"/>
  <c r="D309" i="8"/>
  <c r="B309" i="8"/>
  <c r="C310" i="8"/>
  <c r="K307" i="8"/>
  <c r="I310" i="8"/>
  <c r="H310" i="8" s="1"/>
  <c r="J309" i="8"/>
  <c r="B310" i="8" l="1"/>
  <c r="D310" i="8"/>
  <c r="C311" i="8"/>
  <c r="E308" i="8"/>
  <c r="I311" i="8"/>
  <c r="H311" i="8" s="1"/>
  <c r="J310" i="8"/>
  <c r="K309" i="8" s="1"/>
  <c r="K308" i="8"/>
  <c r="E309" i="8" l="1"/>
  <c r="B311" i="8"/>
  <c r="D311" i="8"/>
  <c r="C312" i="8"/>
  <c r="I312" i="8"/>
  <c r="H312" i="8" s="1"/>
  <c r="J311" i="8"/>
  <c r="K310" i="8" s="1"/>
  <c r="B312" i="8" l="1"/>
  <c r="D312" i="8"/>
  <c r="C313" i="8"/>
  <c r="E310" i="8"/>
  <c r="I313" i="8"/>
  <c r="H313" i="8" s="1"/>
  <c r="J312" i="8"/>
  <c r="K311" i="8" s="1"/>
  <c r="E311" i="8" l="1"/>
  <c r="C314" i="8"/>
  <c r="D313" i="8"/>
  <c r="B313" i="8"/>
  <c r="I314" i="8"/>
  <c r="H314" i="8" s="1"/>
  <c r="J313" i="8"/>
  <c r="K312" i="8" s="1"/>
  <c r="E312" i="8" l="1"/>
  <c r="D314" i="8"/>
  <c r="B314" i="8"/>
  <c r="C315" i="8"/>
  <c r="I315" i="8"/>
  <c r="H315" i="8" s="1"/>
  <c r="J314" i="8"/>
  <c r="E313" i="8" l="1"/>
  <c r="C316" i="8"/>
  <c r="D315" i="8"/>
  <c r="B315" i="8"/>
  <c r="I316" i="8"/>
  <c r="H316" i="8" s="1"/>
  <c r="J315" i="8"/>
  <c r="K313" i="8"/>
  <c r="E314" i="8" l="1"/>
  <c r="C317" i="8"/>
  <c r="B316" i="8"/>
  <c r="D316" i="8"/>
  <c r="I317" i="8"/>
  <c r="H317" i="8" s="1"/>
  <c r="J316" i="8"/>
  <c r="K314" i="8"/>
  <c r="D317" i="8" l="1"/>
  <c r="C318" i="8"/>
  <c r="B317" i="8"/>
  <c r="E315" i="8"/>
  <c r="I318" i="8"/>
  <c r="H318" i="8" s="1"/>
  <c r="J317" i="8"/>
  <c r="K316" i="8" s="1"/>
  <c r="K315" i="8"/>
  <c r="B318" i="8" l="1"/>
  <c r="C319" i="8"/>
  <c r="D318" i="8"/>
  <c r="E316" i="8"/>
  <c r="I319" i="8"/>
  <c r="H319" i="8" s="1"/>
  <c r="J318" i="8"/>
  <c r="E317" i="8" l="1"/>
  <c r="C320" i="8"/>
  <c r="D319" i="8"/>
  <c r="B319" i="8"/>
  <c r="I320" i="8"/>
  <c r="H320" i="8" s="1"/>
  <c r="J319" i="8"/>
  <c r="K317" i="8"/>
  <c r="E318" i="8" l="1"/>
  <c r="D320" i="8"/>
  <c r="B320" i="8"/>
  <c r="C321" i="8"/>
  <c r="I321" i="8"/>
  <c r="H321" i="8" s="1"/>
  <c r="J320" i="8"/>
  <c r="K318" i="8"/>
  <c r="E319" i="8" l="1"/>
  <c r="B321" i="8"/>
  <c r="C322" i="8"/>
  <c r="D321" i="8"/>
  <c r="I322" i="8"/>
  <c r="H322" i="8" s="1"/>
  <c r="J321" i="8"/>
  <c r="K320" i="8" s="1"/>
  <c r="K319" i="8"/>
  <c r="E320" i="8" l="1"/>
  <c r="B322" i="8"/>
  <c r="C323" i="8"/>
  <c r="D322" i="8"/>
  <c r="I323" i="8"/>
  <c r="H323" i="8" s="1"/>
  <c r="J322" i="8"/>
  <c r="E321" i="8" l="1"/>
  <c r="C324" i="8"/>
  <c r="B323" i="8"/>
  <c r="D323" i="8"/>
  <c r="I324" i="8"/>
  <c r="H324" i="8" s="1"/>
  <c r="J323" i="8"/>
  <c r="K321" i="8"/>
  <c r="E322" i="8" l="1"/>
  <c r="C325" i="8"/>
  <c r="B324" i="8"/>
  <c r="D324" i="8"/>
  <c r="I325" i="8"/>
  <c r="H325" i="8" s="1"/>
  <c r="J324" i="8"/>
  <c r="K322" i="8"/>
  <c r="E323" i="8" l="1"/>
  <c r="B325" i="8"/>
  <c r="C326" i="8"/>
  <c r="D325" i="8"/>
  <c r="I326" i="8"/>
  <c r="H326" i="8" s="1"/>
  <c r="J325" i="8"/>
  <c r="K324" i="8" s="1"/>
  <c r="K323" i="8"/>
  <c r="B326" i="8" l="1"/>
  <c r="D326" i="8"/>
  <c r="C327" i="8"/>
  <c r="E324" i="8"/>
  <c r="I327" i="8"/>
  <c r="H327" i="8" s="1"/>
  <c r="J326" i="8"/>
  <c r="E325" i="8" l="1"/>
  <c r="K325" i="8"/>
  <c r="C328" i="8"/>
  <c r="D327" i="8"/>
  <c r="B327" i="8"/>
  <c r="I328" i="8"/>
  <c r="H328" i="8" s="1"/>
  <c r="J327" i="8"/>
  <c r="K326" i="8" s="1"/>
  <c r="B328" i="8" l="1"/>
  <c r="D328" i="8"/>
  <c r="C329" i="8"/>
  <c r="E326" i="8"/>
  <c r="I329" i="8"/>
  <c r="H329" i="8" s="1"/>
  <c r="J328" i="8"/>
  <c r="D329" i="8" l="1"/>
  <c r="C330" i="8"/>
  <c r="B329" i="8"/>
  <c r="E327" i="8"/>
  <c r="I330" i="8"/>
  <c r="H330" i="8" s="1"/>
  <c r="J329" i="8"/>
  <c r="K327" i="8"/>
  <c r="B330" i="8" l="1"/>
  <c r="D330" i="8"/>
  <c r="C331" i="8"/>
  <c r="E328" i="8"/>
  <c r="I331" i="8"/>
  <c r="H331" i="8" s="1"/>
  <c r="J330" i="8"/>
  <c r="K329" i="8" s="1"/>
  <c r="K328" i="8"/>
  <c r="B331" i="8" l="1"/>
  <c r="C332" i="8"/>
  <c r="D331" i="8"/>
  <c r="E329" i="8"/>
  <c r="I332" i="8"/>
  <c r="H332" i="8" s="1"/>
  <c r="J331" i="8"/>
  <c r="E330" i="8" l="1"/>
  <c r="D332" i="8"/>
  <c r="B332" i="8"/>
  <c r="C333" i="8"/>
  <c r="I333" i="8"/>
  <c r="H333" i="8" s="1"/>
  <c r="J332" i="8"/>
  <c r="K330" i="8"/>
  <c r="E331" i="8" l="1"/>
  <c r="B333" i="8"/>
  <c r="C334" i="8"/>
  <c r="D333" i="8"/>
  <c r="E332" i="8" s="1"/>
  <c r="I334" i="8"/>
  <c r="H334" i="8" s="1"/>
  <c r="J333" i="8"/>
  <c r="K332" i="8" s="1"/>
  <c r="K331" i="8"/>
  <c r="D334" i="8" l="1"/>
  <c r="B334" i="8"/>
  <c r="C335" i="8"/>
  <c r="I335" i="8"/>
  <c r="H335" i="8" s="1"/>
  <c r="J334" i="8"/>
  <c r="K333" i="8" s="1"/>
  <c r="B335" i="8" l="1"/>
  <c r="C336" i="8"/>
  <c r="D335" i="8"/>
  <c r="E333" i="8"/>
  <c r="I336" i="8"/>
  <c r="H336" i="8" s="1"/>
  <c r="J335" i="8"/>
  <c r="E334" i="8" l="1"/>
  <c r="C337" i="8"/>
  <c r="B336" i="8"/>
  <c r="D336" i="8"/>
  <c r="I337" i="8"/>
  <c r="H337" i="8" s="1"/>
  <c r="J336" i="8"/>
  <c r="K334" i="8"/>
  <c r="E335" i="8" l="1"/>
  <c r="C338" i="8"/>
  <c r="D337" i="8"/>
  <c r="B337" i="8"/>
  <c r="I338" i="8"/>
  <c r="H338" i="8" s="1"/>
  <c r="J337" i="8"/>
  <c r="K335" i="8"/>
  <c r="E336" i="8" l="1"/>
  <c r="C339" i="8"/>
  <c r="D338" i="8"/>
  <c r="B338" i="8"/>
  <c r="K336" i="8"/>
  <c r="I339" i="8"/>
  <c r="H339" i="8" s="1"/>
  <c r="J338" i="8"/>
  <c r="E337" i="8" l="1"/>
  <c r="B339" i="8"/>
  <c r="C340" i="8"/>
  <c r="D339" i="8"/>
  <c r="I340" i="8"/>
  <c r="H340" i="8" s="1"/>
  <c r="J339" i="8"/>
  <c r="K337" i="8"/>
  <c r="E338" i="8" l="1"/>
  <c r="K338" i="8"/>
  <c r="B340" i="8"/>
  <c r="D340" i="8"/>
  <c r="C341" i="8"/>
  <c r="I341" i="8"/>
  <c r="H341" i="8" s="1"/>
  <c r="J340" i="8"/>
  <c r="E339" i="8" l="1"/>
  <c r="C342" i="8"/>
  <c r="D341" i="8"/>
  <c r="B341" i="8"/>
  <c r="I342" i="8"/>
  <c r="H342" i="8" s="1"/>
  <c r="J341" i="8"/>
  <c r="K339" i="8"/>
  <c r="K340" i="8" l="1"/>
  <c r="E340" i="8"/>
  <c r="C343" i="8"/>
  <c r="D342" i="8"/>
  <c r="B342" i="8"/>
  <c r="I343" i="8"/>
  <c r="H343" i="8" s="1"/>
  <c r="J342" i="8"/>
  <c r="E341" i="8" l="1"/>
  <c r="B343" i="8"/>
  <c r="C344" i="8"/>
  <c r="D343" i="8"/>
  <c r="I344" i="8"/>
  <c r="H344" i="8" s="1"/>
  <c r="J343" i="8"/>
  <c r="K341" i="8"/>
  <c r="C345" i="8" l="1"/>
  <c r="B344" i="8"/>
  <c r="D344" i="8"/>
  <c r="E342" i="8"/>
  <c r="I345" i="8"/>
  <c r="H345" i="8" s="1"/>
  <c r="J344" i="8"/>
  <c r="K343" i="8" s="1"/>
  <c r="K342" i="8"/>
  <c r="E343" i="8" l="1"/>
  <c r="C346" i="8"/>
  <c r="B345" i="8"/>
  <c r="D345" i="8"/>
  <c r="I346" i="8"/>
  <c r="H346" i="8" s="1"/>
  <c r="J345" i="8"/>
  <c r="E344" i="8" l="1"/>
  <c r="D346" i="8"/>
  <c r="C347" i="8"/>
  <c r="B346" i="8"/>
  <c r="I347" i="8"/>
  <c r="H347" i="8" s="1"/>
  <c r="J346" i="8"/>
  <c r="K345" i="8" s="1"/>
  <c r="K344" i="8"/>
  <c r="E345" i="8" l="1"/>
  <c r="B347" i="8"/>
  <c r="D347" i="8"/>
  <c r="C348" i="8"/>
  <c r="I348" i="8"/>
  <c r="H348" i="8" s="1"/>
  <c r="J347" i="8"/>
  <c r="B348" i="8" l="1"/>
  <c r="C349" i="8"/>
  <c r="D348" i="8"/>
  <c r="E346" i="8"/>
  <c r="I349" i="8"/>
  <c r="H349" i="8" s="1"/>
  <c r="J348" i="8"/>
  <c r="K346" i="8"/>
  <c r="E347" i="8" l="1"/>
  <c r="D349" i="8"/>
  <c r="B349" i="8"/>
  <c r="C350" i="8"/>
  <c r="K347" i="8"/>
  <c r="I350" i="8"/>
  <c r="H350" i="8" s="1"/>
  <c r="J349" i="8"/>
  <c r="K348" i="8" s="1"/>
  <c r="C351" i="8" l="1"/>
  <c r="D350" i="8"/>
  <c r="B350" i="8"/>
  <c r="E348" i="8"/>
  <c r="I351" i="8"/>
  <c r="H351" i="8" s="1"/>
  <c r="J350" i="8"/>
  <c r="E349" i="8" l="1"/>
  <c r="B351" i="8"/>
  <c r="D351" i="8"/>
  <c r="C352" i="8"/>
  <c r="I352" i="8"/>
  <c r="H352" i="8" s="1"/>
  <c r="J351" i="8"/>
  <c r="K349" i="8"/>
  <c r="E350" i="8" l="1"/>
  <c r="D352" i="8"/>
  <c r="C353" i="8"/>
  <c r="B352" i="8"/>
  <c r="K350" i="8"/>
  <c r="I353" i="8"/>
  <c r="H353" i="8" s="1"/>
  <c r="J352" i="8"/>
  <c r="C354" i="8" l="1"/>
  <c r="D353" i="8"/>
  <c r="B353" i="8"/>
  <c r="E351" i="8"/>
  <c r="I354" i="8"/>
  <c r="H354" i="8" s="1"/>
  <c r="J353" i="8"/>
  <c r="K351" i="8"/>
  <c r="E352" i="8" l="1"/>
  <c r="B354" i="8"/>
  <c r="D354" i="8"/>
  <c r="C355" i="8"/>
  <c r="I355" i="8"/>
  <c r="H355" i="8" s="1"/>
  <c r="J354" i="8"/>
  <c r="K352" i="8"/>
  <c r="E353" i="8" l="1"/>
  <c r="B355" i="8"/>
  <c r="C356" i="8"/>
  <c r="D355" i="8"/>
  <c r="I356" i="8"/>
  <c r="H356" i="8" s="1"/>
  <c r="J355" i="8"/>
  <c r="K353" i="8"/>
  <c r="D356" i="8" l="1"/>
  <c r="B356" i="8"/>
  <c r="C357" i="8"/>
  <c r="K354" i="8"/>
  <c r="E354" i="8"/>
  <c r="I357" i="8"/>
  <c r="H357" i="8" s="1"/>
  <c r="J356" i="8"/>
  <c r="C358" i="8" l="1"/>
  <c r="D357" i="8"/>
  <c r="B357" i="8"/>
  <c r="K355" i="8"/>
  <c r="E355" i="8"/>
  <c r="I358" i="8"/>
  <c r="H358" i="8" s="1"/>
  <c r="J357" i="8"/>
  <c r="E356" i="8" l="1"/>
  <c r="B358" i="8"/>
  <c r="D358" i="8"/>
  <c r="C359" i="8"/>
  <c r="I359" i="8"/>
  <c r="H359" i="8" s="1"/>
  <c r="J358" i="8"/>
  <c r="K356" i="8"/>
  <c r="C360" i="8" l="1"/>
  <c r="B359" i="8"/>
  <c r="D359" i="8"/>
  <c r="E357" i="8"/>
  <c r="I360" i="8"/>
  <c r="H360" i="8" s="1"/>
  <c r="J359" i="8"/>
  <c r="K357" i="8"/>
  <c r="E358" i="8" l="1"/>
  <c r="B360" i="8"/>
  <c r="C361" i="8"/>
  <c r="D360" i="8"/>
  <c r="I361" i="8"/>
  <c r="H361" i="8" s="1"/>
  <c r="J360" i="8"/>
  <c r="K358" i="8"/>
  <c r="D361" i="8" l="1"/>
  <c r="C362" i="8"/>
  <c r="B361" i="8"/>
  <c r="E359" i="8"/>
  <c r="I362" i="8"/>
  <c r="H362" i="8" s="1"/>
  <c r="J361" i="8"/>
  <c r="K360" i="8" s="1"/>
  <c r="K359" i="8"/>
  <c r="E360" i="8" l="1"/>
  <c r="B362" i="8"/>
  <c r="C363" i="8"/>
  <c r="D362" i="8"/>
  <c r="I363" i="8"/>
  <c r="H363" i="8" s="1"/>
  <c r="J362" i="8"/>
  <c r="C364" i="8" l="1"/>
  <c r="D363" i="8"/>
  <c r="B363" i="8"/>
  <c r="E361" i="8"/>
  <c r="I364" i="8"/>
  <c r="H364" i="8" s="1"/>
  <c r="J363" i="8"/>
  <c r="K361" i="8"/>
  <c r="E362" i="8" l="1"/>
  <c r="D364" i="8"/>
  <c r="B364" i="8"/>
  <c r="C365" i="8"/>
  <c r="K362" i="8"/>
  <c r="I365" i="8"/>
  <c r="H365" i="8" s="1"/>
  <c r="J364" i="8"/>
  <c r="B365" i="8" l="1"/>
  <c r="D365" i="8"/>
  <c r="C366" i="8"/>
  <c r="E363" i="8"/>
  <c r="I366" i="8"/>
  <c r="H366" i="8" s="1"/>
  <c r="J365" i="8"/>
  <c r="K363" i="8"/>
  <c r="C367" i="8" l="1"/>
  <c r="D366" i="8"/>
  <c r="B366" i="8"/>
  <c r="K364" i="8"/>
  <c r="E364" i="8"/>
  <c r="I367" i="8"/>
  <c r="H367" i="8" s="1"/>
  <c r="J366" i="8"/>
  <c r="E365" i="8" l="1"/>
  <c r="C368" i="8"/>
  <c r="D367" i="8"/>
  <c r="B367" i="8"/>
  <c r="I368" i="8"/>
  <c r="H368" i="8" s="1"/>
  <c r="J367" i="8"/>
  <c r="K365" i="8"/>
  <c r="E366" i="8" l="1"/>
  <c r="B368" i="8"/>
  <c r="C369" i="8"/>
  <c r="D368" i="8"/>
  <c r="E367" i="8" s="1"/>
  <c r="I369" i="8"/>
  <c r="H369" i="8" s="1"/>
  <c r="J368" i="8"/>
  <c r="K367" i="8" s="1"/>
  <c r="K366" i="8"/>
  <c r="D369" i="8" l="1"/>
  <c r="C370" i="8"/>
  <c r="B369" i="8"/>
  <c r="I370" i="8"/>
  <c r="H370" i="8" s="1"/>
  <c r="J369" i="8"/>
  <c r="D370" i="8" l="1"/>
  <c r="C371" i="8"/>
  <c r="B370" i="8"/>
  <c r="E368" i="8"/>
  <c r="I371" i="8"/>
  <c r="H371" i="8" s="1"/>
  <c r="J370" i="8"/>
  <c r="K368" i="8"/>
  <c r="K369" i="8" l="1"/>
  <c r="E369" i="8"/>
  <c r="D371" i="8"/>
  <c r="C372" i="8"/>
  <c r="B371" i="8"/>
  <c r="I372" i="8"/>
  <c r="H372" i="8" s="1"/>
  <c r="J371" i="8"/>
  <c r="E370" i="8" l="1"/>
  <c r="B372" i="8"/>
  <c r="C373" i="8"/>
  <c r="D372" i="8"/>
  <c r="I373" i="8"/>
  <c r="H373" i="8" s="1"/>
  <c r="J372" i="8"/>
  <c r="K371" i="8" s="1"/>
  <c r="K370" i="8"/>
  <c r="E371" i="8" l="1"/>
  <c r="C374" i="8"/>
  <c r="D373" i="8"/>
  <c r="B373" i="8"/>
  <c r="I374" i="8"/>
  <c r="H374" i="8" s="1"/>
  <c r="J373" i="8"/>
  <c r="E372" i="8" l="1"/>
  <c r="C375" i="8"/>
  <c r="D374" i="8"/>
  <c r="B374" i="8"/>
  <c r="I375" i="8"/>
  <c r="H375" i="8" s="1"/>
  <c r="J374" i="8"/>
  <c r="K372" i="8"/>
  <c r="E373" i="8" l="1"/>
  <c r="C376" i="8"/>
  <c r="B375" i="8"/>
  <c r="D375" i="8"/>
  <c r="E374" i="8" s="1"/>
  <c r="I376" i="8"/>
  <c r="H376" i="8" s="1"/>
  <c r="J375" i="8"/>
  <c r="K373" i="8"/>
  <c r="B376" i="8" l="1"/>
  <c r="D376" i="8"/>
  <c r="C377" i="8"/>
  <c r="I377" i="8"/>
  <c r="H377" i="8" s="1"/>
  <c r="J376" i="8"/>
  <c r="K374" i="8"/>
  <c r="B377" i="8" l="1"/>
  <c r="C378" i="8"/>
  <c r="D377" i="8"/>
  <c r="E375" i="8"/>
  <c r="I378" i="8"/>
  <c r="H378" i="8" s="1"/>
  <c r="J377" i="8"/>
  <c r="K376" i="8" s="1"/>
  <c r="K375" i="8"/>
  <c r="E376" i="8" l="1"/>
  <c r="B378" i="8"/>
  <c r="D378" i="8"/>
  <c r="C379" i="8"/>
  <c r="I379" i="8"/>
  <c r="H379" i="8" s="1"/>
  <c r="J378" i="8"/>
  <c r="B379" i="8" l="1"/>
  <c r="C380" i="8"/>
  <c r="D379" i="8"/>
  <c r="E377" i="8"/>
  <c r="I380" i="8"/>
  <c r="H380" i="8" s="1"/>
  <c r="J379" i="8"/>
  <c r="K377" i="8"/>
  <c r="B380" i="8" l="1"/>
  <c r="C381" i="8"/>
  <c r="D380" i="8"/>
  <c r="E378" i="8"/>
  <c r="I381" i="8"/>
  <c r="H381" i="8" s="1"/>
  <c r="J380" i="8"/>
  <c r="K378" i="8"/>
  <c r="E379" i="8" l="1"/>
  <c r="K379" i="8"/>
  <c r="B381" i="8"/>
  <c r="C382" i="8"/>
  <c r="D381" i="8"/>
  <c r="E380" i="8" s="1"/>
  <c r="I382" i="8"/>
  <c r="H382" i="8" s="1"/>
  <c r="J381" i="8"/>
  <c r="K380" i="8" l="1"/>
  <c r="B382" i="8"/>
  <c r="D382" i="8"/>
  <c r="C383" i="8"/>
  <c r="I383" i="8"/>
  <c r="H383" i="8" s="1"/>
  <c r="J382" i="8"/>
  <c r="E381" i="8" l="1"/>
  <c r="B383" i="8"/>
  <c r="C384" i="8"/>
  <c r="D383" i="8"/>
  <c r="I384" i="8"/>
  <c r="H384" i="8" s="1"/>
  <c r="J383" i="8"/>
  <c r="K381" i="8"/>
  <c r="E382" i="8" l="1"/>
  <c r="B384" i="8"/>
  <c r="C385" i="8"/>
  <c r="D384" i="8"/>
  <c r="K382" i="8"/>
  <c r="I385" i="8"/>
  <c r="H385" i="8" s="1"/>
  <c r="J384" i="8"/>
  <c r="E383" i="8" l="1"/>
  <c r="B385" i="8"/>
  <c r="D385" i="8"/>
  <c r="C386" i="8"/>
  <c r="I386" i="8"/>
  <c r="H386" i="8" s="1"/>
  <c r="J385" i="8"/>
  <c r="K384" i="8" s="1"/>
  <c r="K383" i="8"/>
  <c r="E384" i="8" l="1"/>
  <c r="D386" i="8"/>
  <c r="B386" i="8"/>
  <c r="C387" i="8"/>
  <c r="I387" i="8"/>
  <c r="H387" i="8" s="1"/>
  <c r="J386" i="8"/>
  <c r="K385" i="8" l="1"/>
  <c r="B387" i="8"/>
  <c r="C388" i="8"/>
  <c r="D387" i="8"/>
  <c r="E385" i="8"/>
  <c r="I388" i="8"/>
  <c r="H388" i="8" s="1"/>
  <c r="J387" i="8"/>
  <c r="E386" i="8" l="1"/>
  <c r="B388" i="8"/>
  <c r="C389" i="8"/>
  <c r="D388" i="8"/>
  <c r="K386" i="8"/>
  <c r="I389" i="8"/>
  <c r="H389" i="8" s="1"/>
  <c r="J388" i="8"/>
  <c r="C390" i="8" l="1"/>
  <c r="D389" i="8"/>
  <c r="B389" i="8"/>
  <c r="E387" i="8"/>
  <c r="I390" i="8"/>
  <c r="H390" i="8" s="1"/>
  <c r="J389" i="8"/>
  <c r="K387" i="8"/>
  <c r="K388" i="8" l="1"/>
  <c r="E388" i="8"/>
  <c r="B390" i="8"/>
  <c r="C391" i="8"/>
  <c r="D390" i="8"/>
  <c r="I391" i="8"/>
  <c r="H391" i="8" s="1"/>
  <c r="J390" i="8"/>
  <c r="K389" i="8" s="1"/>
  <c r="B391" i="8" l="1"/>
  <c r="C392" i="8"/>
  <c r="D391" i="8"/>
  <c r="E389" i="8"/>
  <c r="I392" i="8"/>
  <c r="H392" i="8" s="1"/>
  <c r="J391" i="8"/>
  <c r="B392" i="8" l="1"/>
  <c r="C393" i="8"/>
  <c r="D392" i="8"/>
  <c r="E390" i="8"/>
  <c r="K390" i="8"/>
  <c r="I393" i="8"/>
  <c r="H393" i="8" s="1"/>
  <c r="J392" i="8"/>
  <c r="C394" i="8" l="1"/>
  <c r="D393" i="8"/>
  <c r="B393" i="8"/>
  <c r="E391" i="8"/>
  <c r="I394" i="8"/>
  <c r="H394" i="8" s="1"/>
  <c r="J393" i="8"/>
  <c r="K391" i="8"/>
  <c r="D394" i="8" l="1"/>
  <c r="B394" i="8"/>
  <c r="C395" i="8"/>
  <c r="E392" i="8"/>
  <c r="K392" i="8"/>
  <c r="I395" i="8"/>
  <c r="H395" i="8" s="1"/>
  <c r="J394" i="8"/>
  <c r="E393" i="8" l="1"/>
  <c r="B395" i="8"/>
  <c r="C396" i="8"/>
  <c r="D395" i="8"/>
  <c r="E394" i="8" s="1"/>
  <c r="K393" i="8"/>
  <c r="I396" i="8"/>
  <c r="H396" i="8" s="1"/>
  <c r="J395" i="8"/>
  <c r="K394" i="8" s="1"/>
  <c r="B396" i="8" l="1"/>
  <c r="C397" i="8"/>
  <c r="D396" i="8"/>
  <c r="I397" i="8"/>
  <c r="H397" i="8" s="1"/>
  <c r="J396" i="8"/>
  <c r="E395" i="8" l="1"/>
  <c r="B397" i="8"/>
  <c r="C398" i="8"/>
  <c r="D397" i="8"/>
  <c r="I398" i="8"/>
  <c r="H398" i="8" s="1"/>
  <c r="J397" i="8"/>
  <c r="K395" i="8"/>
  <c r="K396" i="8" l="1"/>
  <c r="B398" i="8"/>
  <c r="D398" i="8"/>
  <c r="C399" i="8"/>
  <c r="E396" i="8"/>
  <c r="I399" i="8"/>
  <c r="H399" i="8" s="1"/>
  <c r="J398" i="8"/>
  <c r="K397" i="8" s="1"/>
  <c r="E397" i="8" l="1"/>
  <c r="B399" i="8"/>
  <c r="C400" i="8"/>
  <c r="D399" i="8"/>
  <c r="E398" i="8" s="1"/>
  <c r="I400" i="8"/>
  <c r="H400" i="8" s="1"/>
  <c r="J399" i="8"/>
  <c r="B400" i="8" l="1"/>
  <c r="C401" i="8"/>
  <c r="D400" i="8"/>
  <c r="I401" i="8"/>
  <c r="H401" i="8" s="1"/>
  <c r="J400" i="8"/>
  <c r="K399" i="8" s="1"/>
  <c r="K398" i="8"/>
  <c r="E399" i="8" l="1"/>
  <c r="D401" i="8"/>
  <c r="C402" i="8"/>
  <c r="B401" i="8"/>
  <c r="I402" i="8"/>
  <c r="H402" i="8" s="1"/>
  <c r="J401" i="8"/>
  <c r="K400" i="8" l="1"/>
  <c r="E400" i="8"/>
  <c r="C403" i="8"/>
  <c r="D402" i="8"/>
  <c r="B402" i="8"/>
  <c r="I403" i="8"/>
  <c r="H403" i="8" s="1"/>
  <c r="J402" i="8"/>
  <c r="E401" i="8" l="1"/>
  <c r="K401" i="8"/>
  <c r="C404" i="8"/>
  <c r="D403" i="8"/>
  <c r="B403" i="8"/>
  <c r="I404" i="8"/>
  <c r="H404" i="8" s="1"/>
  <c r="J403" i="8"/>
  <c r="K402" i="8" s="1"/>
  <c r="E402" i="8" l="1"/>
  <c r="B404" i="8"/>
  <c r="C405" i="8"/>
  <c r="D404" i="8"/>
  <c r="I405" i="8"/>
  <c r="H405" i="8" s="1"/>
  <c r="J404" i="8"/>
  <c r="C406" i="8" l="1"/>
  <c r="D405" i="8"/>
  <c r="B405" i="8"/>
  <c r="E403" i="8"/>
  <c r="I406" i="8"/>
  <c r="H406" i="8" s="1"/>
  <c r="J405" i="8"/>
  <c r="K403" i="8"/>
  <c r="E404" i="8" l="1"/>
  <c r="B406" i="8"/>
  <c r="D406" i="8"/>
  <c r="C407" i="8"/>
  <c r="I407" i="8"/>
  <c r="H407" i="8" s="1"/>
  <c r="J406" i="8"/>
  <c r="K405" i="8" s="1"/>
  <c r="K404" i="8"/>
  <c r="E405" i="8" l="1"/>
  <c r="C408" i="8"/>
  <c r="D407" i="8"/>
  <c r="B407" i="8"/>
  <c r="I408" i="8"/>
  <c r="H408" i="8" s="1"/>
  <c r="J407" i="8"/>
  <c r="E406" i="8" l="1"/>
  <c r="C409" i="8"/>
  <c r="B408" i="8"/>
  <c r="D408" i="8"/>
  <c r="K406" i="8"/>
  <c r="I409" i="8"/>
  <c r="H409" i="8" s="1"/>
  <c r="J408" i="8"/>
  <c r="E407" i="8" l="1"/>
  <c r="B409" i="8"/>
  <c r="D409" i="8"/>
  <c r="C410" i="8"/>
  <c r="I410" i="8"/>
  <c r="H410" i="8" s="1"/>
  <c r="J409" i="8"/>
  <c r="K408" i="8" s="1"/>
  <c r="K407" i="8"/>
  <c r="E408" i="8" l="1"/>
  <c r="D410" i="8"/>
  <c r="C411" i="8"/>
  <c r="B410" i="8"/>
  <c r="I411" i="8"/>
  <c r="H411" i="8" s="1"/>
  <c r="J410" i="8"/>
  <c r="K409" i="8" l="1"/>
  <c r="C412" i="8"/>
  <c r="D411" i="8"/>
  <c r="B411" i="8"/>
  <c r="E409" i="8"/>
  <c r="I412" i="8"/>
  <c r="H412" i="8" s="1"/>
  <c r="J411" i="8"/>
  <c r="E410" i="8" l="1"/>
  <c r="K410" i="8"/>
  <c r="B412" i="8"/>
  <c r="C413" i="8"/>
  <c r="D412" i="8"/>
  <c r="I413" i="8"/>
  <c r="H413" i="8" s="1"/>
  <c r="J412" i="8"/>
  <c r="K411" i="8" s="1"/>
  <c r="D413" i="8" l="1"/>
  <c r="B413" i="8"/>
  <c r="C414" i="8"/>
  <c r="E411" i="8"/>
  <c r="I414" i="8"/>
  <c r="H414" i="8" s="1"/>
  <c r="J413" i="8"/>
  <c r="B414" i="8" l="1"/>
  <c r="D414" i="8"/>
  <c r="C415" i="8"/>
  <c r="E412" i="8"/>
  <c r="K412" i="8"/>
  <c r="I415" i="8"/>
  <c r="H415" i="8" s="1"/>
  <c r="J414" i="8"/>
  <c r="E413" i="8" l="1"/>
  <c r="B415" i="8"/>
  <c r="C416" i="8"/>
  <c r="D415" i="8"/>
  <c r="I416" i="8"/>
  <c r="H416" i="8" s="1"/>
  <c r="J415" i="8"/>
  <c r="K414" i="8" s="1"/>
  <c r="K413" i="8"/>
  <c r="E414" i="8" l="1"/>
  <c r="D416" i="8"/>
  <c r="B416" i="8"/>
  <c r="C417" i="8"/>
  <c r="I417" i="8"/>
  <c r="H417" i="8" s="1"/>
  <c r="J416" i="8"/>
  <c r="K415" i="8" s="1"/>
  <c r="E415" i="8" l="1"/>
  <c r="B417" i="8"/>
  <c r="C418" i="8"/>
  <c r="D417" i="8"/>
  <c r="I418" i="8"/>
  <c r="H418" i="8" s="1"/>
  <c r="J417" i="8"/>
  <c r="E416" i="8" l="1"/>
  <c r="C419" i="8"/>
  <c r="D418" i="8"/>
  <c r="B418" i="8"/>
  <c r="I419" i="8"/>
  <c r="H419" i="8" s="1"/>
  <c r="J418" i="8"/>
  <c r="K416" i="8"/>
  <c r="D419" i="8" l="1"/>
  <c r="B419" i="8"/>
  <c r="C420" i="8"/>
  <c r="E417" i="8"/>
  <c r="I420" i="8"/>
  <c r="H420" i="8" s="1"/>
  <c r="J419" i="8"/>
  <c r="K417" i="8"/>
  <c r="E418" i="8" l="1"/>
  <c r="C421" i="8"/>
  <c r="B420" i="8"/>
  <c r="D420" i="8"/>
  <c r="I421" i="8"/>
  <c r="H421" i="8" s="1"/>
  <c r="J420" i="8"/>
  <c r="K418" i="8"/>
  <c r="E419" i="8" l="1"/>
  <c r="D421" i="8"/>
  <c r="C422" i="8"/>
  <c r="B421" i="8"/>
  <c r="I422" i="8"/>
  <c r="H422" i="8" s="1"/>
  <c r="J421" i="8"/>
  <c r="K419" i="8"/>
  <c r="E420" i="8" l="1"/>
  <c r="B422" i="8"/>
  <c r="C423" i="8"/>
  <c r="D422" i="8"/>
  <c r="I423" i="8"/>
  <c r="H423" i="8" s="1"/>
  <c r="J422" i="8"/>
  <c r="K421" i="8" s="1"/>
  <c r="K420" i="8"/>
  <c r="E421" i="8" l="1"/>
  <c r="C424" i="8"/>
  <c r="D423" i="8"/>
  <c r="B423" i="8"/>
  <c r="I424" i="8"/>
  <c r="H424" i="8" s="1"/>
  <c r="J423" i="8"/>
  <c r="E422" i="8" l="1"/>
  <c r="D424" i="8"/>
  <c r="B424" i="8"/>
  <c r="C425" i="8"/>
  <c r="I425" i="8"/>
  <c r="H425" i="8" s="1"/>
  <c r="J424" i="8"/>
  <c r="K422" i="8"/>
  <c r="E423" i="8" l="1"/>
  <c r="B425" i="8"/>
  <c r="C426" i="8"/>
  <c r="D425" i="8"/>
  <c r="K423" i="8"/>
  <c r="I426" i="8"/>
  <c r="H426" i="8" s="1"/>
  <c r="J425" i="8"/>
  <c r="E424" i="8" l="1"/>
  <c r="B426" i="8"/>
  <c r="C427" i="8"/>
  <c r="D426" i="8"/>
  <c r="E425" i="8" s="1"/>
  <c r="K424" i="8"/>
  <c r="I427" i="8"/>
  <c r="H427" i="8" s="1"/>
  <c r="J426" i="8"/>
  <c r="B427" i="8" l="1"/>
  <c r="D427" i="8"/>
  <c r="C428" i="8"/>
  <c r="I428" i="8"/>
  <c r="H428" i="8" s="1"/>
  <c r="J427" i="8"/>
  <c r="K425" i="8"/>
  <c r="K426" i="8" l="1"/>
  <c r="C429" i="8"/>
  <c r="D428" i="8"/>
  <c r="B428" i="8"/>
  <c r="E426" i="8"/>
  <c r="I429" i="8"/>
  <c r="H429" i="8" s="1"/>
  <c r="J428" i="8"/>
  <c r="K427" i="8" s="1"/>
  <c r="E427" i="8" l="1"/>
  <c r="B429" i="8"/>
  <c r="C430" i="8"/>
  <c r="D429" i="8"/>
  <c r="I430" i="8"/>
  <c r="H430" i="8" s="1"/>
  <c r="J429" i="8"/>
  <c r="E428" i="8" l="1"/>
  <c r="D430" i="8"/>
  <c r="C431" i="8"/>
  <c r="B430" i="8"/>
  <c r="K428" i="8"/>
  <c r="I431" i="8"/>
  <c r="H431" i="8" s="1"/>
  <c r="J430" i="8"/>
  <c r="K429" i="8" s="1"/>
  <c r="E429" i="8" l="1"/>
  <c r="B431" i="8"/>
  <c r="C432" i="8"/>
  <c r="D431" i="8"/>
  <c r="I432" i="8"/>
  <c r="H432" i="8" s="1"/>
  <c r="J431" i="8"/>
  <c r="K430" i="8" l="1"/>
  <c r="B432" i="8"/>
  <c r="C433" i="8"/>
  <c r="D432" i="8"/>
  <c r="E430" i="8"/>
  <c r="I433" i="8"/>
  <c r="H433" i="8" s="1"/>
  <c r="J432" i="8"/>
  <c r="K431" i="8" s="1"/>
  <c r="C434" i="8" l="1"/>
  <c r="D433" i="8"/>
  <c r="B433" i="8"/>
  <c r="E431" i="8"/>
  <c r="I434" i="8"/>
  <c r="H434" i="8" s="1"/>
  <c r="J433" i="8"/>
  <c r="K432" i="8" s="1"/>
  <c r="E432" i="8" l="1"/>
  <c r="D434" i="8"/>
  <c r="C435" i="8"/>
  <c r="B434" i="8"/>
  <c r="I435" i="8"/>
  <c r="H435" i="8" s="1"/>
  <c r="J434" i="8"/>
  <c r="D435" i="8" l="1"/>
  <c r="B435" i="8"/>
  <c r="C436" i="8"/>
  <c r="K433" i="8"/>
  <c r="E433" i="8"/>
  <c r="I436" i="8"/>
  <c r="H436" i="8" s="1"/>
  <c r="J435" i="8"/>
  <c r="E434" i="8" l="1"/>
  <c r="B436" i="8"/>
  <c r="D436" i="8"/>
  <c r="C437" i="8"/>
  <c r="I437" i="8"/>
  <c r="H437" i="8" s="1"/>
  <c r="J436" i="8"/>
  <c r="K434" i="8"/>
  <c r="E435" i="8" l="1"/>
  <c r="B437" i="8"/>
  <c r="C438" i="8"/>
  <c r="D437" i="8"/>
  <c r="I438" i="8"/>
  <c r="H438" i="8" s="1"/>
  <c r="J437" i="8"/>
  <c r="K435" i="8"/>
  <c r="E436" i="8" l="1"/>
  <c r="C439" i="8"/>
  <c r="D438" i="8"/>
  <c r="B438" i="8"/>
  <c r="I439" i="8"/>
  <c r="H439" i="8" s="1"/>
  <c r="J438" i="8"/>
  <c r="K436" i="8"/>
  <c r="D439" i="8" l="1"/>
  <c r="B439" i="8"/>
  <c r="C440" i="8"/>
  <c r="E437" i="8"/>
  <c r="I440" i="8"/>
  <c r="H440" i="8" s="1"/>
  <c r="J439" i="8"/>
  <c r="K438" i="8" s="1"/>
  <c r="K437" i="8"/>
  <c r="E438" i="8" l="1"/>
  <c r="B440" i="8"/>
  <c r="C441" i="8"/>
  <c r="D440" i="8"/>
  <c r="E439" i="8" s="1"/>
  <c r="I441" i="8"/>
  <c r="H441" i="8" s="1"/>
  <c r="J440" i="8"/>
  <c r="D441" i="8" l="1"/>
  <c r="B441" i="8"/>
  <c r="C442" i="8"/>
  <c r="K439" i="8"/>
  <c r="I442" i="8"/>
  <c r="H442" i="8" s="1"/>
  <c r="J441" i="8"/>
  <c r="K440" i="8" s="1"/>
  <c r="B442" i="8" l="1"/>
  <c r="C443" i="8"/>
  <c r="D442" i="8"/>
  <c r="E440" i="8"/>
  <c r="I443" i="8"/>
  <c r="H443" i="8" s="1"/>
  <c r="J442" i="8"/>
  <c r="K441" i="8" s="1"/>
  <c r="B443" i="8" l="1"/>
  <c r="C444" i="8"/>
  <c r="D443" i="8"/>
  <c r="E441" i="8"/>
  <c r="I444" i="8"/>
  <c r="H444" i="8" s="1"/>
  <c r="J443" i="8"/>
  <c r="E442" i="8" l="1"/>
  <c r="C445" i="8"/>
  <c r="B444" i="8"/>
  <c r="D444" i="8"/>
  <c r="K442" i="8"/>
  <c r="I445" i="8"/>
  <c r="H445" i="8" s="1"/>
  <c r="J444" i="8"/>
  <c r="E443" i="8" l="1"/>
  <c r="C446" i="8"/>
  <c r="B445" i="8"/>
  <c r="D445" i="8"/>
  <c r="E444" i="8" s="1"/>
  <c r="K443" i="8"/>
  <c r="I446" i="8"/>
  <c r="H446" i="8" s="1"/>
  <c r="J445" i="8"/>
  <c r="D446" i="8" l="1"/>
  <c r="C447" i="8"/>
  <c r="B446" i="8"/>
  <c r="I447" i="8"/>
  <c r="H447" i="8" s="1"/>
  <c r="J446" i="8"/>
  <c r="K444" i="8"/>
  <c r="E445" i="8" l="1"/>
  <c r="B447" i="8"/>
  <c r="C448" i="8"/>
  <c r="D447" i="8"/>
  <c r="K445" i="8"/>
  <c r="I448" i="8"/>
  <c r="H448" i="8" s="1"/>
  <c r="J447" i="8"/>
  <c r="E446" i="8" l="1"/>
  <c r="D448" i="8"/>
  <c r="B448" i="8"/>
  <c r="C449" i="8"/>
  <c r="I449" i="8"/>
  <c r="H449" i="8" s="1"/>
  <c r="J448" i="8"/>
  <c r="K447" i="8" s="1"/>
  <c r="K446" i="8"/>
  <c r="E447" i="8" l="1"/>
  <c r="B449" i="8"/>
  <c r="D449" i="8"/>
  <c r="C450" i="8"/>
  <c r="I450" i="8"/>
  <c r="H450" i="8" s="1"/>
  <c r="J449" i="8"/>
  <c r="C451" i="8" l="1"/>
  <c r="B450" i="8"/>
  <c r="D450" i="8"/>
  <c r="E448" i="8"/>
  <c r="I451" i="8"/>
  <c r="H451" i="8" s="1"/>
  <c r="J450" i="8"/>
  <c r="K448" i="8"/>
  <c r="E449" i="8" l="1"/>
  <c r="B451" i="8"/>
  <c r="C452" i="8"/>
  <c r="D451" i="8"/>
  <c r="K449" i="8"/>
  <c r="I452" i="8"/>
  <c r="H452" i="8" s="1"/>
  <c r="J451" i="8"/>
  <c r="E450" i="8" l="1"/>
  <c r="B452" i="8"/>
  <c r="C453" i="8"/>
  <c r="D452" i="8"/>
  <c r="K450" i="8"/>
  <c r="I453" i="8"/>
  <c r="H453" i="8" s="1"/>
  <c r="J452" i="8"/>
  <c r="K451" i="8" s="1"/>
  <c r="B453" i="8" l="1"/>
  <c r="C454" i="8"/>
  <c r="D453" i="8"/>
  <c r="E451" i="8"/>
  <c r="I454" i="8"/>
  <c r="H454" i="8" s="1"/>
  <c r="J453" i="8"/>
  <c r="K452" i="8" s="1"/>
  <c r="E452" i="8" l="1"/>
  <c r="B454" i="8"/>
  <c r="C455" i="8"/>
  <c r="D454" i="8"/>
  <c r="I455" i="8"/>
  <c r="H455" i="8" s="1"/>
  <c r="J454" i="8"/>
  <c r="K453" i="8" s="1"/>
  <c r="E453" i="8" l="1"/>
  <c r="C456" i="8"/>
  <c r="D455" i="8"/>
  <c r="B455" i="8"/>
  <c r="I456" i="8"/>
  <c r="H456" i="8" s="1"/>
  <c r="J455" i="8"/>
  <c r="B456" i="8" l="1"/>
  <c r="C457" i="8"/>
  <c r="D456" i="8"/>
  <c r="E454" i="8"/>
  <c r="K454" i="8"/>
  <c r="I457" i="8"/>
  <c r="H457" i="8" s="1"/>
  <c r="J456" i="8"/>
  <c r="D457" i="8" l="1"/>
  <c r="B457" i="8"/>
  <c r="C458" i="8"/>
  <c r="E455" i="8"/>
  <c r="I458" i="8"/>
  <c r="H458" i="8" s="1"/>
  <c r="J457" i="8"/>
  <c r="K456" i="8" s="1"/>
  <c r="K455" i="8"/>
  <c r="E456" i="8" l="1"/>
  <c r="B458" i="8"/>
  <c r="D458" i="8"/>
  <c r="C459" i="8"/>
  <c r="I459" i="8"/>
  <c r="H459" i="8" s="1"/>
  <c r="J458" i="8"/>
  <c r="C460" i="8" l="1"/>
  <c r="B459" i="8"/>
  <c r="D459" i="8"/>
  <c r="E457" i="8"/>
  <c r="I460" i="8"/>
  <c r="H460" i="8" s="1"/>
  <c r="J459" i="8"/>
  <c r="K457" i="8"/>
  <c r="E458" i="8" l="1"/>
  <c r="D460" i="8"/>
  <c r="C461" i="8"/>
  <c r="B460" i="8"/>
  <c r="K458" i="8"/>
  <c r="I461" i="8"/>
  <c r="H461" i="8" s="1"/>
  <c r="J460" i="8"/>
  <c r="E459" i="8" l="1"/>
  <c r="K459" i="8"/>
  <c r="B461" i="8"/>
  <c r="C462" i="8"/>
  <c r="D461" i="8"/>
  <c r="I462" i="8"/>
  <c r="H462" i="8" s="1"/>
  <c r="J461" i="8"/>
  <c r="B462" i="8" l="1"/>
  <c r="C463" i="8"/>
  <c r="D462" i="8"/>
  <c r="E460" i="8"/>
  <c r="K460" i="8"/>
  <c r="I463" i="8"/>
  <c r="H463" i="8" s="1"/>
  <c r="J462" i="8"/>
  <c r="E461" i="8" l="1"/>
  <c r="B463" i="8"/>
  <c r="C464" i="8"/>
  <c r="D463" i="8"/>
  <c r="I464" i="8"/>
  <c r="H464" i="8" s="1"/>
  <c r="J463" i="8"/>
  <c r="K461" i="8"/>
  <c r="B464" i="8" l="1"/>
  <c r="C465" i="8"/>
  <c r="D464" i="8"/>
  <c r="E462" i="8"/>
  <c r="I465" i="8"/>
  <c r="H465" i="8" s="1"/>
  <c r="J464" i="8"/>
  <c r="K462" i="8"/>
  <c r="D465" i="8" l="1"/>
  <c r="C466" i="8"/>
  <c r="B465" i="8"/>
  <c r="E463" i="8"/>
  <c r="K463" i="8"/>
  <c r="I466" i="8"/>
  <c r="H466" i="8" s="1"/>
  <c r="J465" i="8"/>
  <c r="E464" i="8" l="1"/>
  <c r="B466" i="8"/>
  <c r="D466" i="8"/>
  <c r="C467" i="8"/>
  <c r="I467" i="8"/>
  <c r="H467" i="8" s="1"/>
  <c r="J466" i="8"/>
  <c r="K464" i="8"/>
  <c r="B467" i="8" l="1"/>
  <c r="D467" i="8"/>
  <c r="C468" i="8"/>
  <c r="E465" i="8"/>
  <c r="I468" i="8"/>
  <c r="H468" i="8" s="1"/>
  <c r="J467" i="8"/>
  <c r="K465" i="8"/>
  <c r="E466" i="8" l="1"/>
  <c r="B468" i="8"/>
  <c r="C469" i="8"/>
  <c r="D468" i="8"/>
  <c r="K466" i="8"/>
  <c r="I469" i="8"/>
  <c r="H469" i="8" s="1"/>
  <c r="J468" i="8"/>
  <c r="E467" i="8" l="1"/>
  <c r="D469" i="8"/>
  <c r="B469" i="8"/>
  <c r="C470" i="8"/>
  <c r="I470" i="8"/>
  <c r="H470" i="8" s="1"/>
  <c r="J469" i="8"/>
  <c r="K467" i="8"/>
  <c r="K468" i="8" l="1"/>
  <c r="E468" i="8"/>
  <c r="D470" i="8"/>
  <c r="B470" i="8"/>
  <c r="C471" i="8"/>
  <c r="I471" i="8"/>
  <c r="H471" i="8" s="1"/>
  <c r="J470" i="8"/>
  <c r="C472" i="8" l="1"/>
  <c r="B471" i="8"/>
  <c r="D471" i="8"/>
  <c r="E469" i="8"/>
  <c r="K469" i="8"/>
  <c r="I472" i="8"/>
  <c r="H472" i="8" s="1"/>
  <c r="J471" i="8"/>
  <c r="E470" i="8" l="1"/>
  <c r="B472" i="8"/>
  <c r="C473" i="8"/>
  <c r="D472" i="8"/>
  <c r="I473" i="8"/>
  <c r="H473" i="8" s="1"/>
  <c r="J472" i="8"/>
  <c r="K470" i="8"/>
  <c r="K471" i="8" l="1"/>
  <c r="E471" i="8"/>
  <c r="B473" i="8"/>
  <c r="D473" i="8"/>
  <c r="C474" i="8"/>
  <c r="I474" i="8"/>
  <c r="H474" i="8" s="1"/>
  <c r="J473" i="8"/>
  <c r="B474" i="8" l="1"/>
  <c r="C475" i="8"/>
  <c r="D474" i="8"/>
  <c r="E472" i="8"/>
  <c r="K472" i="8"/>
  <c r="I475" i="8"/>
  <c r="H475" i="8" s="1"/>
  <c r="J474" i="8"/>
  <c r="E473" i="8" l="1"/>
  <c r="C476" i="8"/>
  <c r="B475" i="8"/>
  <c r="D475" i="8"/>
  <c r="I476" i="8"/>
  <c r="H476" i="8" s="1"/>
  <c r="J475" i="8"/>
  <c r="K473" i="8"/>
  <c r="K474" i="8" l="1"/>
  <c r="D476" i="8"/>
  <c r="C477" i="8"/>
  <c r="B476" i="8"/>
  <c r="E474" i="8"/>
  <c r="I477" i="8"/>
  <c r="H477" i="8" s="1"/>
  <c r="J476" i="8"/>
  <c r="K475" i="8" s="1"/>
  <c r="B477" i="8" l="1"/>
  <c r="D477" i="8"/>
  <c r="C478" i="8"/>
  <c r="E475" i="8"/>
  <c r="I478" i="8"/>
  <c r="H478" i="8" s="1"/>
  <c r="J477" i="8"/>
  <c r="K476" i="8" l="1"/>
  <c r="C479" i="8"/>
  <c r="D478" i="8"/>
  <c r="B478" i="8"/>
  <c r="E476" i="8"/>
  <c r="I479" i="8"/>
  <c r="H479" i="8" s="1"/>
  <c r="J478" i="8"/>
  <c r="K477" i="8" s="1"/>
  <c r="E477" i="8" l="1"/>
  <c r="D479" i="8"/>
  <c r="B479" i="8"/>
  <c r="C480" i="8"/>
  <c r="I480" i="8"/>
  <c r="H480" i="8" s="1"/>
  <c r="J479" i="8"/>
  <c r="K478" i="8" s="1"/>
  <c r="C481" i="8" l="1"/>
  <c r="D480" i="8"/>
  <c r="B480" i="8"/>
  <c r="E478" i="8"/>
  <c r="I481" i="8"/>
  <c r="H481" i="8" s="1"/>
  <c r="J480" i="8"/>
  <c r="E479" i="8" l="1"/>
  <c r="B481" i="8"/>
  <c r="D481" i="8"/>
  <c r="C482" i="8"/>
  <c r="K479" i="8"/>
  <c r="I482" i="8"/>
  <c r="H482" i="8" s="1"/>
  <c r="J481" i="8"/>
  <c r="C483" i="8" l="1"/>
  <c r="D482" i="8"/>
  <c r="B482" i="8"/>
  <c r="E480" i="8"/>
  <c r="K480" i="8"/>
  <c r="I483" i="8"/>
  <c r="H483" i="8" s="1"/>
  <c r="J482" i="8"/>
  <c r="E481" i="8" l="1"/>
  <c r="B483" i="8"/>
  <c r="C484" i="8"/>
  <c r="D483" i="8"/>
  <c r="I484" i="8"/>
  <c r="H484" i="8" s="1"/>
  <c r="J483" i="8"/>
  <c r="K481" i="8"/>
  <c r="C485" i="8" l="1"/>
  <c r="D484" i="8"/>
  <c r="B484" i="8"/>
  <c r="E482" i="8"/>
  <c r="K482" i="8"/>
  <c r="I485" i="8"/>
  <c r="H485" i="8" s="1"/>
  <c r="J484" i="8"/>
  <c r="E483" i="8" l="1"/>
  <c r="C486" i="8"/>
  <c r="D485" i="8"/>
  <c r="B485" i="8"/>
  <c r="I486" i="8"/>
  <c r="H486" i="8" s="1"/>
  <c r="J485" i="8"/>
  <c r="K483" i="8"/>
  <c r="E484" i="8" l="1"/>
  <c r="D486" i="8"/>
  <c r="B486" i="8"/>
  <c r="C487" i="8"/>
  <c r="I487" i="8"/>
  <c r="H487" i="8" s="1"/>
  <c r="J486" i="8"/>
  <c r="K484" i="8"/>
  <c r="K485" i="8" l="1"/>
  <c r="E485" i="8"/>
  <c r="D487" i="8"/>
  <c r="C488" i="8"/>
  <c r="B487" i="8"/>
  <c r="I488" i="8"/>
  <c r="H488" i="8" s="1"/>
  <c r="J487" i="8"/>
  <c r="D488" i="8" l="1"/>
  <c r="C489" i="8"/>
  <c r="B488" i="8"/>
  <c r="E486" i="8"/>
  <c r="I489" i="8"/>
  <c r="H489" i="8" s="1"/>
  <c r="J488" i="8"/>
  <c r="K486" i="8"/>
  <c r="E487" i="8" l="1"/>
  <c r="C490" i="8"/>
  <c r="D489" i="8"/>
  <c r="B489" i="8"/>
  <c r="I490" i="8"/>
  <c r="H490" i="8" s="1"/>
  <c r="J489" i="8"/>
  <c r="K487" i="8"/>
  <c r="E488" i="8" l="1"/>
  <c r="K488" i="8"/>
  <c r="C491" i="8"/>
  <c r="D490" i="8"/>
  <c r="B490" i="8"/>
  <c r="I491" i="8"/>
  <c r="H491" i="8" s="1"/>
  <c r="J490" i="8"/>
  <c r="D491" i="8" l="1"/>
  <c r="C492" i="8"/>
  <c r="B491" i="8"/>
  <c r="E489" i="8"/>
  <c r="I492" i="8"/>
  <c r="H492" i="8" s="1"/>
  <c r="J491" i="8"/>
  <c r="K489" i="8"/>
  <c r="B492" i="8" l="1"/>
  <c r="C493" i="8"/>
  <c r="D492" i="8"/>
  <c r="E490" i="8"/>
  <c r="I493" i="8"/>
  <c r="H493" i="8" s="1"/>
  <c r="J492" i="8"/>
  <c r="K491" i="8" s="1"/>
  <c r="K490" i="8"/>
  <c r="E491" i="8" l="1"/>
  <c r="C494" i="8"/>
  <c r="B493" i="8"/>
  <c r="D493" i="8"/>
  <c r="I494" i="8"/>
  <c r="H494" i="8" s="1"/>
  <c r="J493" i="8"/>
  <c r="E492" i="8" l="1"/>
  <c r="B494" i="8"/>
  <c r="C495" i="8"/>
  <c r="D494" i="8"/>
  <c r="I495" i="8"/>
  <c r="H495" i="8" s="1"/>
  <c r="J494" i="8"/>
  <c r="K492" i="8"/>
  <c r="K493" i="8" l="1"/>
  <c r="B495" i="8"/>
  <c r="D495" i="8"/>
  <c r="C496" i="8"/>
  <c r="E493" i="8"/>
  <c r="I496" i="8"/>
  <c r="H496" i="8" s="1"/>
  <c r="J495" i="8"/>
  <c r="B496" i="8" l="1"/>
  <c r="C497" i="8"/>
  <c r="D496" i="8"/>
  <c r="E494" i="8"/>
  <c r="K494" i="8"/>
  <c r="I497" i="8"/>
  <c r="H497" i="8" s="1"/>
  <c r="J496" i="8"/>
  <c r="E495" i="8" l="1"/>
  <c r="B497" i="8"/>
  <c r="C498" i="8"/>
  <c r="D497" i="8"/>
  <c r="I498" i="8"/>
  <c r="H498" i="8" s="1"/>
  <c r="J497" i="8"/>
  <c r="K496" i="8" s="1"/>
  <c r="K495" i="8"/>
  <c r="E496" i="8" l="1"/>
  <c r="B498" i="8"/>
  <c r="D498" i="8"/>
  <c r="C499" i="8"/>
  <c r="I499" i="8"/>
  <c r="H499" i="8" s="1"/>
  <c r="J498" i="8"/>
  <c r="E497" i="8" l="1"/>
  <c r="B499" i="8"/>
  <c r="C500" i="8"/>
  <c r="D499" i="8"/>
  <c r="K497" i="8"/>
  <c r="I500" i="8"/>
  <c r="H500" i="8" s="1"/>
  <c r="J499" i="8"/>
  <c r="E498" i="8" l="1"/>
  <c r="C501" i="8"/>
  <c r="B500" i="8"/>
  <c r="D500" i="8"/>
  <c r="I501" i="8"/>
  <c r="H501" i="8" s="1"/>
  <c r="J500" i="8"/>
  <c r="K498" i="8"/>
  <c r="E499" i="8" l="1"/>
  <c r="C502" i="8"/>
  <c r="B501" i="8"/>
  <c r="D501" i="8"/>
  <c r="I502" i="8"/>
  <c r="H502" i="8" s="1"/>
  <c r="J501" i="8"/>
  <c r="K500" i="8" s="1"/>
  <c r="K499" i="8"/>
  <c r="E500" i="8" l="1"/>
  <c r="C503" i="8"/>
  <c r="B502" i="8"/>
  <c r="D502" i="8"/>
  <c r="I503" i="8"/>
  <c r="H503" i="8" s="1"/>
  <c r="J502" i="8"/>
  <c r="E501" i="8" l="1"/>
  <c r="C504" i="8"/>
  <c r="D503" i="8"/>
  <c r="B503" i="8"/>
  <c r="I504" i="8"/>
  <c r="H504" i="8" s="1"/>
  <c r="J503" i="8"/>
  <c r="K501" i="8"/>
  <c r="E502" i="8" l="1"/>
  <c r="B504" i="8"/>
  <c r="D504" i="8"/>
  <c r="C505" i="8"/>
  <c r="I505" i="8"/>
  <c r="H505" i="8" s="1"/>
  <c r="J504" i="8"/>
  <c r="K502" i="8"/>
  <c r="E503" i="8" l="1"/>
  <c r="C506" i="8"/>
  <c r="B505" i="8"/>
  <c r="D505" i="8"/>
  <c r="K503" i="8"/>
  <c r="I506" i="8"/>
  <c r="H506" i="8" s="1"/>
  <c r="J505" i="8"/>
  <c r="E504" i="8" l="1"/>
  <c r="D506" i="8"/>
  <c r="B506" i="8"/>
  <c r="C507" i="8"/>
  <c r="K504" i="8"/>
  <c r="I507" i="8"/>
  <c r="H507" i="8" s="1"/>
  <c r="J506" i="8"/>
  <c r="K505" i="8" s="1"/>
  <c r="C508" i="8" l="1"/>
  <c r="D507" i="8"/>
  <c r="B507" i="8"/>
  <c r="E505" i="8"/>
  <c r="I508" i="8"/>
  <c r="H508" i="8" s="1"/>
  <c r="J507" i="8"/>
  <c r="B508" i="8" l="1"/>
  <c r="C509" i="8"/>
  <c r="D508" i="8"/>
  <c r="E506" i="8"/>
  <c r="I509" i="8"/>
  <c r="H509" i="8" s="1"/>
  <c r="J508" i="8"/>
  <c r="K506" i="8"/>
  <c r="C510" i="8" l="1"/>
  <c r="B509" i="8"/>
  <c r="D509" i="8"/>
  <c r="E507" i="8"/>
  <c r="I510" i="8"/>
  <c r="H510" i="8" s="1"/>
  <c r="J509" i="8"/>
  <c r="K508" i="8" s="1"/>
  <c r="K507" i="8"/>
  <c r="E508" i="8" l="1"/>
  <c r="B510" i="8"/>
  <c r="C511" i="8"/>
  <c r="D510" i="8"/>
  <c r="I511" i="8"/>
  <c r="H511" i="8" s="1"/>
  <c r="J510" i="8"/>
  <c r="K509" i="8" s="1"/>
  <c r="B511" i="8" l="1"/>
  <c r="C512" i="8"/>
  <c r="D511" i="8"/>
  <c r="E509" i="8"/>
  <c r="I512" i="8"/>
  <c r="H512" i="8" s="1"/>
  <c r="J511" i="8"/>
  <c r="B512" i="8" l="1"/>
  <c r="C513" i="8"/>
  <c r="D512" i="8"/>
  <c r="E510" i="8"/>
  <c r="I513" i="8"/>
  <c r="H513" i="8" s="1"/>
  <c r="J512" i="8"/>
  <c r="K510" i="8"/>
  <c r="E511" i="8" l="1"/>
  <c r="D513" i="8"/>
  <c r="C514" i="8"/>
  <c r="B513" i="8"/>
  <c r="K511" i="8"/>
  <c r="I514" i="8"/>
  <c r="H514" i="8" s="1"/>
  <c r="J513" i="8"/>
  <c r="D514" i="8" l="1"/>
  <c r="C515" i="8"/>
  <c r="B514" i="8"/>
  <c r="E512" i="8"/>
  <c r="I515" i="8"/>
  <c r="H515" i="8" s="1"/>
  <c r="J514" i="8"/>
  <c r="K512" i="8"/>
  <c r="E513" i="8" l="1"/>
  <c r="K513" i="8"/>
  <c r="C516" i="8"/>
  <c r="B515" i="8"/>
  <c r="D515" i="8"/>
  <c r="I516" i="8"/>
  <c r="H516" i="8" s="1"/>
  <c r="J515" i="8"/>
  <c r="K514" i="8" s="1"/>
  <c r="E514" i="8" l="1"/>
  <c r="B516" i="8"/>
  <c r="D516" i="8"/>
  <c r="C517" i="8"/>
  <c r="I517" i="8"/>
  <c r="H517" i="8" s="1"/>
  <c r="J516" i="8"/>
  <c r="E515" i="8" l="1"/>
  <c r="B517" i="8"/>
  <c r="D517" i="8"/>
  <c r="C518" i="8"/>
  <c r="I518" i="8"/>
  <c r="H518" i="8" s="1"/>
  <c r="J517" i="8"/>
  <c r="K515" i="8"/>
  <c r="E516" i="8" l="1"/>
  <c r="C519" i="8"/>
  <c r="B518" i="8"/>
  <c r="D518" i="8"/>
  <c r="I519" i="8"/>
  <c r="H519" i="8" s="1"/>
  <c r="J518" i="8"/>
  <c r="K516" i="8"/>
  <c r="E517" i="8" l="1"/>
  <c r="C520" i="8"/>
  <c r="B519" i="8"/>
  <c r="D519" i="8"/>
  <c r="I520" i="8"/>
  <c r="H520" i="8" s="1"/>
  <c r="J519" i="8"/>
  <c r="K517" i="8"/>
  <c r="K518" i="8" l="1"/>
  <c r="E518" i="8"/>
  <c r="B520" i="8"/>
  <c r="D520" i="8"/>
  <c r="C521" i="8"/>
  <c r="I521" i="8"/>
  <c r="H521" i="8" s="1"/>
  <c r="J520" i="8"/>
  <c r="E519" i="8" l="1"/>
  <c r="K519" i="8"/>
  <c r="C522" i="8"/>
  <c r="B521" i="8"/>
  <c r="D521" i="8"/>
  <c r="I522" i="8"/>
  <c r="H522" i="8" s="1"/>
  <c r="J521" i="8"/>
  <c r="E520" i="8" l="1"/>
  <c r="B522" i="8"/>
  <c r="C523" i="8"/>
  <c r="D522" i="8"/>
  <c r="I523" i="8"/>
  <c r="H523" i="8" s="1"/>
  <c r="J522" i="8"/>
  <c r="K520" i="8"/>
  <c r="K521" i="8" l="1"/>
  <c r="E521" i="8"/>
  <c r="D523" i="8"/>
  <c r="B523" i="8"/>
  <c r="C524" i="8"/>
  <c r="I524" i="8"/>
  <c r="H524" i="8" s="1"/>
  <c r="J523" i="8"/>
  <c r="K522" i="8" l="1"/>
  <c r="B524" i="8"/>
  <c r="C525" i="8"/>
  <c r="D524" i="8"/>
  <c r="E522" i="8"/>
  <c r="I525" i="8"/>
  <c r="H525" i="8" s="1"/>
  <c r="J524" i="8"/>
  <c r="E523" i="8" l="1"/>
  <c r="K523" i="8"/>
  <c r="C526" i="8"/>
  <c r="D525" i="8"/>
  <c r="B525" i="8"/>
  <c r="I526" i="8"/>
  <c r="H526" i="8" s="1"/>
  <c r="J525" i="8"/>
  <c r="E524" i="8" l="1"/>
  <c r="B526" i="8"/>
  <c r="C527" i="8"/>
  <c r="D526" i="8"/>
  <c r="K524" i="8"/>
  <c r="I527" i="8"/>
  <c r="H527" i="8" s="1"/>
  <c r="J526" i="8"/>
  <c r="B527" i="8" l="1"/>
  <c r="C528" i="8"/>
  <c r="D527" i="8"/>
  <c r="E525" i="8"/>
  <c r="K525" i="8"/>
  <c r="I528" i="8"/>
  <c r="H528" i="8" s="1"/>
  <c r="J527" i="8"/>
  <c r="K526" i="8" l="1"/>
  <c r="E526" i="8"/>
  <c r="D528" i="8"/>
  <c r="B528" i="8"/>
  <c r="C529" i="8"/>
  <c r="I529" i="8"/>
  <c r="H529" i="8" s="1"/>
  <c r="J528" i="8"/>
  <c r="D529" i="8" l="1"/>
  <c r="B529" i="8"/>
  <c r="C530" i="8"/>
  <c r="E527" i="8"/>
  <c r="K527" i="8"/>
  <c r="I530" i="8"/>
  <c r="H530" i="8" s="1"/>
  <c r="J529" i="8"/>
  <c r="E528" i="8" l="1"/>
  <c r="D530" i="8"/>
  <c r="B530" i="8"/>
  <c r="C531" i="8"/>
  <c r="K528" i="8"/>
  <c r="I531" i="8"/>
  <c r="H531" i="8" s="1"/>
  <c r="J530" i="8"/>
  <c r="K529" i="8" s="1"/>
  <c r="C532" i="8" l="1"/>
  <c r="B531" i="8"/>
  <c r="D531" i="8"/>
  <c r="E529" i="8"/>
  <c r="I532" i="8"/>
  <c r="H532" i="8" s="1"/>
  <c r="J531" i="8"/>
  <c r="E530" i="8" l="1"/>
  <c r="K530" i="8"/>
  <c r="D532" i="8"/>
  <c r="B532" i="8"/>
  <c r="C533" i="8"/>
  <c r="I533" i="8"/>
  <c r="H533" i="8" s="1"/>
  <c r="J532" i="8"/>
  <c r="K531" i="8" l="1"/>
  <c r="E531" i="8"/>
  <c r="C534" i="8"/>
  <c r="B533" i="8"/>
  <c r="D533" i="8"/>
  <c r="I534" i="8"/>
  <c r="H534" i="8" s="1"/>
  <c r="J533" i="8"/>
  <c r="E532" i="8" l="1"/>
  <c r="B534" i="8"/>
  <c r="D534" i="8"/>
  <c r="C535" i="8"/>
  <c r="I535" i="8"/>
  <c r="H535" i="8" s="1"/>
  <c r="J534" i="8"/>
  <c r="K532" i="8"/>
  <c r="D535" i="8" l="1"/>
  <c r="C536" i="8"/>
  <c r="B535" i="8"/>
  <c r="E533" i="8"/>
  <c r="I536" i="8"/>
  <c r="H536" i="8" s="1"/>
  <c r="J535" i="8"/>
  <c r="K534" i="8" s="1"/>
  <c r="K533" i="8"/>
  <c r="E534" i="8" l="1"/>
  <c r="B536" i="8"/>
  <c r="D536" i="8"/>
  <c r="C537" i="8"/>
  <c r="I537" i="8"/>
  <c r="H537" i="8" s="1"/>
  <c r="J536" i="8"/>
  <c r="E535" i="8" l="1"/>
  <c r="C538" i="8"/>
  <c r="D537" i="8"/>
  <c r="B537" i="8"/>
  <c r="I538" i="8"/>
  <c r="H538" i="8" s="1"/>
  <c r="J537" i="8"/>
  <c r="K535" i="8"/>
  <c r="E536" i="8" l="1"/>
  <c r="D538" i="8"/>
  <c r="B538" i="8"/>
  <c r="C539" i="8"/>
  <c r="I539" i="8"/>
  <c r="H539" i="8" s="1"/>
  <c r="J538" i="8"/>
  <c r="K536" i="8"/>
  <c r="B539" i="8" l="1"/>
  <c r="C540" i="8"/>
  <c r="D539" i="8"/>
  <c r="K537" i="8"/>
  <c r="E537" i="8"/>
  <c r="I540" i="8"/>
  <c r="H540" i="8" s="1"/>
  <c r="J539" i="8"/>
  <c r="B540" i="8" l="1"/>
  <c r="D540" i="8"/>
  <c r="C541" i="8"/>
  <c r="E538" i="8"/>
  <c r="I541" i="8"/>
  <c r="H541" i="8" s="1"/>
  <c r="J540" i="8"/>
  <c r="K539" i="8" s="1"/>
  <c r="K538" i="8"/>
  <c r="B541" i="8" l="1"/>
  <c r="C542" i="8"/>
  <c r="D541" i="8"/>
  <c r="E539" i="8"/>
  <c r="I542" i="8"/>
  <c r="H542" i="8" s="1"/>
  <c r="J541" i="8"/>
  <c r="D542" i="8" l="1"/>
  <c r="B542" i="8"/>
  <c r="C543" i="8"/>
  <c r="E540" i="8"/>
  <c r="K540" i="8"/>
  <c r="I543" i="8"/>
  <c r="H543" i="8" s="1"/>
  <c r="J542" i="8"/>
  <c r="E541" i="8" l="1"/>
  <c r="B543" i="8"/>
  <c r="D543" i="8"/>
  <c r="C544" i="8"/>
  <c r="I544" i="8"/>
  <c r="H544" i="8" s="1"/>
  <c r="J543" i="8"/>
  <c r="K541" i="8"/>
  <c r="E542" i="8" l="1"/>
  <c r="D544" i="8"/>
  <c r="C545" i="8"/>
  <c r="B544" i="8"/>
  <c r="I545" i="8"/>
  <c r="H545" i="8" s="1"/>
  <c r="J544" i="8"/>
  <c r="K542" i="8"/>
  <c r="E543" i="8" l="1"/>
  <c r="B545" i="8"/>
  <c r="D545" i="8"/>
  <c r="C546" i="8"/>
  <c r="I546" i="8"/>
  <c r="H546" i="8" s="1"/>
  <c r="J545" i="8"/>
  <c r="K543" i="8"/>
  <c r="K544" i="8" l="1"/>
  <c r="B546" i="8"/>
  <c r="D546" i="8"/>
  <c r="C547" i="8"/>
  <c r="E544" i="8"/>
  <c r="I547" i="8"/>
  <c r="H547" i="8" s="1"/>
  <c r="J546" i="8"/>
  <c r="E545" i="8" l="1"/>
  <c r="B547" i="8"/>
  <c r="C548" i="8"/>
  <c r="D547" i="8"/>
  <c r="K545" i="8"/>
  <c r="I548" i="8"/>
  <c r="H548" i="8" s="1"/>
  <c r="J547" i="8"/>
  <c r="E546" i="8" l="1"/>
  <c r="B548" i="8"/>
  <c r="C549" i="8"/>
  <c r="D548" i="8"/>
  <c r="K546" i="8"/>
  <c r="I549" i="8"/>
  <c r="H549" i="8" s="1"/>
  <c r="J548" i="8"/>
  <c r="E547" i="8" l="1"/>
  <c r="K547" i="8"/>
  <c r="C550" i="8"/>
  <c r="B549" i="8"/>
  <c r="D549" i="8"/>
  <c r="E548" i="8" s="1"/>
  <c r="I550" i="8"/>
  <c r="H550" i="8" s="1"/>
  <c r="J549" i="8"/>
  <c r="B550" i="8" l="1"/>
  <c r="D550" i="8"/>
  <c r="C551" i="8"/>
  <c r="I551" i="8"/>
  <c r="H551" i="8" s="1"/>
  <c r="J550" i="8"/>
  <c r="K548" i="8"/>
  <c r="K549" i="8" l="1"/>
  <c r="B551" i="8"/>
  <c r="C552" i="8"/>
  <c r="D551" i="8"/>
  <c r="E549" i="8"/>
  <c r="I552" i="8"/>
  <c r="H552" i="8" s="1"/>
  <c r="J551" i="8"/>
  <c r="K550" i="8" l="1"/>
  <c r="E550" i="8"/>
  <c r="B552" i="8"/>
  <c r="D552" i="8"/>
  <c r="C553" i="8"/>
  <c r="I553" i="8"/>
  <c r="H553" i="8" s="1"/>
  <c r="J552" i="8"/>
  <c r="E551" i="8" l="1"/>
  <c r="K551" i="8"/>
  <c r="C554" i="8"/>
  <c r="D553" i="8"/>
  <c r="B553" i="8"/>
  <c r="I554" i="8"/>
  <c r="H554" i="8" s="1"/>
  <c r="J553" i="8"/>
  <c r="D554" i="8" l="1"/>
  <c r="C555" i="8"/>
  <c r="B554" i="8"/>
  <c r="E552" i="8"/>
  <c r="I555" i="8"/>
  <c r="H555" i="8" s="1"/>
  <c r="J554" i="8"/>
  <c r="K552" i="8"/>
  <c r="E553" i="8" l="1"/>
  <c r="C556" i="8"/>
  <c r="B555" i="8"/>
  <c r="D555" i="8"/>
  <c r="I556" i="8"/>
  <c r="H556" i="8" s="1"/>
  <c r="J555" i="8"/>
  <c r="K553" i="8"/>
  <c r="E554" i="8" l="1"/>
  <c r="B556" i="8"/>
  <c r="C557" i="8"/>
  <c r="D556" i="8"/>
  <c r="I557" i="8"/>
  <c r="H557" i="8" s="1"/>
  <c r="J556" i="8"/>
  <c r="K554" i="8"/>
  <c r="K555" i="8" l="1"/>
  <c r="B557" i="8"/>
  <c r="C558" i="8"/>
  <c r="D557" i="8"/>
  <c r="E555" i="8"/>
  <c r="I558" i="8"/>
  <c r="H558" i="8" s="1"/>
  <c r="J557" i="8"/>
  <c r="E556" i="8" l="1"/>
  <c r="D558" i="8"/>
  <c r="B558" i="8"/>
  <c r="C559" i="8"/>
  <c r="I559" i="8"/>
  <c r="H559" i="8" s="1"/>
  <c r="J558" i="8"/>
  <c r="K556" i="8"/>
  <c r="E557" i="8" l="1"/>
  <c r="C560" i="8"/>
  <c r="D559" i="8"/>
  <c r="B559" i="8"/>
  <c r="K557" i="8"/>
  <c r="I560" i="8"/>
  <c r="H560" i="8" s="1"/>
  <c r="J559" i="8"/>
  <c r="E558" i="8" l="1"/>
  <c r="D560" i="8"/>
  <c r="C561" i="8"/>
  <c r="B560" i="8"/>
  <c r="I561" i="8"/>
  <c r="H561" i="8" s="1"/>
  <c r="J560" i="8"/>
  <c r="K558" i="8"/>
  <c r="E559" i="8" l="1"/>
  <c r="C562" i="8"/>
  <c r="B561" i="8"/>
  <c r="D561" i="8"/>
  <c r="K559" i="8"/>
  <c r="I562" i="8"/>
  <c r="H562" i="8" s="1"/>
  <c r="J561" i="8"/>
  <c r="K560" i="8" s="1"/>
  <c r="E560" i="8" l="1"/>
  <c r="C563" i="8"/>
  <c r="D562" i="8"/>
  <c r="B562" i="8"/>
  <c r="I563" i="8"/>
  <c r="H563" i="8" s="1"/>
  <c r="J562" i="8"/>
  <c r="E561" i="8" l="1"/>
  <c r="B563" i="8"/>
  <c r="D563" i="8"/>
  <c r="C564" i="8"/>
  <c r="I564" i="8"/>
  <c r="H564" i="8" s="1"/>
  <c r="J563" i="8"/>
  <c r="K562" i="8" s="1"/>
  <c r="K561" i="8"/>
  <c r="E562" i="8" l="1"/>
  <c r="B564" i="8"/>
  <c r="C565" i="8"/>
  <c r="D564" i="8"/>
  <c r="I565" i="8"/>
  <c r="H565" i="8" s="1"/>
  <c r="J564" i="8"/>
  <c r="K563" i="8" s="1"/>
  <c r="D565" i="8" l="1"/>
  <c r="C566" i="8"/>
  <c r="B565" i="8"/>
  <c r="E563" i="8"/>
  <c r="I566" i="8"/>
  <c r="H566" i="8" s="1"/>
  <c r="J565" i="8"/>
  <c r="E564" i="8" l="1"/>
  <c r="D566" i="8"/>
  <c r="B566" i="8"/>
  <c r="C567" i="8"/>
  <c r="I567" i="8"/>
  <c r="H567" i="8" s="1"/>
  <c r="J566" i="8"/>
  <c r="K564" i="8"/>
  <c r="C568" i="8" l="1"/>
  <c r="D567" i="8"/>
  <c r="B567" i="8"/>
  <c r="E565" i="8"/>
  <c r="I568" i="8"/>
  <c r="H568" i="8" s="1"/>
  <c r="J567" i="8"/>
  <c r="K565" i="8"/>
  <c r="K566" i="8" l="1"/>
  <c r="E566" i="8"/>
  <c r="D568" i="8"/>
  <c r="C569" i="8"/>
  <c r="B568" i="8"/>
  <c r="I569" i="8"/>
  <c r="H569" i="8" s="1"/>
  <c r="J568" i="8"/>
  <c r="B569" i="8" l="1"/>
  <c r="D569" i="8"/>
  <c r="C570" i="8"/>
  <c r="E567" i="8"/>
  <c r="K567" i="8"/>
  <c r="I570" i="8"/>
  <c r="H570" i="8" s="1"/>
  <c r="J569" i="8"/>
  <c r="E568" i="8" l="1"/>
  <c r="B570" i="8"/>
  <c r="C571" i="8"/>
  <c r="D570" i="8"/>
  <c r="E569" i="8" s="1"/>
  <c r="K568" i="8"/>
  <c r="I571" i="8"/>
  <c r="H571" i="8" s="1"/>
  <c r="J570" i="8"/>
  <c r="B571" i="8" l="1"/>
  <c r="D571" i="8"/>
  <c r="C572" i="8"/>
  <c r="K569" i="8"/>
  <c r="I572" i="8"/>
  <c r="H572" i="8" s="1"/>
  <c r="J571" i="8"/>
  <c r="B572" i="8" l="1"/>
  <c r="D572" i="8"/>
  <c r="C573" i="8"/>
  <c r="K570" i="8"/>
  <c r="E570" i="8"/>
  <c r="I573" i="8"/>
  <c r="H573" i="8" s="1"/>
  <c r="J572" i="8"/>
  <c r="E571" i="8" l="1"/>
  <c r="B573" i="8"/>
  <c r="D573" i="8"/>
  <c r="C574" i="8"/>
  <c r="K571" i="8"/>
  <c r="I574" i="8"/>
  <c r="H574" i="8" s="1"/>
  <c r="J573" i="8"/>
  <c r="B574" i="8" l="1"/>
  <c r="C575" i="8"/>
  <c r="D574" i="8"/>
  <c r="E572" i="8"/>
  <c r="I575" i="8"/>
  <c r="H575" i="8" s="1"/>
  <c r="J574" i="8"/>
  <c r="K572" i="8"/>
  <c r="E573" i="8" l="1"/>
  <c r="B575" i="8"/>
  <c r="C576" i="8"/>
  <c r="D575" i="8"/>
  <c r="K573" i="8"/>
  <c r="I576" i="8"/>
  <c r="H576" i="8" s="1"/>
  <c r="J575" i="8"/>
  <c r="D576" i="8" l="1"/>
  <c r="B576" i="8"/>
  <c r="C577" i="8"/>
  <c r="E574" i="8"/>
  <c r="I577" i="8"/>
  <c r="H577" i="8" s="1"/>
  <c r="J576" i="8"/>
  <c r="K574" i="8"/>
  <c r="E575" i="8" l="1"/>
  <c r="C578" i="8"/>
  <c r="D577" i="8"/>
  <c r="B577" i="8"/>
  <c r="I578" i="8"/>
  <c r="H578" i="8" s="1"/>
  <c r="J577" i="8"/>
  <c r="K576" i="8" s="1"/>
  <c r="K575" i="8"/>
  <c r="E576" i="8" l="1"/>
  <c r="D578" i="8"/>
  <c r="C579" i="8"/>
  <c r="B578" i="8"/>
  <c r="I579" i="8"/>
  <c r="H579" i="8" s="1"/>
  <c r="J578" i="8"/>
  <c r="E577" i="8" l="1"/>
  <c r="C580" i="8"/>
  <c r="B579" i="8"/>
  <c r="D579" i="8"/>
  <c r="I580" i="8"/>
  <c r="H580" i="8" s="1"/>
  <c r="J579" i="8"/>
  <c r="K577" i="8"/>
  <c r="E578" i="8" l="1"/>
  <c r="D580" i="8"/>
  <c r="C581" i="8"/>
  <c r="B580" i="8"/>
  <c r="I581" i="8"/>
  <c r="H581" i="8" s="1"/>
  <c r="J580" i="8"/>
  <c r="K578" i="8"/>
  <c r="E579" i="8" l="1"/>
  <c r="C582" i="8"/>
  <c r="D581" i="8"/>
  <c r="B581" i="8"/>
  <c r="I582" i="8"/>
  <c r="H582" i="8" s="1"/>
  <c r="J581" i="8"/>
  <c r="K579" i="8"/>
  <c r="E580" i="8" l="1"/>
  <c r="K580" i="8"/>
  <c r="C583" i="8"/>
  <c r="B582" i="8"/>
  <c r="D582" i="8"/>
  <c r="I583" i="8"/>
  <c r="H583" i="8" s="1"/>
  <c r="J582" i="8"/>
  <c r="K581" i="8" l="1"/>
  <c r="C584" i="8"/>
  <c r="D583" i="8"/>
  <c r="B583" i="8"/>
  <c r="E581" i="8"/>
  <c r="I584" i="8"/>
  <c r="H584" i="8" s="1"/>
  <c r="J583" i="8"/>
  <c r="B584" i="8" l="1"/>
  <c r="D584" i="8"/>
  <c r="C585" i="8"/>
  <c r="E582" i="8"/>
  <c r="I585" i="8"/>
  <c r="H585" i="8" s="1"/>
  <c r="J584" i="8"/>
  <c r="K582" i="8"/>
  <c r="B585" i="8" l="1"/>
  <c r="D585" i="8"/>
  <c r="C586" i="8"/>
  <c r="E583" i="8"/>
  <c r="I586" i="8"/>
  <c r="H586" i="8" s="1"/>
  <c r="J585" i="8"/>
  <c r="K584" i="8" s="1"/>
  <c r="K583" i="8"/>
  <c r="E584" i="8" l="1"/>
  <c r="B586" i="8"/>
  <c r="C587" i="8"/>
  <c r="D586" i="8"/>
  <c r="I587" i="8"/>
  <c r="H587" i="8" s="1"/>
  <c r="J586" i="8"/>
  <c r="D587" i="8" l="1"/>
  <c r="B587" i="8"/>
  <c r="C588" i="8"/>
  <c r="E585" i="8"/>
  <c r="I588" i="8"/>
  <c r="H588" i="8" s="1"/>
  <c r="J587" i="8"/>
  <c r="K585" i="8"/>
  <c r="E586" i="8" l="1"/>
  <c r="B588" i="8"/>
  <c r="C589" i="8"/>
  <c r="D588" i="8"/>
  <c r="I589" i="8"/>
  <c r="H589" i="8" s="1"/>
  <c r="J588" i="8"/>
  <c r="K586" i="8"/>
  <c r="B589" i="8" l="1"/>
  <c r="D589" i="8"/>
  <c r="C590" i="8"/>
  <c r="E587" i="8"/>
  <c r="K587" i="8"/>
  <c r="I590" i="8"/>
  <c r="H590" i="8" s="1"/>
  <c r="J589" i="8"/>
  <c r="E588" i="8" l="1"/>
  <c r="C591" i="8"/>
  <c r="D590" i="8"/>
  <c r="B590" i="8"/>
  <c r="I591" i="8"/>
  <c r="H591" i="8" s="1"/>
  <c r="J590" i="8"/>
  <c r="K589" i="8" s="1"/>
  <c r="K588" i="8"/>
  <c r="E589" i="8" l="1"/>
  <c r="B591" i="8"/>
  <c r="C592" i="8"/>
  <c r="D591" i="8"/>
  <c r="I592" i="8"/>
  <c r="H592" i="8" s="1"/>
  <c r="J591" i="8"/>
  <c r="B592" i="8" l="1"/>
  <c r="D592" i="8"/>
  <c r="C593" i="8"/>
  <c r="E590" i="8"/>
  <c r="K590" i="8"/>
  <c r="I593" i="8"/>
  <c r="H593" i="8" s="1"/>
  <c r="J592" i="8"/>
  <c r="E591" i="8" l="1"/>
  <c r="D593" i="8"/>
  <c r="B593" i="8"/>
  <c r="C594" i="8"/>
  <c r="K591" i="8"/>
  <c r="I594" i="8"/>
  <c r="H594" i="8" s="1"/>
  <c r="J593" i="8"/>
  <c r="E592" i="8" l="1"/>
  <c r="D594" i="8"/>
  <c r="C595" i="8"/>
  <c r="B594" i="8"/>
  <c r="I595" i="8"/>
  <c r="H595" i="8" s="1"/>
  <c r="J594" i="8"/>
  <c r="K592" i="8"/>
  <c r="K593" i="8" l="1"/>
  <c r="D595" i="8"/>
  <c r="B595" i="8"/>
  <c r="C596" i="8"/>
  <c r="E593" i="8"/>
  <c r="I596" i="8"/>
  <c r="H596" i="8" s="1"/>
  <c r="J595" i="8"/>
  <c r="E594" i="8" l="1"/>
  <c r="B596" i="8"/>
  <c r="C597" i="8"/>
  <c r="D596" i="8"/>
  <c r="K594" i="8"/>
  <c r="I597" i="8"/>
  <c r="H597" i="8" s="1"/>
  <c r="J596" i="8"/>
  <c r="E595" i="8" l="1"/>
  <c r="D597" i="8"/>
  <c r="B597" i="8"/>
  <c r="C598" i="8"/>
  <c r="I598" i="8"/>
  <c r="H598" i="8" s="1"/>
  <c r="J597" i="8"/>
  <c r="K595" i="8"/>
  <c r="E596" i="8" l="1"/>
  <c r="C599" i="8"/>
  <c r="D598" i="8"/>
  <c r="B598" i="8"/>
  <c r="I599" i="8"/>
  <c r="H599" i="8" s="1"/>
  <c r="J598" i="8"/>
  <c r="K596" i="8"/>
  <c r="E597" i="8" l="1"/>
  <c r="B599" i="8"/>
  <c r="C600" i="8"/>
  <c r="D599" i="8"/>
  <c r="I600" i="8"/>
  <c r="H600" i="8" s="1"/>
  <c r="J599" i="8"/>
  <c r="K598" i="8" s="1"/>
  <c r="K597" i="8"/>
  <c r="C601" i="8" l="1"/>
  <c r="B600" i="8"/>
  <c r="D600" i="8"/>
  <c r="E598" i="8"/>
  <c r="I601" i="8"/>
  <c r="H601" i="8" s="1"/>
  <c r="J600" i="8"/>
  <c r="B601" i="8" l="1"/>
  <c r="D601" i="8"/>
  <c r="C602" i="8"/>
  <c r="E599" i="8"/>
  <c r="I602" i="8"/>
  <c r="H602" i="8" s="1"/>
  <c r="J601" i="8"/>
  <c r="K599" i="8"/>
  <c r="E600" i="8" l="1"/>
  <c r="D602" i="8"/>
  <c r="C603" i="8"/>
  <c r="B602" i="8"/>
  <c r="I603" i="8"/>
  <c r="H603" i="8" s="1"/>
  <c r="J602" i="8"/>
  <c r="K600" i="8"/>
  <c r="B603" i="8" l="1"/>
  <c r="D603" i="8"/>
  <c r="C604" i="8"/>
  <c r="E601" i="8"/>
  <c r="I604" i="8"/>
  <c r="H604" i="8" s="1"/>
  <c r="J603" i="8"/>
  <c r="K601" i="8"/>
  <c r="E602" i="8" l="1"/>
  <c r="D604" i="8"/>
  <c r="B604" i="8"/>
  <c r="C605" i="8"/>
  <c r="I605" i="8"/>
  <c r="H605" i="8" s="1"/>
  <c r="J604" i="8"/>
  <c r="K602" i="8"/>
  <c r="B605" i="8" l="1"/>
  <c r="C606" i="8"/>
  <c r="D605" i="8"/>
  <c r="E603" i="8"/>
  <c r="I606" i="8"/>
  <c r="H606" i="8" s="1"/>
  <c r="J605" i="8"/>
  <c r="K603" i="8"/>
  <c r="E604" i="8" l="1"/>
  <c r="C607" i="8"/>
  <c r="D606" i="8"/>
  <c r="B606" i="8"/>
  <c r="K604" i="8"/>
  <c r="I607" i="8"/>
  <c r="H607" i="8" s="1"/>
  <c r="J606" i="8"/>
  <c r="B607" i="8" l="1"/>
  <c r="D607" i="8"/>
  <c r="C608" i="8"/>
  <c r="E605" i="8"/>
  <c r="K605" i="8"/>
  <c r="I608" i="8"/>
  <c r="H608" i="8" s="1"/>
  <c r="J607" i="8"/>
  <c r="E606" i="8" l="1"/>
  <c r="D608" i="8"/>
  <c r="C609" i="8"/>
  <c r="B608" i="8"/>
  <c r="I609" i="8"/>
  <c r="H609" i="8" s="1"/>
  <c r="J608" i="8"/>
  <c r="K607" i="8" s="1"/>
  <c r="K606" i="8"/>
  <c r="B609" i="8" l="1"/>
  <c r="C610" i="8"/>
  <c r="D609" i="8"/>
  <c r="E607" i="8"/>
  <c r="I610" i="8"/>
  <c r="H610" i="8" s="1"/>
  <c r="J609" i="8"/>
  <c r="E608" i="8" l="1"/>
  <c r="B610" i="8"/>
  <c r="C611" i="8"/>
  <c r="D610" i="8"/>
  <c r="I611" i="8"/>
  <c r="H611" i="8" s="1"/>
  <c r="J610" i="8"/>
  <c r="K608" i="8"/>
  <c r="E609" i="8" l="1"/>
  <c r="D611" i="8"/>
  <c r="B611" i="8"/>
  <c r="C612" i="8"/>
  <c r="I612" i="8"/>
  <c r="H612" i="8" s="1"/>
  <c r="J611" i="8"/>
  <c r="K609" i="8"/>
  <c r="B612" i="8" l="1"/>
  <c r="C613" i="8"/>
  <c r="D612" i="8"/>
  <c r="E610" i="8"/>
  <c r="I613" i="8"/>
  <c r="H613" i="8" s="1"/>
  <c r="J612" i="8"/>
  <c r="K610" i="8"/>
  <c r="E611" i="8" l="1"/>
  <c r="C614" i="8"/>
  <c r="B613" i="8"/>
  <c r="D613" i="8"/>
  <c r="K611" i="8"/>
  <c r="I614" i="8"/>
  <c r="H614" i="8" s="1"/>
  <c r="J613" i="8"/>
  <c r="E612" i="8" l="1"/>
  <c r="C615" i="8"/>
  <c r="D614" i="8"/>
  <c r="B614" i="8"/>
  <c r="I615" i="8"/>
  <c r="H615" i="8" s="1"/>
  <c r="J614" i="8"/>
  <c r="K612" i="8"/>
  <c r="K613" i="8" l="1"/>
  <c r="E613" i="8"/>
  <c r="B615" i="8"/>
  <c r="C616" i="8"/>
  <c r="D615" i="8"/>
  <c r="I616" i="8"/>
  <c r="H616" i="8" s="1"/>
  <c r="J615" i="8"/>
  <c r="C617" i="8" l="1"/>
  <c r="B616" i="8"/>
  <c r="D616" i="8"/>
  <c r="E614" i="8"/>
  <c r="K614" i="8"/>
  <c r="I617" i="8"/>
  <c r="H617" i="8" s="1"/>
  <c r="J616" i="8"/>
  <c r="D617" i="8" l="1"/>
  <c r="C618" i="8"/>
  <c r="B617" i="8"/>
  <c r="K615" i="8"/>
  <c r="E615" i="8"/>
  <c r="I618" i="8"/>
  <c r="H618" i="8" s="1"/>
  <c r="J617" i="8"/>
  <c r="D618" i="8" l="1"/>
  <c r="B618" i="8"/>
  <c r="C619" i="8"/>
  <c r="E616" i="8"/>
  <c r="I619" i="8"/>
  <c r="H619" i="8" s="1"/>
  <c r="J618" i="8"/>
  <c r="K616" i="8"/>
  <c r="E617" i="8" l="1"/>
  <c r="D619" i="8"/>
  <c r="C620" i="8"/>
  <c r="B619" i="8"/>
  <c r="I620" i="8"/>
  <c r="H620" i="8" s="1"/>
  <c r="J619" i="8"/>
  <c r="K618" i="8" s="1"/>
  <c r="K617" i="8"/>
  <c r="E618" i="8" l="1"/>
  <c r="B620" i="8"/>
  <c r="D620" i="8"/>
  <c r="C621" i="8"/>
  <c r="I621" i="8"/>
  <c r="H621" i="8" s="1"/>
  <c r="J620" i="8"/>
  <c r="E619" i="8" l="1"/>
  <c r="K619" i="8"/>
  <c r="B621" i="8"/>
  <c r="C622" i="8"/>
  <c r="D621" i="8"/>
  <c r="I622" i="8"/>
  <c r="H622" i="8" s="1"/>
  <c r="J621" i="8"/>
  <c r="K620" i="8" s="1"/>
  <c r="E620" i="8" l="1"/>
  <c r="C623" i="8"/>
  <c r="D622" i="8"/>
  <c r="B622" i="8"/>
  <c r="I623" i="8"/>
  <c r="H623" i="8" s="1"/>
  <c r="J622" i="8"/>
  <c r="K621" i="8" s="1"/>
  <c r="E621" i="8" l="1"/>
  <c r="B623" i="8"/>
  <c r="C624" i="8"/>
  <c r="D623" i="8"/>
  <c r="I624" i="8"/>
  <c r="H624" i="8" s="1"/>
  <c r="J623" i="8"/>
  <c r="E622" i="8" l="1"/>
  <c r="B624" i="8"/>
  <c r="D624" i="8"/>
  <c r="C625" i="8"/>
  <c r="I625" i="8"/>
  <c r="H625" i="8" s="1"/>
  <c r="J624" i="8"/>
  <c r="K623" i="8" s="1"/>
  <c r="K622" i="8"/>
  <c r="E623" i="8" l="1"/>
  <c r="D625" i="8"/>
  <c r="C626" i="8"/>
  <c r="B625" i="8"/>
  <c r="I626" i="8"/>
  <c r="H626" i="8" s="1"/>
  <c r="J625" i="8"/>
  <c r="E624" i="8" l="1"/>
  <c r="B626" i="8"/>
  <c r="D626" i="8"/>
  <c r="E625" i="8" s="1"/>
  <c r="C627" i="8"/>
  <c r="K624" i="8"/>
  <c r="I627" i="8"/>
  <c r="H627" i="8" s="1"/>
  <c r="J626" i="8"/>
  <c r="K625" i="8" s="1"/>
  <c r="B627" i="8" l="1"/>
  <c r="C628" i="8"/>
  <c r="D627" i="8"/>
  <c r="I628" i="8"/>
  <c r="H628" i="8" s="1"/>
  <c r="J627" i="8"/>
  <c r="E626" i="8" l="1"/>
  <c r="B628" i="8"/>
  <c r="C629" i="8"/>
  <c r="D628" i="8"/>
  <c r="I629" i="8"/>
  <c r="H629" i="8" s="1"/>
  <c r="J628" i="8"/>
  <c r="K626" i="8"/>
  <c r="E627" i="8" l="1"/>
  <c r="D629" i="8"/>
  <c r="C630" i="8"/>
  <c r="B629" i="8"/>
  <c r="I630" i="8"/>
  <c r="H630" i="8" s="1"/>
  <c r="J629" i="8"/>
  <c r="K627" i="8"/>
  <c r="C631" i="8" l="1"/>
  <c r="D630" i="8"/>
  <c r="B630" i="8"/>
  <c r="K628" i="8"/>
  <c r="E628" i="8"/>
  <c r="I631" i="8"/>
  <c r="H631" i="8" s="1"/>
  <c r="J630" i="8"/>
  <c r="E629" i="8" l="1"/>
  <c r="B631" i="8"/>
  <c r="C632" i="8"/>
  <c r="D631" i="8"/>
  <c r="I632" i="8"/>
  <c r="H632" i="8" s="1"/>
  <c r="J631" i="8"/>
  <c r="K629" i="8"/>
  <c r="B632" i="8" l="1"/>
  <c r="C633" i="8"/>
  <c r="D632" i="8"/>
  <c r="E630" i="8"/>
  <c r="I633" i="8"/>
  <c r="H633" i="8" s="1"/>
  <c r="J632" i="8"/>
  <c r="K630" i="8"/>
  <c r="B633" i="8" l="1"/>
  <c r="C634" i="8"/>
  <c r="D633" i="8"/>
  <c r="E631" i="8"/>
  <c r="K631" i="8"/>
  <c r="I634" i="8"/>
  <c r="H634" i="8" s="1"/>
  <c r="J633" i="8"/>
  <c r="B634" i="8" l="1"/>
  <c r="D634" i="8"/>
  <c r="C635" i="8"/>
  <c r="E632" i="8"/>
  <c r="I635" i="8"/>
  <c r="H635" i="8" s="1"/>
  <c r="J634" i="8"/>
  <c r="K632" i="8"/>
  <c r="C636" i="8" l="1"/>
  <c r="B635" i="8"/>
  <c r="D635" i="8"/>
  <c r="E633" i="8"/>
  <c r="I636" i="8"/>
  <c r="H636" i="8" s="1"/>
  <c r="J635" i="8"/>
  <c r="K634" i="8" s="1"/>
  <c r="K633" i="8"/>
  <c r="B636" i="8" l="1"/>
  <c r="D636" i="8"/>
  <c r="C637" i="8"/>
  <c r="E634" i="8"/>
  <c r="I637" i="8"/>
  <c r="H637" i="8" s="1"/>
  <c r="J636" i="8"/>
  <c r="E635" i="8" l="1"/>
  <c r="D637" i="8"/>
  <c r="B637" i="8"/>
  <c r="C638" i="8"/>
  <c r="I638" i="8"/>
  <c r="H638" i="8" s="1"/>
  <c r="J637" i="8"/>
  <c r="K636" i="8" s="1"/>
  <c r="K635" i="8"/>
  <c r="B638" i="8" l="1"/>
  <c r="C639" i="8"/>
  <c r="D638" i="8"/>
  <c r="E636" i="8"/>
  <c r="I639" i="8"/>
  <c r="H639" i="8" s="1"/>
  <c r="J638" i="8"/>
  <c r="E637" i="8" l="1"/>
  <c r="B639" i="8"/>
  <c r="C640" i="8"/>
  <c r="D639" i="8"/>
  <c r="K637" i="8"/>
  <c r="I640" i="8"/>
  <c r="H640" i="8" s="1"/>
  <c r="J639" i="8"/>
  <c r="K638" i="8" s="1"/>
  <c r="D640" i="8" l="1"/>
  <c r="C641" i="8"/>
  <c r="B640" i="8"/>
  <c r="E638" i="8"/>
  <c r="I641" i="8"/>
  <c r="H641" i="8" s="1"/>
  <c r="J640" i="8"/>
  <c r="B641" i="8" l="1"/>
  <c r="D641" i="8"/>
  <c r="C642" i="8"/>
  <c r="E639" i="8"/>
  <c r="I642" i="8"/>
  <c r="H642" i="8" s="1"/>
  <c r="J641" i="8"/>
  <c r="K639" i="8"/>
  <c r="E640" i="8" l="1"/>
  <c r="B642" i="8"/>
  <c r="D642" i="8"/>
  <c r="E641" i="8" s="1"/>
  <c r="C643" i="8"/>
  <c r="I643" i="8"/>
  <c r="H643" i="8" s="1"/>
  <c r="J642" i="8"/>
  <c r="K641" i="8" s="1"/>
  <c r="K640" i="8"/>
  <c r="B643" i="8" l="1"/>
  <c r="D643" i="8"/>
  <c r="C644" i="8"/>
  <c r="I644" i="8"/>
  <c r="H644" i="8" s="1"/>
  <c r="J643" i="8"/>
  <c r="C645" i="8" l="1"/>
  <c r="B644" i="8"/>
  <c r="D644" i="8"/>
  <c r="E643" i="8" s="1"/>
  <c r="E642" i="8"/>
  <c r="K642" i="8"/>
  <c r="I645" i="8"/>
  <c r="H645" i="8" s="1"/>
  <c r="J644" i="8"/>
  <c r="B645" i="8" l="1"/>
  <c r="C646" i="8"/>
  <c r="D645" i="8"/>
  <c r="I646" i="8"/>
  <c r="H646" i="8" s="1"/>
  <c r="J645" i="8"/>
  <c r="K643" i="8"/>
  <c r="E644" i="8" l="1"/>
  <c r="C647" i="8"/>
  <c r="D646" i="8"/>
  <c r="B646" i="8"/>
  <c r="K644" i="8"/>
  <c r="I647" i="8"/>
  <c r="H647" i="8" s="1"/>
  <c r="J646" i="8"/>
  <c r="K645" i="8" l="1"/>
  <c r="E645" i="8"/>
  <c r="C648" i="8"/>
  <c r="B647" i="8"/>
  <c r="D647" i="8"/>
  <c r="I648" i="8"/>
  <c r="H648" i="8" s="1"/>
  <c r="J647" i="8"/>
  <c r="E646" i="8" l="1"/>
  <c r="C649" i="8"/>
  <c r="D648" i="8"/>
  <c r="B648" i="8"/>
  <c r="I649" i="8"/>
  <c r="H649" i="8" s="1"/>
  <c r="J648" i="8"/>
  <c r="K647" i="8" s="1"/>
  <c r="K646" i="8"/>
  <c r="E647" i="8" l="1"/>
  <c r="D649" i="8"/>
  <c r="C650" i="8"/>
  <c r="B649" i="8"/>
  <c r="I650" i="8"/>
  <c r="H650" i="8" s="1"/>
  <c r="J649" i="8"/>
  <c r="C651" i="8" l="1"/>
  <c r="B650" i="8"/>
  <c r="D650" i="8"/>
  <c r="E648" i="8"/>
  <c r="K648" i="8"/>
  <c r="I651" i="8"/>
  <c r="H651" i="8" s="1"/>
  <c r="J650" i="8"/>
  <c r="E649" i="8" l="1"/>
  <c r="D651" i="8"/>
  <c r="C652" i="8"/>
  <c r="B651" i="8"/>
  <c r="I652" i="8"/>
  <c r="H652" i="8" s="1"/>
  <c r="J651" i="8"/>
  <c r="K649" i="8"/>
  <c r="D652" i="8" l="1"/>
  <c r="B652" i="8"/>
  <c r="C653" i="8"/>
  <c r="E650" i="8"/>
  <c r="I653" i="8"/>
  <c r="H653" i="8" s="1"/>
  <c r="J652" i="8"/>
  <c r="K650" i="8"/>
  <c r="E651" i="8" l="1"/>
  <c r="D653" i="8"/>
  <c r="B653" i="8"/>
  <c r="C654" i="8"/>
  <c r="I654" i="8"/>
  <c r="H654" i="8" s="1"/>
  <c r="J653" i="8"/>
  <c r="K652" i="8" s="1"/>
  <c r="K651" i="8"/>
  <c r="E652" i="8" l="1"/>
  <c r="D654" i="8"/>
  <c r="B654" i="8"/>
  <c r="C655" i="8"/>
  <c r="I655" i="8"/>
  <c r="H655" i="8" s="1"/>
  <c r="J654" i="8"/>
  <c r="E653" i="8" l="1"/>
  <c r="B655" i="8"/>
  <c r="D655" i="8"/>
  <c r="C656" i="8"/>
  <c r="K653" i="8"/>
  <c r="I656" i="8"/>
  <c r="H656" i="8" s="1"/>
  <c r="J655" i="8"/>
  <c r="E654" i="8" l="1"/>
  <c r="B656" i="8"/>
  <c r="C657" i="8"/>
  <c r="D656" i="8"/>
  <c r="I657" i="8"/>
  <c r="H657" i="8" s="1"/>
  <c r="J656" i="8"/>
  <c r="K655" i="8" s="1"/>
  <c r="K654" i="8"/>
  <c r="E655" i="8" l="1"/>
  <c r="C658" i="8"/>
  <c r="B657" i="8"/>
  <c r="D657" i="8"/>
  <c r="I658" i="8"/>
  <c r="H658" i="8" s="1"/>
  <c r="J657" i="8"/>
  <c r="E656" i="8" l="1"/>
  <c r="K656" i="8"/>
  <c r="B658" i="8"/>
  <c r="D658" i="8"/>
  <c r="E657" i="8" s="1"/>
  <c r="C659" i="8"/>
  <c r="I659" i="8"/>
  <c r="H659" i="8" s="1"/>
  <c r="J658" i="8"/>
  <c r="B659" i="8" l="1"/>
  <c r="C660" i="8"/>
  <c r="D659" i="8"/>
  <c r="K657" i="8"/>
  <c r="I660" i="8"/>
  <c r="H660" i="8" s="1"/>
  <c r="J659" i="8"/>
  <c r="D660" i="8" l="1"/>
  <c r="B660" i="8"/>
  <c r="C661" i="8"/>
  <c r="K658" i="8"/>
  <c r="E658" i="8"/>
  <c r="I661" i="8"/>
  <c r="H661" i="8" s="1"/>
  <c r="J660" i="8"/>
  <c r="K659" i="8" s="1"/>
  <c r="C662" i="8" l="1"/>
  <c r="B661" i="8"/>
  <c r="D661" i="8"/>
  <c r="E659" i="8"/>
  <c r="I662" i="8"/>
  <c r="H662" i="8" s="1"/>
  <c r="J661" i="8"/>
  <c r="E660" i="8" l="1"/>
  <c r="C663" i="8"/>
  <c r="B662" i="8"/>
  <c r="D662" i="8"/>
  <c r="I663" i="8"/>
  <c r="H663" i="8" s="1"/>
  <c r="J662" i="8"/>
  <c r="K660" i="8"/>
  <c r="K661" i="8" l="1"/>
  <c r="E661" i="8"/>
  <c r="C664" i="8"/>
  <c r="D663" i="8"/>
  <c r="B663" i="8"/>
  <c r="I664" i="8"/>
  <c r="H664" i="8" s="1"/>
  <c r="J663" i="8"/>
  <c r="B664" i="8" l="1"/>
  <c r="D664" i="8"/>
  <c r="C665" i="8"/>
  <c r="E662" i="8"/>
  <c r="I665" i="8"/>
  <c r="H665" i="8" s="1"/>
  <c r="J664" i="8"/>
  <c r="K663" i="8" s="1"/>
  <c r="K662" i="8"/>
  <c r="E663" i="8" l="1"/>
  <c r="D665" i="8"/>
  <c r="C666" i="8"/>
  <c r="B665" i="8"/>
  <c r="I666" i="8"/>
  <c r="H666" i="8" s="1"/>
  <c r="J665" i="8"/>
  <c r="C667" i="8" l="1"/>
  <c r="D666" i="8"/>
  <c r="B666" i="8"/>
  <c r="E664" i="8"/>
  <c r="K664" i="8"/>
  <c r="I667" i="8"/>
  <c r="H667" i="8" s="1"/>
  <c r="J666" i="8"/>
  <c r="E665" i="8" l="1"/>
  <c r="B667" i="8"/>
  <c r="C668" i="8"/>
  <c r="D667" i="8"/>
  <c r="I668" i="8"/>
  <c r="H668" i="8" s="1"/>
  <c r="J667" i="8"/>
  <c r="K665" i="8"/>
  <c r="B668" i="8" l="1"/>
  <c r="C669" i="8"/>
  <c r="D668" i="8"/>
  <c r="E666" i="8"/>
  <c r="I669" i="8"/>
  <c r="H669" i="8" s="1"/>
  <c r="J668" i="8"/>
  <c r="K666" i="8"/>
  <c r="B669" i="8" l="1"/>
  <c r="C670" i="8"/>
  <c r="D669" i="8"/>
  <c r="E667" i="8"/>
  <c r="I670" i="8"/>
  <c r="H670" i="8" s="1"/>
  <c r="J669" i="8"/>
  <c r="K668" i="8" s="1"/>
  <c r="K667" i="8"/>
  <c r="E668" i="8" l="1"/>
  <c r="B670" i="8"/>
  <c r="C671" i="8"/>
  <c r="D670" i="8"/>
  <c r="E669" i="8" s="1"/>
  <c r="I671" i="8"/>
  <c r="H671" i="8" s="1"/>
  <c r="J670" i="8"/>
  <c r="C672" i="8" l="1"/>
  <c r="D671" i="8"/>
  <c r="B671" i="8"/>
  <c r="I672" i="8"/>
  <c r="H672" i="8" s="1"/>
  <c r="J671" i="8"/>
  <c r="K669" i="8"/>
  <c r="E670" i="8" l="1"/>
  <c r="D672" i="8"/>
  <c r="B672" i="8"/>
  <c r="C673" i="8"/>
  <c r="I673" i="8"/>
  <c r="H673" i="8" s="1"/>
  <c r="J672" i="8"/>
  <c r="K670" i="8"/>
  <c r="E671" i="8" l="1"/>
  <c r="K671" i="8"/>
  <c r="C674" i="8"/>
  <c r="D673" i="8"/>
  <c r="B673" i="8"/>
  <c r="I674" i="8"/>
  <c r="H674" i="8" s="1"/>
  <c r="J673" i="8"/>
  <c r="B674" i="8" l="1"/>
  <c r="D674" i="8"/>
  <c r="C675" i="8"/>
  <c r="E672" i="8"/>
  <c r="I675" i="8"/>
  <c r="H675" i="8" s="1"/>
  <c r="J674" i="8"/>
  <c r="K672" i="8"/>
  <c r="K673" i="8" l="1"/>
  <c r="D675" i="8"/>
  <c r="B675" i="8"/>
  <c r="C676" i="8"/>
  <c r="E673" i="8"/>
  <c r="I676" i="8"/>
  <c r="H676" i="8" s="1"/>
  <c r="J675" i="8"/>
  <c r="E674" i="8" l="1"/>
  <c r="B676" i="8"/>
  <c r="D676" i="8"/>
  <c r="C677" i="8"/>
  <c r="K674" i="8"/>
  <c r="I677" i="8"/>
  <c r="H677" i="8" s="1"/>
  <c r="J676" i="8"/>
  <c r="K675" i="8" s="1"/>
  <c r="E675" i="8" l="1"/>
  <c r="C678" i="8"/>
  <c r="D677" i="8"/>
  <c r="B677" i="8"/>
  <c r="I678" i="8"/>
  <c r="H678" i="8" s="1"/>
  <c r="J677" i="8"/>
  <c r="K676" i="8" l="1"/>
  <c r="E676" i="8"/>
  <c r="B678" i="8"/>
  <c r="D678" i="8"/>
  <c r="C679" i="8"/>
  <c r="I679" i="8"/>
  <c r="H679" i="8" s="1"/>
  <c r="J678" i="8"/>
  <c r="E677" i="8" l="1"/>
  <c r="B679" i="8"/>
  <c r="C680" i="8"/>
  <c r="D679" i="8"/>
  <c r="I680" i="8"/>
  <c r="H680" i="8" s="1"/>
  <c r="J679" i="8"/>
  <c r="K678" i="8" s="1"/>
  <c r="K677" i="8"/>
  <c r="E678" i="8" l="1"/>
  <c r="D680" i="8"/>
  <c r="B680" i="8"/>
  <c r="C681" i="8"/>
  <c r="I681" i="8"/>
  <c r="H681" i="8" s="1"/>
  <c r="J680" i="8"/>
  <c r="D681" i="8" l="1"/>
  <c r="B681" i="8"/>
  <c r="C682" i="8"/>
  <c r="E679" i="8"/>
  <c r="I682" i="8"/>
  <c r="H682" i="8" s="1"/>
  <c r="J681" i="8"/>
  <c r="K679" i="8"/>
  <c r="D682" i="8" l="1"/>
  <c r="C683" i="8"/>
  <c r="B682" i="8"/>
  <c r="E680" i="8"/>
  <c r="I683" i="8"/>
  <c r="H683" i="8" s="1"/>
  <c r="J682" i="8"/>
  <c r="K681" i="8" s="1"/>
  <c r="K680" i="8"/>
  <c r="E681" i="8" l="1"/>
  <c r="C684" i="8"/>
  <c r="D683" i="8"/>
  <c r="B683" i="8"/>
  <c r="I684" i="8"/>
  <c r="H684" i="8" s="1"/>
  <c r="J683" i="8"/>
  <c r="E682" i="8" l="1"/>
  <c r="K682" i="8"/>
  <c r="C685" i="8"/>
  <c r="D684" i="8"/>
  <c r="B684" i="8"/>
  <c r="I685" i="8"/>
  <c r="H685" i="8" s="1"/>
  <c r="J684" i="8"/>
  <c r="E683" i="8" l="1"/>
  <c r="B685" i="8"/>
  <c r="D685" i="8"/>
  <c r="C686" i="8"/>
  <c r="K683" i="8"/>
  <c r="I686" i="8"/>
  <c r="H686" i="8" s="1"/>
  <c r="J685" i="8"/>
  <c r="K684" i="8" l="1"/>
  <c r="C687" i="8"/>
  <c r="B686" i="8"/>
  <c r="D686" i="8"/>
  <c r="E685" i="8" s="1"/>
  <c r="E684" i="8"/>
  <c r="I687" i="8"/>
  <c r="H687" i="8" s="1"/>
  <c r="J686" i="8"/>
  <c r="K685" i="8" l="1"/>
  <c r="C688" i="8"/>
  <c r="B687" i="8"/>
  <c r="D687" i="8"/>
  <c r="I688" i="8"/>
  <c r="H688" i="8" s="1"/>
  <c r="J687" i="8"/>
  <c r="B688" i="8" l="1"/>
  <c r="C689" i="8"/>
  <c r="D688" i="8"/>
  <c r="E686" i="8"/>
  <c r="K686" i="8"/>
  <c r="I689" i="8"/>
  <c r="H689" i="8" s="1"/>
  <c r="J688" i="8"/>
  <c r="K687" i="8" s="1"/>
  <c r="C690" i="8" l="1"/>
  <c r="D689" i="8"/>
  <c r="B689" i="8"/>
  <c r="E687" i="8"/>
  <c r="I690" i="8"/>
  <c r="H690" i="8" s="1"/>
  <c r="J689" i="8"/>
  <c r="E688" i="8" l="1"/>
  <c r="B690" i="8"/>
  <c r="D690" i="8"/>
  <c r="C691" i="8"/>
  <c r="I691" i="8"/>
  <c r="H691" i="8" s="1"/>
  <c r="J690" i="8"/>
  <c r="K688" i="8"/>
  <c r="E689" i="8" l="1"/>
  <c r="C692" i="8"/>
  <c r="D691" i="8"/>
  <c r="B691" i="8"/>
  <c r="I692" i="8"/>
  <c r="H692" i="8" s="1"/>
  <c r="J691" i="8"/>
  <c r="K689" i="8"/>
  <c r="E690" i="8" l="1"/>
  <c r="B692" i="8"/>
  <c r="D692" i="8"/>
  <c r="C693" i="8"/>
  <c r="I693" i="8"/>
  <c r="H693" i="8" s="1"/>
  <c r="J692" i="8"/>
  <c r="K690" i="8"/>
  <c r="B693" i="8" l="1"/>
  <c r="C694" i="8"/>
  <c r="D693" i="8"/>
  <c r="E691" i="8"/>
  <c r="I694" i="8"/>
  <c r="H694" i="8" s="1"/>
  <c r="J693" i="8"/>
  <c r="K691" i="8"/>
  <c r="E692" i="8" l="1"/>
  <c r="C695" i="8"/>
  <c r="D694" i="8"/>
  <c r="B694" i="8"/>
  <c r="I695" i="8"/>
  <c r="H695" i="8" s="1"/>
  <c r="J694" i="8"/>
  <c r="K693" i="8" s="1"/>
  <c r="K692" i="8"/>
  <c r="E693" i="8" l="1"/>
  <c r="B695" i="8"/>
  <c r="C696" i="8"/>
  <c r="D695" i="8"/>
  <c r="E694" i="8" s="1"/>
  <c r="I696" i="8"/>
  <c r="H696" i="8" s="1"/>
  <c r="J695" i="8"/>
  <c r="D696" i="8" l="1"/>
  <c r="C697" i="8"/>
  <c r="B696" i="8"/>
  <c r="I697" i="8"/>
  <c r="H697" i="8" s="1"/>
  <c r="J696" i="8"/>
  <c r="K694" i="8"/>
  <c r="E695" i="8" l="1"/>
  <c r="B697" i="8"/>
  <c r="C698" i="8"/>
  <c r="D697" i="8"/>
  <c r="I698" i="8"/>
  <c r="H698" i="8" s="1"/>
  <c r="J697" i="8"/>
  <c r="K695" i="8"/>
  <c r="E696" i="8" l="1"/>
  <c r="B698" i="8"/>
  <c r="C699" i="8"/>
  <c r="D698" i="8"/>
  <c r="K696" i="8"/>
  <c r="I699" i="8"/>
  <c r="H699" i="8" s="1"/>
  <c r="J698" i="8"/>
  <c r="B699" i="8" l="1"/>
  <c r="D699" i="8"/>
  <c r="C700" i="8"/>
  <c r="E697" i="8"/>
  <c r="I700" i="8"/>
  <c r="H700" i="8" s="1"/>
  <c r="J699" i="8"/>
  <c r="K697" i="8"/>
  <c r="E698" i="8" l="1"/>
  <c r="B700" i="8"/>
  <c r="D700" i="8"/>
  <c r="C701" i="8"/>
  <c r="I701" i="8"/>
  <c r="H701" i="8" s="1"/>
  <c r="J700" i="8"/>
  <c r="K699" i="8" s="1"/>
  <c r="K698" i="8"/>
  <c r="B701" i="8" l="1"/>
  <c r="C702" i="8"/>
  <c r="D701" i="8"/>
  <c r="E699" i="8"/>
  <c r="I702" i="8"/>
  <c r="H702" i="8" s="1"/>
  <c r="J701" i="8"/>
  <c r="K700" i="8" l="1"/>
  <c r="E700" i="8"/>
  <c r="C703" i="8"/>
  <c r="D702" i="8"/>
  <c r="B702" i="8"/>
  <c r="I703" i="8"/>
  <c r="H703" i="8" s="1"/>
  <c r="J702" i="8"/>
  <c r="E701" i="8" l="1"/>
  <c r="D703" i="8"/>
  <c r="C704" i="8"/>
  <c r="B703" i="8"/>
  <c r="I704" i="8"/>
  <c r="H704" i="8" s="1"/>
  <c r="J703" i="8"/>
  <c r="K702" i="8" s="1"/>
  <c r="K701" i="8"/>
  <c r="D704" i="8" l="1"/>
  <c r="C705" i="8"/>
  <c r="B704" i="8"/>
  <c r="E702" i="8"/>
  <c r="I705" i="8"/>
  <c r="H705" i="8" s="1"/>
  <c r="J704" i="8"/>
  <c r="E703" i="8" l="1"/>
  <c r="K703" i="8"/>
  <c r="B705" i="8"/>
  <c r="D705" i="8"/>
  <c r="C706" i="8"/>
  <c r="I706" i="8"/>
  <c r="H706" i="8" s="1"/>
  <c r="J705" i="8"/>
  <c r="E704" i="8" l="1"/>
  <c r="C707" i="8"/>
  <c r="D706" i="8"/>
  <c r="B706" i="8"/>
  <c r="I707" i="8"/>
  <c r="H707" i="8" s="1"/>
  <c r="J706" i="8"/>
  <c r="K704" i="8"/>
  <c r="E705" i="8" l="1"/>
  <c r="D707" i="8"/>
  <c r="C708" i="8"/>
  <c r="B707" i="8"/>
  <c r="I708" i="8"/>
  <c r="H708" i="8" s="1"/>
  <c r="J707" i="8"/>
  <c r="K705" i="8"/>
  <c r="E706" i="8" l="1"/>
  <c r="B708" i="8"/>
  <c r="C709" i="8"/>
  <c r="D708" i="8"/>
  <c r="E707" i="8" s="1"/>
  <c r="I709" i="8"/>
  <c r="H709" i="8" s="1"/>
  <c r="J708" i="8"/>
  <c r="K706" i="8"/>
  <c r="B709" i="8" l="1"/>
  <c r="D709" i="8"/>
  <c r="C710" i="8"/>
  <c r="K707" i="8"/>
  <c r="I710" i="8"/>
  <c r="H710" i="8" s="1"/>
  <c r="J709" i="8"/>
  <c r="E708" i="8" l="1"/>
  <c r="B710" i="8"/>
  <c r="C711" i="8"/>
  <c r="D710" i="8"/>
  <c r="K708" i="8"/>
  <c r="I711" i="8"/>
  <c r="H711" i="8" s="1"/>
  <c r="J710" i="8"/>
  <c r="E709" i="8" l="1"/>
  <c r="C712" i="8"/>
  <c r="B711" i="8"/>
  <c r="D711" i="8"/>
  <c r="E710" i="8" s="1"/>
  <c r="I712" i="8"/>
  <c r="H712" i="8" s="1"/>
  <c r="J711" i="8"/>
  <c r="K709" i="8"/>
  <c r="B712" i="8" l="1"/>
  <c r="D712" i="8"/>
  <c r="C713" i="8"/>
  <c r="I713" i="8"/>
  <c r="H713" i="8" s="1"/>
  <c r="J712" i="8"/>
  <c r="K710" i="8"/>
  <c r="K711" i="8" l="1"/>
  <c r="E711" i="8"/>
  <c r="D713" i="8"/>
  <c r="B713" i="8"/>
  <c r="C714" i="8"/>
  <c r="I714" i="8"/>
  <c r="H714" i="8" s="1"/>
  <c r="J713" i="8"/>
  <c r="K712" i="8" s="1"/>
  <c r="E712" i="8" l="1"/>
  <c r="C715" i="8"/>
  <c r="D714" i="8"/>
  <c r="B714" i="8"/>
  <c r="I715" i="8"/>
  <c r="H715" i="8" s="1"/>
  <c r="J714" i="8"/>
  <c r="E713" i="8" l="1"/>
  <c r="C716" i="8"/>
  <c r="D715" i="8"/>
  <c r="B715" i="8"/>
  <c r="K713" i="8"/>
  <c r="I716" i="8"/>
  <c r="H716" i="8" s="1"/>
  <c r="J715" i="8"/>
  <c r="E714" i="8" l="1"/>
  <c r="C717" i="8"/>
  <c r="D716" i="8"/>
  <c r="B716" i="8"/>
  <c r="I717" i="8"/>
  <c r="H717" i="8" s="1"/>
  <c r="J716" i="8"/>
  <c r="K714" i="8"/>
  <c r="E715" i="8" l="1"/>
  <c r="B717" i="8"/>
  <c r="C718" i="8"/>
  <c r="D717" i="8"/>
  <c r="I718" i="8"/>
  <c r="H718" i="8" s="1"/>
  <c r="J717" i="8"/>
  <c r="K715" i="8"/>
  <c r="E716" i="8" l="1"/>
  <c r="C719" i="8"/>
  <c r="B718" i="8"/>
  <c r="D718" i="8"/>
  <c r="I719" i="8"/>
  <c r="H719" i="8" s="1"/>
  <c r="J718" i="8"/>
  <c r="K716" i="8"/>
  <c r="E717" i="8" l="1"/>
  <c r="B719" i="8"/>
  <c r="D719" i="8"/>
  <c r="C720" i="8"/>
  <c r="I720" i="8"/>
  <c r="H720" i="8" s="1"/>
  <c r="J719" i="8"/>
  <c r="K717" i="8"/>
  <c r="E718" i="8" l="1"/>
  <c r="D720" i="8"/>
  <c r="C721" i="8"/>
  <c r="B720" i="8"/>
  <c r="I721" i="8"/>
  <c r="H721" i="8" s="1"/>
  <c r="J720" i="8"/>
  <c r="K718" i="8"/>
  <c r="B721" i="8" l="1"/>
  <c r="D721" i="8"/>
  <c r="C722" i="8"/>
  <c r="E719" i="8"/>
  <c r="I722" i="8"/>
  <c r="H722" i="8" s="1"/>
  <c r="J721" i="8"/>
  <c r="K720" i="8" s="1"/>
  <c r="K719" i="8"/>
  <c r="C723" i="8" l="1"/>
  <c r="B722" i="8"/>
  <c r="D722" i="8"/>
  <c r="E720" i="8"/>
  <c r="I723" i="8"/>
  <c r="H723" i="8" s="1"/>
  <c r="J722" i="8"/>
  <c r="K721" i="8" s="1"/>
  <c r="E721" i="8" l="1"/>
  <c r="D723" i="8"/>
  <c r="C724" i="8"/>
  <c r="B723" i="8"/>
  <c r="I724" i="8"/>
  <c r="H724" i="8" s="1"/>
  <c r="J723" i="8"/>
  <c r="C725" i="8" l="1"/>
  <c r="B724" i="8"/>
  <c r="D724" i="8"/>
  <c r="E722" i="8"/>
  <c r="I725" i="8"/>
  <c r="H725" i="8" s="1"/>
  <c r="J724" i="8"/>
  <c r="K722" i="8"/>
  <c r="D725" i="8" l="1"/>
  <c r="C726" i="8"/>
  <c r="B725" i="8"/>
  <c r="E723" i="8"/>
  <c r="I726" i="8"/>
  <c r="H726" i="8" s="1"/>
  <c r="J725" i="8"/>
  <c r="K723" i="8"/>
  <c r="B726" i="8" l="1"/>
  <c r="C727" i="8"/>
  <c r="D726" i="8"/>
  <c r="E724" i="8"/>
  <c r="K724" i="8"/>
  <c r="I727" i="8"/>
  <c r="H727" i="8" s="1"/>
  <c r="J726" i="8"/>
  <c r="E725" i="8" l="1"/>
  <c r="D727" i="8"/>
  <c r="C728" i="8"/>
  <c r="B727" i="8"/>
  <c r="I728" i="8"/>
  <c r="H728" i="8" s="1"/>
  <c r="J727" i="8"/>
  <c r="K725" i="8"/>
  <c r="D728" i="8" l="1"/>
  <c r="C729" i="8"/>
  <c r="B728" i="8"/>
  <c r="K726" i="8"/>
  <c r="E726" i="8"/>
  <c r="I729" i="8"/>
  <c r="H729" i="8" s="1"/>
  <c r="J728" i="8"/>
  <c r="E727" i="8" l="1"/>
  <c r="B729" i="8"/>
  <c r="D729" i="8"/>
  <c r="C730" i="8"/>
  <c r="K727" i="8"/>
  <c r="I730" i="8"/>
  <c r="H730" i="8" s="1"/>
  <c r="J729" i="8"/>
  <c r="D730" i="8" l="1"/>
  <c r="C731" i="8"/>
  <c r="B730" i="8"/>
  <c r="E728" i="8"/>
  <c r="I731" i="8"/>
  <c r="H731" i="8" s="1"/>
  <c r="J730" i="8"/>
  <c r="K728" i="8"/>
  <c r="E729" i="8" l="1"/>
  <c r="D731" i="8"/>
  <c r="B731" i="8"/>
  <c r="C732" i="8"/>
  <c r="K729" i="8"/>
  <c r="I732" i="8"/>
  <c r="H732" i="8" s="1"/>
  <c r="J731" i="8"/>
  <c r="E730" i="8" l="1"/>
  <c r="C733" i="8"/>
  <c r="B732" i="8"/>
  <c r="D732" i="8"/>
  <c r="K730" i="8"/>
  <c r="I733" i="8"/>
  <c r="H733" i="8" s="1"/>
  <c r="J732" i="8"/>
  <c r="E731" i="8" l="1"/>
  <c r="C734" i="8"/>
  <c r="B733" i="8"/>
  <c r="D733" i="8"/>
  <c r="E732" i="8" s="1"/>
  <c r="I734" i="8"/>
  <c r="H734" i="8" s="1"/>
  <c r="J733" i="8"/>
  <c r="K732" i="8" s="1"/>
  <c r="K731" i="8"/>
  <c r="D734" i="8" l="1"/>
  <c r="B734" i="8"/>
  <c r="C735" i="8"/>
  <c r="I735" i="8"/>
  <c r="H735" i="8" s="1"/>
  <c r="J734" i="8"/>
  <c r="C736" i="8" l="1"/>
  <c r="D735" i="8"/>
  <c r="B735" i="8"/>
  <c r="E733" i="8"/>
  <c r="I736" i="8"/>
  <c r="H736" i="8" s="1"/>
  <c r="J735" i="8"/>
  <c r="K733" i="8"/>
  <c r="E734" i="8" l="1"/>
  <c r="C737" i="8"/>
  <c r="D736" i="8"/>
  <c r="B736" i="8"/>
  <c r="I737" i="8"/>
  <c r="H737" i="8" s="1"/>
  <c r="J736" i="8"/>
  <c r="K734" i="8"/>
  <c r="E735" i="8" l="1"/>
  <c r="B737" i="8"/>
  <c r="C738" i="8"/>
  <c r="D737" i="8"/>
  <c r="I738" i="8"/>
  <c r="H738" i="8" s="1"/>
  <c r="J737" i="8"/>
  <c r="K735" i="8"/>
  <c r="E736" i="8" l="1"/>
  <c r="D738" i="8"/>
  <c r="B738" i="8"/>
  <c r="C739" i="8"/>
  <c r="K736" i="8"/>
  <c r="I739" i="8"/>
  <c r="H739" i="8" s="1"/>
  <c r="J738" i="8"/>
  <c r="K737" i="8" s="1"/>
  <c r="E737" i="8" l="1"/>
  <c r="B739" i="8"/>
  <c r="D739" i="8"/>
  <c r="C740" i="8"/>
  <c r="I740" i="8"/>
  <c r="H740" i="8" s="1"/>
  <c r="J739" i="8"/>
  <c r="E738" i="8" l="1"/>
  <c r="D740" i="8"/>
  <c r="C741" i="8"/>
  <c r="B740" i="8"/>
  <c r="I741" i="8"/>
  <c r="H741" i="8" s="1"/>
  <c r="J740" i="8"/>
  <c r="K738" i="8"/>
  <c r="C742" i="8" l="1"/>
  <c r="B741" i="8"/>
  <c r="D741" i="8"/>
  <c r="E739" i="8"/>
  <c r="I742" i="8"/>
  <c r="H742" i="8" s="1"/>
  <c r="J741" i="8"/>
  <c r="K740" i="8" s="1"/>
  <c r="K739" i="8"/>
  <c r="E740" i="8" l="1"/>
  <c r="B742" i="8"/>
  <c r="D742" i="8"/>
  <c r="C743" i="8"/>
  <c r="I743" i="8"/>
  <c r="H743" i="8" s="1"/>
  <c r="J742" i="8"/>
  <c r="E741" i="8" l="1"/>
  <c r="C744" i="8"/>
  <c r="B743" i="8"/>
  <c r="D743" i="8"/>
  <c r="I744" i="8"/>
  <c r="H744" i="8" s="1"/>
  <c r="J743" i="8"/>
  <c r="K741" i="8"/>
  <c r="E742" i="8" l="1"/>
  <c r="C745" i="8"/>
  <c r="D744" i="8"/>
  <c r="B744" i="8"/>
  <c r="I745" i="8"/>
  <c r="H745" i="8" s="1"/>
  <c r="J744" i="8"/>
  <c r="K742" i="8"/>
  <c r="E743" i="8" l="1"/>
  <c r="C746" i="8"/>
  <c r="D745" i="8"/>
  <c r="B745" i="8"/>
  <c r="I746" i="8"/>
  <c r="H746" i="8" s="1"/>
  <c r="J745" i="8"/>
  <c r="K743" i="8"/>
  <c r="B746" i="8" l="1"/>
  <c r="C747" i="8"/>
  <c r="D746" i="8"/>
  <c r="E744" i="8"/>
  <c r="I747" i="8"/>
  <c r="H747" i="8" s="1"/>
  <c r="J746" i="8"/>
  <c r="K744" i="8"/>
  <c r="D747" i="8" l="1"/>
  <c r="C748" i="8"/>
  <c r="B747" i="8"/>
  <c r="E745" i="8"/>
  <c r="I748" i="8"/>
  <c r="H748" i="8" s="1"/>
  <c r="J747" i="8"/>
  <c r="K745" i="8"/>
  <c r="D748" i="8" l="1"/>
  <c r="B748" i="8"/>
  <c r="C749" i="8"/>
  <c r="E746" i="8"/>
  <c r="K746" i="8"/>
  <c r="I749" i="8"/>
  <c r="H749" i="8" s="1"/>
  <c r="J748" i="8"/>
  <c r="E747" i="8" l="1"/>
  <c r="C750" i="8"/>
  <c r="D749" i="8"/>
  <c r="B749" i="8"/>
  <c r="I750" i="8"/>
  <c r="H750" i="8" s="1"/>
  <c r="J749" i="8"/>
  <c r="K747" i="8"/>
  <c r="E748" i="8" l="1"/>
  <c r="K748" i="8"/>
  <c r="B750" i="8"/>
  <c r="C751" i="8"/>
  <c r="D750" i="8"/>
  <c r="I751" i="8"/>
  <c r="H751" i="8" s="1"/>
  <c r="J750" i="8"/>
  <c r="E749" i="8" l="1"/>
  <c r="B751" i="8"/>
  <c r="D751" i="8"/>
  <c r="C752" i="8"/>
  <c r="K749" i="8"/>
  <c r="I752" i="8"/>
  <c r="H752" i="8" s="1"/>
  <c r="J751" i="8"/>
  <c r="K750" i="8" l="1"/>
  <c r="B752" i="8"/>
  <c r="C753" i="8"/>
  <c r="D752" i="8"/>
  <c r="E750" i="8"/>
  <c r="I753" i="8"/>
  <c r="H753" i="8" s="1"/>
  <c r="J752" i="8"/>
  <c r="K751" i="8" l="1"/>
  <c r="B753" i="8"/>
  <c r="D753" i="8"/>
  <c r="C754" i="8"/>
  <c r="E751" i="8"/>
  <c r="I754" i="8"/>
  <c r="H754" i="8" s="1"/>
  <c r="J753" i="8"/>
  <c r="B754" i="8" l="1"/>
  <c r="D754" i="8"/>
  <c r="C755" i="8"/>
  <c r="E752" i="8"/>
  <c r="I755" i="8"/>
  <c r="H755" i="8" s="1"/>
  <c r="J754" i="8"/>
  <c r="K752" i="8"/>
  <c r="E753" i="8" l="1"/>
  <c r="C756" i="8"/>
  <c r="D755" i="8"/>
  <c r="B755" i="8"/>
  <c r="I756" i="8"/>
  <c r="H756" i="8" s="1"/>
  <c r="J755" i="8"/>
  <c r="K753" i="8"/>
  <c r="B756" i="8" l="1"/>
  <c r="C757" i="8"/>
  <c r="D756" i="8"/>
  <c r="E754" i="8"/>
  <c r="K754" i="8"/>
  <c r="I757" i="8"/>
  <c r="H757" i="8" s="1"/>
  <c r="J756" i="8"/>
  <c r="E755" i="8" l="1"/>
  <c r="B757" i="8"/>
  <c r="C758" i="8"/>
  <c r="D757" i="8"/>
  <c r="E756" i="8" s="1"/>
  <c r="I758" i="8"/>
  <c r="H758" i="8" s="1"/>
  <c r="J757" i="8"/>
  <c r="K755" i="8"/>
  <c r="D758" i="8" l="1"/>
  <c r="C759" i="8"/>
  <c r="B758" i="8"/>
  <c r="I759" i="8"/>
  <c r="H759" i="8" s="1"/>
  <c r="J758" i="8"/>
  <c r="K756" i="8"/>
  <c r="B759" i="8" l="1"/>
  <c r="D759" i="8"/>
  <c r="C760" i="8"/>
  <c r="E757" i="8"/>
  <c r="I760" i="8"/>
  <c r="H760" i="8" s="1"/>
  <c r="J759" i="8"/>
  <c r="K757" i="8"/>
  <c r="E758" i="8" l="1"/>
  <c r="D760" i="8"/>
  <c r="B760" i="8"/>
  <c r="C761" i="8"/>
  <c r="I761" i="8"/>
  <c r="H761" i="8" s="1"/>
  <c r="J760" i="8"/>
  <c r="K758" i="8"/>
  <c r="D761" i="8" l="1"/>
  <c r="B761" i="8"/>
  <c r="C762" i="8"/>
  <c r="K759" i="8"/>
  <c r="E759" i="8"/>
  <c r="I762" i="8"/>
  <c r="H762" i="8" s="1"/>
  <c r="J761" i="8"/>
  <c r="E760" i="8" l="1"/>
  <c r="K760" i="8"/>
  <c r="D762" i="8"/>
  <c r="C763" i="8"/>
  <c r="B762" i="8"/>
  <c r="I763" i="8"/>
  <c r="H763" i="8" s="1"/>
  <c r="J762" i="8"/>
  <c r="E761" i="8" l="1"/>
  <c r="K761" i="8"/>
  <c r="B763" i="8"/>
  <c r="D763" i="8"/>
  <c r="C764" i="8"/>
  <c r="I764" i="8"/>
  <c r="H764" i="8" s="1"/>
  <c r="J763" i="8"/>
  <c r="E762" i="8" l="1"/>
  <c r="C765" i="8"/>
  <c r="B764" i="8"/>
  <c r="D764" i="8"/>
  <c r="E763" i="8" s="1"/>
  <c r="I765" i="8"/>
  <c r="H765" i="8" s="1"/>
  <c r="J764" i="8"/>
  <c r="K762" i="8"/>
  <c r="B765" i="8" l="1"/>
  <c r="D765" i="8"/>
  <c r="C766" i="8"/>
  <c r="I766" i="8"/>
  <c r="H766" i="8" s="1"/>
  <c r="J765" i="8"/>
  <c r="K763" i="8"/>
  <c r="B766" i="8" l="1"/>
  <c r="D766" i="8"/>
  <c r="C767" i="8"/>
  <c r="E764" i="8"/>
  <c r="I767" i="8"/>
  <c r="H767" i="8" s="1"/>
  <c r="J766" i="8"/>
  <c r="K764" i="8"/>
  <c r="E765" i="8" l="1"/>
  <c r="B767" i="8"/>
  <c r="C768" i="8"/>
  <c r="D767" i="8"/>
  <c r="I768" i="8"/>
  <c r="H768" i="8" s="1"/>
  <c r="J767" i="8"/>
  <c r="K765" i="8"/>
  <c r="D768" i="8" l="1"/>
  <c r="B768" i="8"/>
  <c r="C769" i="8"/>
  <c r="E766" i="8"/>
  <c r="I769" i="8"/>
  <c r="H769" i="8" s="1"/>
  <c r="J768" i="8"/>
  <c r="K766" i="8"/>
  <c r="B769" i="8" l="1"/>
  <c r="C770" i="8"/>
  <c r="D769" i="8"/>
  <c r="E767" i="8"/>
  <c r="I770" i="8"/>
  <c r="H770" i="8" s="1"/>
  <c r="J769" i="8"/>
  <c r="K768" i="8" s="1"/>
  <c r="K767" i="8"/>
  <c r="E768" i="8" l="1"/>
  <c r="B770" i="8"/>
  <c r="C771" i="8"/>
  <c r="D770" i="8"/>
  <c r="I771" i="8"/>
  <c r="H771" i="8" s="1"/>
  <c r="J770" i="8"/>
  <c r="E769" i="8" l="1"/>
  <c r="D771" i="8"/>
  <c r="C772" i="8"/>
  <c r="B771" i="8"/>
  <c r="K769" i="8"/>
  <c r="I772" i="8"/>
  <c r="H772" i="8" s="1"/>
  <c r="J771" i="8"/>
  <c r="E770" i="8" l="1"/>
  <c r="B772" i="8"/>
  <c r="C773" i="8"/>
  <c r="D772" i="8"/>
  <c r="E771" i="8" s="1"/>
  <c r="I773" i="8"/>
  <c r="H773" i="8" s="1"/>
  <c r="J772" i="8"/>
  <c r="K770" i="8"/>
  <c r="B773" i="8" l="1"/>
  <c r="C774" i="8"/>
  <c r="D773" i="8"/>
  <c r="K771" i="8"/>
  <c r="I774" i="8"/>
  <c r="H774" i="8" s="1"/>
  <c r="J773" i="8"/>
  <c r="E772" i="8" l="1"/>
  <c r="B774" i="8"/>
  <c r="C775" i="8"/>
  <c r="D774" i="8"/>
  <c r="I775" i="8"/>
  <c r="H775" i="8" s="1"/>
  <c r="J774" i="8"/>
  <c r="K773" i="8" s="1"/>
  <c r="K772" i="8"/>
  <c r="B775" i="8" l="1"/>
  <c r="C776" i="8"/>
  <c r="D775" i="8"/>
  <c r="E773" i="8"/>
  <c r="I776" i="8"/>
  <c r="H776" i="8" s="1"/>
  <c r="J775" i="8"/>
  <c r="K774" i="8" s="1"/>
  <c r="E774" i="8" l="1"/>
  <c r="D776" i="8"/>
  <c r="B776" i="8"/>
  <c r="C777" i="8"/>
  <c r="I777" i="8"/>
  <c r="H777" i="8" s="1"/>
  <c r="J776" i="8"/>
  <c r="K775" i="8" s="1"/>
  <c r="E775" i="8" l="1"/>
  <c r="C778" i="8"/>
  <c r="D777" i="8"/>
  <c r="B777" i="8"/>
  <c r="I778" i="8"/>
  <c r="H778" i="8" s="1"/>
  <c r="J777" i="8"/>
  <c r="E776" i="8" l="1"/>
  <c r="K776" i="8"/>
  <c r="B778" i="8"/>
  <c r="C779" i="8"/>
  <c r="D778" i="8"/>
  <c r="I779" i="8"/>
  <c r="H779" i="8" s="1"/>
  <c r="J778" i="8"/>
  <c r="E777" i="8" l="1"/>
  <c r="C780" i="8"/>
  <c r="D779" i="8"/>
  <c r="B779" i="8"/>
  <c r="K777" i="8"/>
  <c r="I780" i="8"/>
  <c r="H780" i="8" s="1"/>
  <c r="J779" i="8"/>
  <c r="K778" i="8" s="1"/>
  <c r="E778" i="8" l="1"/>
  <c r="B780" i="8"/>
  <c r="C781" i="8"/>
  <c r="D780" i="8"/>
  <c r="I781" i="8"/>
  <c r="H781" i="8" s="1"/>
  <c r="J780" i="8"/>
  <c r="B781" i="8" l="1"/>
  <c r="D781" i="8"/>
  <c r="C782" i="8"/>
  <c r="E779" i="8"/>
  <c r="I782" i="8"/>
  <c r="H782" i="8" s="1"/>
  <c r="J781" i="8"/>
  <c r="K780" i="8" s="1"/>
  <c r="K779" i="8"/>
  <c r="D782" i="8" l="1"/>
  <c r="C783" i="8"/>
  <c r="B782" i="8"/>
  <c r="E780" i="8"/>
  <c r="I783" i="8"/>
  <c r="H783" i="8" s="1"/>
  <c r="J782" i="8"/>
  <c r="B783" i="8" l="1"/>
  <c r="C784" i="8"/>
  <c r="D783" i="8"/>
  <c r="E781" i="8"/>
  <c r="I784" i="8"/>
  <c r="H784" i="8" s="1"/>
  <c r="J783" i="8"/>
  <c r="K781" i="8"/>
  <c r="E782" i="8" l="1"/>
  <c r="B784" i="8"/>
  <c r="D784" i="8"/>
  <c r="C785" i="8"/>
  <c r="I785" i="8"/>
  <c r="H785" i="8" s="1"/>
  <c r="J784" i="8"/>
  <c r="K782" i="8"/>
  <c r="E783" i="8" l="1"/>
  <c r="B785" i="8"/>
  <c r="C786" i="8"/>
  <c r="D785" i="8"/>
  <c r="I786" i="8"/>
  <c r="H786" i="8" s="1"/>
  <c r="J785" i="8"/>
  <c r="K783" i="8"/>
  <c r="K784" i="8" l="1"/>
  <c r="E784" i="8"/>
  <c r="B786" i="8"/>
  <c r="D786" i="8"/>
  <c r="E785" i="8" s="1"/>
  <c r="C787" i="8"/>
  <c r="I787" i="8"/>
  <c r="H787" i="8" s="1"/>
  <c r="J786" i="8"/>
  <c r="B787" i="8" l="1"/>
  <c r="C788" i="8"/>
  <c r="D787" i="8"/>
  <c r="I788" i="8"/>
  <c r="H788" i="8" s="1"/>
  <c r="J787" i="8"/>
  <c r="K785" i="8"/>
  <c r="E786" i="8" l="1"/>
  <c r="B788" i="8"/>
  <c r="C789" i="8"/>
  <c r="D788" i="8"/>
  <c r="I789" i="8"/>
  <c r="H789" i="8" s="1"/>
  <c r="J788" i="8"/>
  <c r="K786" i="8"/>
  <c r="E787" i="8" l="1"/>
  <c r="K787" i="8"/>
  <c r="C790" i="8"/>
  <c r="B789" i="8"/>
  <c r="D789" i="8"/>
  <c r="I790" i="8"/>
  <c r="H790" i="8" s="1"/>
  <c r="J789" i="8"/>
  <c r="E788" i="8" l="1"/>
  <c r="B790" i="8"/>
  <c r="D790" i="8"/>
  <c r="C791" i="8"/>
  <c r="I791" i="8"/>
  <c r="H791" i="8" s="1"/>
  <c r="J790" i="8"/>
  <c r="K789" i="8" s="1"/>
  <c r="K788" i="8"/>
  <c r="D791" i="8" l="1"/>
  <c r="C792" i="8"/>
  <c r="B791" i="8"/>
  <c r="E789" i="8"/>
  <c r="I792" i="8"/>
  <c r="H792" i="8" s="1"/>
  <c r="J791" i="8"/>
  <c r="K790" i="8" s="1"/>
  <c r="E790" i="8" l="1"/>
  <c r="B792" i="8"/>
  <c r="D792" i="8"/>
  <c r="C793" i="8"/>
  <c r="I793" i="8"/>
  <c r="H793" i="8" s="1"/>
  <c r="J792" i="8"/>
  <c r="E791" i="8" l="1"/>
  <c r="C794" i="8"/>
  <c r="B793" i="8"/>
  <c r="D793" i="8"/>
  <c r="I794" i="8"/>
  <c r="H794" i="8" s="1"/>
  <c r="J793" i="8"/>
  <c r="K791" i="8"/>
  <c r="E792" i="8" l="1"/>
  <c r="C795" i="8"/>
  <c r="D794" i="8"/>
  <c r="B794" i="8"/>
  <c r="I795" i="8"/>
  <c r="H795" i="8" s="1"/>
  <c r="J794" i="8"/>
  <c r="K792" i="8"/>
  <c r="E793" i="8" l="1"/>
  <c r="B795" i="8"/>
  <c r="D795" i="8"/>
  <c r="C796" i="8"/>
  <c r="I796" i="8"/>
  <c r="H796" i="8" s="1"/>
  <c r="J795" i="8"/>
  <c r="K793" i="8"/>
  <c r="K794" i="8" l="1"/>
  <c r="C797" i="8"/>
  <c r="B796" i="8"/>
  <c r="D796" i="8"/>
  <c r="E794" i="8"/>
  <c r="I797" i="8"/>
  <c r="H797" i="8" s="1"/>
  <c r="J796" i="8"/>
  <c r="B797" i="8" l="1"/>
  <c r="C798" i="8"/>
  <c r="D797" i="8"/>
  <c r="E795" i="8"/>
  <c r="K795" i="8"/>
  <c r="I798" i="8"/>
  <c r="H798" i="8" s="1"/>
  <c r="J797" i="8"/>
  <c r="D798" i="8" l="1"/>
  <c r="B798" i="8"/>
  <c r="C799" i="8"/>
  <c r="E796" i="8"/>
  <c r="I799" i="8"/>
  <c r="H799" i="8" s="1"/>
  <c r="J798" i="8"/>
  <c r="K796" i="8"/>
  <c r="B799" i="8" l="1"/>
  <c r="D799" i="8"/>
  <c r="C800" i="8"/>
  <c r="E797" i="8"/>
  <c r="K797" i="8"/>
  <c r="I800" i="8"/>
  <c r="H800" i="8" s="1"/>
  <c r="J799" i="8"/>
  <c r="E798" i="8" l="1"/>
  <c r="B800" i="8"/>
  <c r="D800" i="8"/>
  <c r="C801" i="8"/>
  <c r="I801" i="8"/>
  <c r="H801" i="8" s="1"/>
  <c r="J800" i="8"/>
  <c r="K798" i="8"/>
  <c r="K799" i="8" l="1"/>
  <c r="D801" i="8"/>
  <c r="B801" i="8"/>
  <c r="C802" i="8"/>
  <c r="E799" i="8"/>
  <c r="I802" i="8"/>
  <c r="H802" i="8" s="1"/>
  <c r="J801" i="8"/>
  <c r="C803" i="8" l="1"/>
  <c r="D802" i="8"/>
  <c r="B802" i="8"/>
  <c r="E800" i="8"/>
  <c r="I803" i="8"/>
  <c r="H803" i="8" s="1"/>
  <c r="J802" i="8"/>
  <c r="K800" i="8"/>
  <c r="K801" i="8" l="1"/>
  <c r="E801" i="8"/>
  <c r="D803" i="8"/>
  <c r="B803" i="8"/>
  <c r="C804" i="8"/>
  <c r="I804" i="8"/>
  <c r="H804" i="8" s="1"/>
  <c r="J803" i="8"/>
  <c r="K802" i="8" s="1"/>
  <c r="E802" i="8" l="1"/>
  <c r="B804" i="8"/>
  <c r="C805" i="8"/>
  <c r="D804" i="8"/>
  <c r="I805" i="8"/>
  <c r="H805" i="8" s="1"/>
  <c r="J804" i="8"/>
  <c r="B805" i="8" l="1"/>
  <c r="C806" i="8"/>
  <c r="D805" i="8"/>
  <c r="E803" i="8"/>
  <c r="I806" i="8"/>
  <c r="H806" i="8" s="1"/>
  <c r="J805" i="8"/>
  <c r="K803" i="8"/>
  <c r="E804" i="8" l="1"/>
  <c r="B806" i="8"/>
  <c r="C807" i="8"/>
  <c r="D806" i="8"/>
  <c r="I807" i="8"/>
  <c r="H807" i="8" s="1"/>
  <c r="J806" i="8"/>
  <c r="K804" i="8"/>
  <c r="C808" i="8" l="1"/>
  <c r="D807" i="8"/>
  <c r="B807" i="8"/>
  <c r="E805" i="8"/>
  <c r="K805" i="8"/>
  <c r="I808" i="8"/>
  <c r="H808" i="8" s="1"/>
  <c r="J807" i="8"/>
  <c r="C809" i="8" l="1"/>
  <c r="B808" i="8"/>
  <c r="D808" i="8"/>
  <c r="E806" i="8"/>
  <c r="I809" i="8"/>
  <c r="H809" i="8" s="1"/>
  <c r="J808" i="8"/>
  <c r="K807" i="8" s="1"/>
  <c r="K806" i="8"/>
  <c r="E807" i="8" l="1"/>
  <c r="C810" i="8"/>
  <c r="B809" i="8"/>
  <c r="D809" i="8"/>
  <c r="I810" i="8"/>
  <c r="H810" i="8" s="1"/>
  <c r="J809" i="8"/>
  <c r="E808" i="8" l="1"/>
  <c r="C811" i="8"/>
  <c r="D810" i="8"/>
  <c r="B810" i="8"/>
  <c r="I811" i="8"/>
  <c r="H811" i="8" s="1"/>
  <c r="J810" i="8"/>
  <c r="K808" i="8"/>
  <c r="E809" i="8" l="1"/>
  <c r="B811" i="8"/>
  <c r="D811" i="8"/>
  <c r="C812" i="8"/>
  <c r="I812" i="8"/>
  <c r="H812" i="8" s="1"/>
  <c r="J811" i="8"/>
  <c r="K809" i="8"/>
  <c r="E810" i="8" l="1"/>
  <c r="B812" i="8"/>
  <c r="C813" i="8"/>
  <c r="D812" i="8"/>
  <c r="I813" i="8"/>
  <c r="H813" i="8" s="1"/>
  <c r="J812" i="8"/>
  <c r="K810" i="8"/>
  <c r="E811" i="8" l="1"/>
  <c r="B813" i="8"/>
  <c r="D813" i="8"/>
  <c r="C814" i="8"/>
  <c r="I814" i="8"/>
  <c r="H814" i="8" s="1"/>
  <c r="J813" i="8"/>
  <c r="K811" i="8"/>
  <c r="E812" i="8" l="1"/>
  <c r="B814" i="8"/>
  <c r="C815" i="8"/>
  <c r="D814" i="8"/>
  <c r="I815" i="8"/>
  <c r="H815" i="8" s="1"/>
  <c r="J814" i="8"/>
  <c r="K812" i="8"/>
  <c r="E813" i="8" l="1"/>
  <c r="D815" i="8"/>
  <c r="C816" i="8"/>
  <c r="B815" i="8"/>
  <c r="I816" i="8"/>
  <c r="H816" i="8" s="1"/>
  <c r="J815" i="8"/>
  <c r="K813" i="8"/>
  <c r="C817" i="8" l="1"/>
  <c r="D816" i="8"/>
  <c r="B816" i="8"/>
  <c r="E814" i="8"/>
  <c r="I817" i="8"/>
  <c r="H817" i="8" s="1"/>
  <c r="J816" i="8"/>
  <c r="K814" i="8"/>
  <c r="E815" i="8" l="1"/>
  <c r="C818" i="8"/>
  <c r="D817" i="8"/>
  <c r="B817" i="8"/>
  <c r="I818" i="8"/>
  <c r="H818" i="8" s="1"/>
  <c r="J817" i="8"/>
  <c r="K815" i="8"/>
  <c r="E816" i="8" l="1"/>
  <c r="B818" i="8"/>
  <c r="D818" i="8"/>
  <c r="C819" i="8"/>
  <c r="I819" i="8"/>
  <c r="H819" i="8" s="1"/>
  <c r="J818" i="8"/>
  <c r="K817" i="8" s="1"/>
  <c r="K816" i="8"/>
  <c r="B819" i="8" l="1"/>
  <c r="C820" i="8"/>
  <c r="D819" i="8"/>
  <c r="E817" i="8"/>
  <c r="I820" i="8"/>
  <c r="H820" i="8" s="1"/>
  <c r="J819" i="8"/>
  <c r="E818" i="8" l="1"/>
  <c r="B820" i="8"/>
  <c r="D820" i="8"/>
  <c r="C821" i="8"/>
  <c r="I821" i="8"/>
  <c r="H821" i="8" s="1"/>
  <c r="J820" i="8"/>
  <c r="K818" i="8"/>
  <c r="E819" i="8" l="1"/>
  <c r="C822" i="8"/>
  <c r="D821" i="8"/>
  <c r="B821" i="8"/>
  <c r="I822" i="8"/>
  <c r="H822" i="8" s="1"/>
  <c r="J821" i="8"/>
  <c r="K819" i="8"/>
  <c r="E820" i="8" l="1"/>
  <c r="D822" i="8"/>
  <c r="C823" i="8"/>
  <c r="B822" i="8"/>
  <c r="I823" i="8"/>
  <c r="H823" i="8" s="1"/>
  <c r="J822" i="8"/>
  <c r="K821" i="8" s="1"/>
  <c r="K820" i="8"/>
  <c r="B823" i="8" l="1"/>
  <c r="D823" i="8"/>
  <c r="C824" i="8"/>
  <c r="E821" i="8"/>
  <c r="I824" i="8"/>
  <c r="H824" i="8" s="1"/>
  <c r="J823" i="8"/>
  <c r="K822" i="8" s="1"/>
  <c r="E822" i="8" l="1"/>
  <c r="C825" i="8"/>
  <c r="D824" i="8"/>
  <c r="B824" i="8"/>
  <c r="I825" i="8"/>
  <c r="H825" i="8" s="1"/>
  <c r="J824" i="8"/>
  <c r="E823" i="8" l="1"/>
  <c r="C826" i="8"/>
  <c r="D825" i="8"/>
  <c r="B825" i="8"/>
  <c r="K823" i="8"/>
  <c r="I826" i="8"/>
  <c r="H826" i="8" s="1"/>
  <c r="J825" i="8"/>
  <c r="E824" i="8" l="1"/>
  <c r="C827" i="8"/>
  <c r="B826" i="8"/>
  <c r="D826" i="8"/>
  <c r="K824" i="8"/>
  <c r="I827" i="8"/>
  <c r="H827" i="8" s="1"/>
  <c r="J826" i="8"/>
  <c r="E825" i="8" l="1"/>
  <c r="B827" i="8"/>
  <c r="C828" i="8"/>
  <c r="D827" i="8"/>
  <c r="K825" i="8"/>
  <c r="I828" i="8"/>
  <c r="H828" i="8" s="1"/>
  <c r="J827" i="8"/>
  <c r="C829" i="8" l="1"/>
  <c r="B828" i="8"/>
  <c r="D828" i="8"/>
  <c r="E827" i="8" s="1"/>
  <c r="E826" i="8"/>
  <c r="K826" i="8"/>
  <c r="I829" i="8"/>
  <c r="H829" i="8" s="1"/>
  <c r="J828" i="8"/>
  <c r="K827" i="8" l="1"/>
  <c r="D829" i="8"/>
  <c r="B829" i="8"/>
  <c r="C830" i="8"/>
  <c r="I830" i="8"/>
  <c r="H830" i="8" s="1"/>
  <c r="J829" i="8"/>
  <c r="E828" i="8" l="1"/>
  <c r="D830" i="8"/>
  <c r="B830" i="8"/>
  <c r="C831" i="8"/>
  <c r="I831" i="8"/>
  <c r="H831" i="8" s="1"/>
  <c r="J830" i="8"/>
  <c r="K828" i="8"/>
  <c r="B831" i="8" l="1"/>
  <c r="D831" i="8"/>
  <c r="C832" i="8"/>
  <c r="E829" i="8"/>
  <c r="I832" i="8"/>
  <c r="H832" i="8" s="1"/>
  <c r="J831" i="8"/>
  <c r="K829" i="8"/>
  <c r="E830" i="8" l="1"/>
  <c r="B832" i="8"/>
  <c r="C833" i="8"/>
  <c r="D832" i="8"/>
  <c r="I833" i="8"/>
  <c r="H833" i="8" s="1"/>
  <c r="J832" i="8"/>
  <c r="K830" i="8"/>
  <c r="C834" i="8" l="1"/>
  <c r="B833" i="8"/>
  <c r="D833" i="8"/>
  <c r="K831" i="8"/>
  <c r="E831" i="8"/>
  <c r="I834" i="8"/>
  <c r="H834" i="8" s="1"/>
  <c r="J833" i="8"/>
  <c r="E832" i="8" l="1"/>
  <c r="C835" i="8"/>
  <c r="B834" i="8"/>
  <c r="D834" i="8"/>
  <c r="K832" i="8"/>
  <c r="I835" i="8"/>
  <c r="H835" i="8" s="1"/>
  <c r="J834" i="8"/>
  <c r="E833" i="8" l="1"/>
  <c r="B835" i="8"/>
  <c r="C836" i="8"/>
  <c r="D835" i="8"/>
  <c r="I836" i="8"/>
  <c r="H836" i="8" s="1"/>
  <c r="J835" i="8"/>
  <c r="K834" i="8" s="1"/>
  <c r="K833" i="8"/>
  <c r="E834" i="8" l="1"/>
  <c r="B836" i="8"/>
  <c r="D836" i="8"/>
  <c r="C837" i="8"/>
  <c r="I837" i="8"/>
  <c r="H837" i="8" s="1"/>
  <c r="J836" i="8"/>
  <c r="D837" i="8" l="1"/>
  <c r="C838" i="8"/>
  <c r="B837" i="8"/>
  <c r="E835" i="8"/>
  <c r="I838" i="8"/>
  <c r="H838" i="8" s="1"/>
  <c r="J837" i="8"/>
  <c r="K835" i="8"/>
  <c r="E836" i="8" l="1"/>
  <c r="C839" i="8"/>
  <c r="D838" i="8"/>
  <c r="B838" i="8"/>
  <c r="I839" i="8"/>
  <c r="H839" i="8" s="1"/>
  <c r="J838" i="8"/>
  <c r="K836" i="8"/>
  <c r="E837" i="8" l="1"/>
  <c r="B839" i="8"/>
  <c r="C840" i="8"/>
  <c r="D839" i="8"/>
  <c r="I840" i="8"/>
  <c r="H840" i="8" s="1"/>
  <c r="J839" i="8"/>
  <c r="K837" i="8"/>
  <c r="E838" i="8" l="1"/>
  <c r="D840" i="8"/>
  <c r="C841" i="8"/>
  <c r="B840" i="8"/>
  <c r="I841" i="8"/>
  <c r="H841" i="8" s="1"/>
  <c r="J840" i="8"/>
  <c r="K838" i="8"/>
  <c r="B841" i="8" l="1"/>
  <c r="C842" i="8"/>
  <c r="D841" i="8"/>
  <c r="E839" i="8"/>
  <c r="I842" i="8"/>
  <c r="H842" i="8" s="1"/>
  <c r="J841" i="8"/>
  <c r="K839" i="8"/>
  <c r="E840" i="8" l="1"/>
  <c r="C843" i="8"/>
  <c r="D842" i="8"/>
  <c r="B842" i="8"/>
  <c r="I843" i="8"/>
  <c r="H843" i="8" s="1"/>
  <c r="J842" i="8"/>
  <c r="K840" i="8"/>
  <c r="E841" i="8" l="1"/>
  <c r="C844" i="8"/>
  <c r="B843" i="8"/>
  <c r="D843" i="8"/>
  <c r="E842" i="8" s="1"/>
  <c r="I844" i="8"/>
  <c r="H844" i="8" s="1"/>
  <c r="J843" i="8"/>
  <c r="K842" i="8" s="1"/>
  <c r="K841" i="8"/>
  <c r="B844" i="8" l="1"/>
  <c r="C845" i="8"/>
  <c r="D844" i="8"/>
  <c r="I845" i="8"/>
  <c r="H845" i="8" s="1"/>
  <c r="J844" i="8"/>
  <c r="E843" i="8" l="1"/>
  <c r="B845" i="8"/>
  <c r="C846" i="8"/>
  <c r="D845" i="8"/>
  <c r="I846" i="8"/>
  <c r="H846" i="8" s="1"/>
  <c r="J845" i="8"/>
  <c r="K843" i="8"/>
  <c r="E844" i="8" l="1"/>
  <c r="B846" i="8"/>
  <c r="C847" i="8"/>
  <c r="D846" i="8"/>
  <c r="I847" i="8"/>
  <c r="H847" i="8" s="1"/>
  <c r="J846" i="8"/>
  <c r="K844" i="8"/>
  <c r="K845" i="8" l="1"/>
  <c r="E845" i="8"/>
  <c r="B847" i="8"/>
  <c r="C848" i="8"/>
  <c r="D847" i="8"/>
  <c r="I848" i="8"/>
  <c r="H848" i="8" s="1"/>
  <c r="J847" i="8"/>
  <c r="D848" i="8" l="1"/>
  <c r="C849" i="8"/>
  <c r="B848" i="8"/>
  <c r="E846" i="8"/>
  <c r="I849" i="8"/>
  <c r="H849" i="8" s="1"/>
  <c r="J848" i="8"/>
  <c r="K846" i="8"/>
  <c r="E847" i="8" l="1"/>
  <c r="D849" i="8"/>
  <c r="C850" i="8"/>
  <c r="B849" i="8"/>
  <c r="K847" i="8"/>
  <c r="I850" i="8"/>
  <c r="H850" i="8" s="1"/>
  <c r="J849" i="8"/>
  <c r="K848" i="8" l="1"/>
  <c r="E848" i="8"/>
  <c r="B850" i="8"/>
  <c r="C851" i="8"/>
  <c r="D850" i="8"/>
  <c r="I851" i="8"/>
  <c r="H851" i="8" s="1"/>
  <c r="J850" i="8"/>
  <c r="K849" i="8" l="1"/>
  <c r="C852" i="8"/>
  <c r="B851" i="8"/>
  <c r="D851" i="8"/>
  <c r="E849" i="8"/>
  <c r="I852" i="8"/>
  <c r="H852" i="8" s="1"/>
  <c r="J851" i="8"/>
  <c r="K850" i="8" l="1"/>
  <c r="B852" i="8"/>
  <c r="D852" i="8"/>
  <c r="C853" i="8"/>
  <c r="E850" i="8"/>
  <c r="I853" i="8"/>
  <c r="H853" i="8" s="1"/>
  <c r="J852" i="8"/>
  <c r="E851" i="8" l="1"/>
  <c r="B853" i="8"/>
  <c r="D853" i="8"/>
  <c r="C854" i="8"/>
  <c r="I854" i="8"/>
  <c r="H854" i="8" s="1"/>
  <c r="J853" i="8"/>
  <c r="K851" i="8"/>
  <c r="E852" i="8" l="1"/>
  <c r="D854" i="8"/>
  <c r="C855" i="8"/>
  <c r="B854" i="8"/>
  <c r="K852" i="8"/>
  <c r="I855" i="8"/>
  <c r="H855" i="8" s="1"/>
  <c r="J854" i="8"/>
  <c r="K853" i="8" s="1"/>
  <c r="B855" i="8" l="1"/>
  <c r="D855" i="8"/>
  <c r="C856" i="8"/>
  <c r="E853" i="8"/>
  <c r="I856" i="8"/>
  <c r="H856" i="8" s="1"/>
  <c r="J855" i="8"/>
  <c r="B856" i="8" l="1"/>
  <c r="C857" i="8"/>
  <c r="D856" i="8"/>
  <c r="E854" i="8"/>
  <c r="K854" i="8"/>
  <c r="I857" i="8"/>
  <c r="H857" i="8" s="1"/>
  <c r="J856" i="8"/>
  <c r="E855" i="8" l="1"/>
  <c r="D857" i="8"/>
  <c r="B857" i="8"/>
  <c r="C858" i="8"/>
  <c r="I858" i="8"/>
  <c r="H858" i="8" s="1"/>
  <c r="J857" i="8"/>
  <c r="K855" i="8"/>
  <c r="E856" i="8" l="1"/>
  <c r="C859" i="8"/>
  <c r="D858" i="8"/>
  <c r="B858" i="8"/>
  <c r="I859" i="8"/>
  <c r="H859" i="8" s="1"/>
  <c r="J858" i="8"/>
  <c r="K857" i="8" s="1"/>
  <c r="K856" i="8"/>
  <c r="E857" i="8" l="1"/>
  <c r="C860" i="8"/>
  <c r="B859" i="8"/>
  <c r="D859" i="8"/>
  <c r="I860" i="8"/>
  <c r="H860" i="8" s="1"/>
  <c r="J859" i="8"/>
  <c r="E858" i="8" l="1"/>
  <c r="D860" i="8"/>
  <c r="C861" i="8"/>
  <c r="B860" i="8"/>
  <c r="I861" i="8"/>
  <c r="H861" i="8" s="1"/>
  <c r="J860" i="8"/>
  <c r="K858" i="8"/>
  <c r="B861" i="8" l="1"/>
  <c r="C862" i="8"/>
  <c r="D861" i="8"/>
  <c r="E859" i="8"/>
  <c r="I862" i="8"/>
  <c r="H862" i="8" s="1"/>
  <c r="J861" i="8"/>
  <c r="K859" i="8"/>
  <c r="E860" i="8" l="1"/>
  <c r="B862" i="8"/>
  <c r="C863" i="8"/>
  <c r="D862" i="8"/>
  <c r="K860" i="8"/>
  <c r="I863" i="8"/>
  <c r="H863" i="8" s="1"/>
  <c r="J862" i="8"/>
  <c r="K861" i="8" l="1"/>
  <c r="B863" i="8"/>
  <c r="C864" i="8"/>
  <c r="D863" i="8"/>
  <c r="E861" i="8"/>
  <c r="I864" i="8"/>
  <c r="H864" i="8" s="1"/>
  <c r="J863" i="8"/>
  <c r="E862" i="8" l="1"/>
  <c r="D864" i="8"/>
  <c r="C865" i="8"/>
  <c r="B864" i="8"/>
  <c r="I865" i="8"/>
  <c r="H865" i="8" s="1"/>
  <c r="J864" i="8"/>
  <c r="K862" i="8"/>
  <c r="B865" i="8" l="1"/>
  <c r="C866" i="8"/>
  <c r="D865" i="8"/>
  <c r="E863" i="8"/>
  <c r="I866" i="8"/>
  <c r="H866" i="8" s="1"/>
  <c r="J865" i="8"/>
  <c r="K864" i="8" s="1"/>
  <c r="K863" i="8"/>
  <c r="E864" i="8" l="1"/>
  <c r="B866" i="8"/>
  <c r="C867" i="8"/>
  <c r="D866" i="8"/>
  <c r="I867" i="8"/>
  <c r="H867" i="8" s="1"/>
  <c r="J866" i="8"/>
  <c r="E865" i="8" l="1"/>
  <c r="D867" i="8"/>
  <c r="C868" i="8"/>
  <c r="B867" i="8"/>
  <c r="K865" i="8"/>
  <c r="I868" i="8"/>
  <c r="H868" i="8" s="1"/>
  <c r="J867" i="8"/>
  <c r="E866" i="8" l="1"/>
  <c r="C869" i="8"/>
  <c r="D868" i="8"/>
  <c r="B868" i="8"/>
  <c r="K866" i="8"/>
  <c r="I869" i="8"/>
  <c r="H869" i="8" s="1"/>
  <c r="J868" i="8"/>
  <c r="E867" i="8" l="1"/>
  <c r="C870" i="8"/>
  <c r="D869" i="8"/>
  <c r="B869" i="8"/>
  <c r="I870" i="8"/>
  <c r="H870" i="8" s="1"/>
  <c r="J869" i="8"/>
  <c r="K867" i="8"/>
  <c r="K868" i="8" l="1"/>
  <c r="D870" i="8"/>
  <c r="B870" i="8"/>
  <c r="C871" i="8"/>
  <c r="E868" i="8"/>
  <c r="I871" i="8"/>
  <c r="H871" i="8" s="1"/>
  <c r="J870" i="8"/>
  <c r="B871" i="8" l="1"/>
  <c r="D871" i="8"/>
  <c r="C872" i="8"/>
  <c r="K869" i="8"/>
  <c r="E869" i="8"/>
  <c r="I872" i="8"/>
  <c r="H872" i="8" s="1"/>
  <c r="J871" i="8"/>
  <c r="B872" i="8" l="1"/>
  <c r="C873" i="8"/>
  <c r="D872" i="8"/>
  <c r="E870" i="8"/>
  <c r="K870" i="8"/>
  <c r="I873" i="8"/>
  <c r="H873" i="8" s="1"/>
  <c r="J872" i="8"/>
  <c r="E871" i="8" l="1"/>
  <c r="B873" i="8"/>
  <c r="C874" i="8"/>
  <c r="D873" i="8"/>
  <c r="E872" i="8" s="1"/>
  <c r="I874" i="8"/>
  <c r="H874" i="8" s="1"/>
  <c r="J873" i="8"/>
  <c r="K871" i="8"/>
  <c r="D874" i="8" l="1"/>
  <c r="B874" i="8"/>
  <c r="C875" i="8"/>
  <c r="I875" i="8"/>
  <c r="H875" i="8" s="1"/>
  <c r="J874" i="8"/>
  <c r="K872" i="8"/>
  <c r="K873" i="8" l="1"/>
  <c r="D875" i="8"/>
  <c r="C876" i="8"/>
  <c r="B875" i="8"/>
  <c r="E873" i="8"/>
  <c r="I876" i="8"/>
  <c r="H876" i="8" s="1"/>
  <c r="J875" i="8"/>
  <c r="E874" i="8" l="1"/>
  <c r="D876" i="8"/>
  <c r="B876" i="8"/>
  <c r="C877" i="8"/>
  <c r="I877" i="8"/>
  <c r="H877" i="8" s="1"/>
  <c r="J876" i="8"/>
  <c r="K874" i="8"/>
  <c r="C878" i="8" l="1"/>
  <c r="D877" i="8"/>
  <c r="B877" i="8"/>
  <c r="E875" i="8"/>
  <c r="I878" i="8"/>
  <c r="H878" i="8" s="1"/>
  <c r="J877" i="8"/>
  <c r="K875" i="8"/>
  <c r="E876" i="8" l="1"/>
  <c r="C879" i="8"/>
  <c r="D878" i="8"/>
  <c r="B878" i="8"/>
  <c r="I879" i="8"/>
  <c r="H879" i="8" s="1"/>
  <c r="J878" i="8"/>
  <c r="K876" i="8"/>
  <c r="C880" i="8" l="1"/>
  <c r="D879" i="8"/>
  <c r="B879" i="8"/>
  <c r="E877" i="8"/>
  <c r="I880" i="8"/>
  <c r="H880" i="8" s="1"/>
  <c r="J879" i="8"/>
  <c r="K877" i="8"/>
  <c r="C881" i="8" l="1"/>
  <c r="B880" i="8"/>
  <c r="D880" i="8"/>
  <c r="E878" i="8"/>
  <c r="K878" i="8"/>
  <c r="I881" i="8"/>
  <c r="H881" i="8" s="1"/>
  <c r="J880" i="8"/>
  <c r="K879" i="8" l="1"/>
  <c r="E879" i="8"/>
  <c r="B881" i="8"/>
  <c r="C882" i="8"/>
  <c r="D881" i="8"/>
  <c r="I882" i="8"/>
  <c r="H882" i="8" s="1"/>
  <c r="J881" i="8"/>
  <c r="C883" i="8" l="1"/>
  <c r="D882" i="8"/>
  <c r="B882" i="8"/>
  <c r="E880" i="8"/>
  <c r="K880" i="8"/>
  <c r="I883" i="8"/>
  <c r="H883" i="8" s="1"/>
  <c r="J882" i="8"/>
  <c r="E881" i="8" l="1"/>
  <c r="K881" i="8"/>
  <c r="C884" i="8"/>
  <c r="D883" i="8"/>
  <c r="B883" i="8"/>
  <c r="I884" i="8"/>
  <c r="H884" i="8" s="1"/>
  <c r="J883" i="8"/>
  <c r="B884" i="8" l="1"/>
  <c r="D884" i="8"/>
  <c r="C885" i="8"/>
  <c r="E882" i="8"/>
  <c r="I885" i="8"/>
  <c r="H885" i="8" s="1"/>
  <c r="J884" i="8"/>
  <c r="K883" i="8" s="1"/>
  <c r="K882" i="8"/>
  <c r="B885" i="8" l="1"/>
  <c r="C886" i="8"/>
  <c r="D885" i="8"/>
  <c r="E883" i="8"/>
  <c r="I886" i="8"/>
  <c r="H886" i="8" s="1"/>
  <c r="J885" i="8"/>
  <c r="E884" i="8" l="1"/>
  <c r="C887" i="8"/>
  <c r="D886" i="8"/>
  <c r="B886" i="8"/>
  <c r="I887" i="8"/>
  <c r="H887" i="8" s="1"/>
  <c r="J886" i="8"/>
  <c r="K885" i="8" s="1"/>
  <c r="K884" i="8"/>
  <c r="E885" i="8" l="1"/>
  <c r="B887" i="8"/>
  <c r="D887" i="8"/>
  <c r="C888" i="8"/>
  <c r="I888" i="8"/>
  <c r="H888" i="8" s="1"/>
  <c r="J887" i="8"/>
  <c r="E886" i="8" l="1"/>
  <c r="D888" i="8"/>
  <c r="B888" i="8"/>
  <c r="C889" i="8"/>
  <c r="K886" i="8"/>
  <c r="I889" i="8"/>
  <c r="H889" i="8" s="1"/>
  <c r="J888" i="8"/>
  <c r="K887" i="8" s="1"/>
  <c r="E887" i="8" l="1"/>
  <c r="B889" i="8"/>
  <c r="D889" i="8"/>
  <c r="E888" i="8" s="1"/>
  <c r="C890" i="8"/>
  <c r="I890" i="8"/>
  <c r="H890" i="8" s="1"/>
  <c r="J889" i="8"/>
  <c r="D890" i="8" l="1"/>
  <c r="B890" i="8"/>
  <c r="C891" i="8"/>
  <c r="I891" i="8"/>
  <c r="H891" i="8" s="1"/>
  <c r="J890" i="8"/>
  <c r="K888" i="8"/>
  <c r="B891" i="8" l="1"/>
  <c r="C892" i="8"/>
  <c r="D891" i="8"/>
  <c r="E889" i="8"/>
  <c r="I892" i="8"/>
  <c r="H892" i="8" s="1"/>
  <c r="J891" i="8"/>
  <c r="K889" i="8"/>
  <c r="E890" i="8" l="1"/>
  <c r="D892" i="8"/>
  <c r="C893" i="8"/>
  <c r="B892" i="8"/>
  <c r="I893" i="8"/>
  <c r="H893" i="8" s="1"/>
  <c r="J892" i="8"/>
  <c r="K891" i="8" s="1"/>
  <c r="K890" i="8"/>
  <c r="C894" i="8" l="1"/>
  <c r="B893" i="8"/>
  <c r="D893" i="8"/>
  <c r="E891" i="8"/>
  <c r="I894" i="8"/>
  <c r="H894" i="8" s="1"/>
  <c r="J893" i="8"/>
  <c r="E892" i="8" l="1"/>
  <c r="C895" i="8"/>
  <c r="D894" i="8"/>
  <c r="B894" i="8"/>
  <c r="K892" i="8"/>
  <c r="I895" i="8"/>
  <c r="H895" i="8" s="1"/>
  <c r="J894" i="8"/>
  <c r="E893" i="8" l="1"/>
  <c r="D895" i="8"/>
  <c r="B895" i="8"/>
  <c r="C896" i="8"/>
  <c r="I896" i="8"/>
  <c r="H896" i="8" s="1"/>
  <c r="J895" i="8"/>
  <c r="K893" i="8"/>
  <c r="D896" i="8" l="1"/>
  <c r="C897" i="8"/>
  <c r="B896" i="8"/>
  <c r="E894" i="8"/>
  <c r="I897" i="8"/>
  <c r="H897" i="8" s="1"/>
  <c r="J896" i="8"/>
  <c r="K894" i="8"/>
  <c r="E895" i="8" l="1"/>
  <c r="B897" i="8"/>
  <c r="C898" i="8"/>
  <c r="D897" i="8"/>
  <c r="I898" i="8"/>
  <c r="H898" i="8" s="1"/>
  <c r="J897" i="8"/>
  <c r="K895" i="8"/>
  <c r="E896" i="8" l="1"/>
  <c r="D898" i="8"/>
  <c r="C899" i="8"/>
  <c r="B898" i="8"/>
  <c r="K896" i="8"/>
  <c r="I899" i="8"/>
  <c r="H899" i="8" s="1"/>
  <c r="J898" i="8"/>
  <c r="D899" i="8" l="1"/>
  <c r="C900" i="8"/>
  <c r="B899" i="8"/>
  <c r="E897" i="8"/>
  <c r="I900" i="8"/>
  <c r="H900" i="8" s="1"/>
  <c r="J899" i="8"/>
  <c r="K898" i="8" s="1"/>
  <c r="K897" i="8"/>
  <c r="E898" i="8" l="1"/>
  <c r="B900" i="8"/>
  <c r="C901" i="8"/>
  <c r="D900" i="8"/>
  <c r="I901" i="8"/>
  <c r="H901" i="8" s="1"/>
  <c r="J900" i="8"/>
  <c r="K899" i="8" s="1"/>
  <c r="B901" i="8" l="1"/>
  <c r="D901" i="8"/>
  <c r="C902" i="8"/>
  <c r="E899" i="8"/>
  <c r="I902" i="8"/>
  <c r="H902" i="8" s="1"/>
  <c r="J901" i="8"/>
  <c r="E900" i="8" l="1"/>
  <c r="D902" i="8"/>
  <c r="C903" i="8"/>
  <c r="B902" i="8"/>
  <c r="K900" i="8"/>
  <c r="I903" i="8"/>
  <c r="H903" i="8" s="1"/>
  <c r="J902" i="8"/>
  <c r="C904" i="8" l="1"/>
  <c r="B903" i="8"/>
  <c r="D903" i="8"/>
  <c r="E901" i="8"/>
  <c r="I904" i="8"/>
  <c r="H904" i="8" s="1"/>
  <c r="J903" i="8"/>
  <c r="K901" i="8"/>
  <c r="E902" i="8" l="1"/>
  <c r="D904" i="8"/>
  <c r="B904" i="8"/>
  <c r="C905" i="8"/>
  <c r="I905" i="8"/>
  <c r="H905" i="8" s="1"/>
  <c r="J904" i="8"/>
  <c r="K902" i="8"/>
  <c r="B905" i="8" l="1"/>
  <c r="D905" i="8"/>
  <c r="C906" i="8"/>
  <c r="K903" i="8"/>
  <c r="E903" i="8"/>
  <c r="I906" i="8"/>
  <c r="H906" i="8" s="1"/>
  <c r="J905" i="8"/>
  <c r="E904" i="8" l="1"/>
  <c r="B906" i="8"/>
  <c r="C907" i="8"/>
  <c r="D906" i="8"/>
  <c r="K904" i="8"/>
  <c r="I907" i="8"/>
  <c r="H907" i="8" s="1"/>
  <c r="J906" i="8"/>
  <c r="K905" i="8" l="1"/>
  <c r="B907" i="8"/>
  <c r="C908" i="8"/>
  <c r="D907" i="8"/>
  <c r="E905" i="8"/>
  <c r="I908" i="8"/>
  <c r="H908" i="8" s="1"/>
  <c r="J907" i="8"/>
  <c r="C909" i="8" l="1"/>
  <c r="D908" i="8"/>
  <c r="B908" i="8"/>
  <c r="E906" i="8"/>
  <c r="K906" i="8"/>
  <c r="I909" i="8"/>
  <c r="H909" i="8" s="1"/>
  <c r="J908" i="8"/>
  <c r="E907" i="8" l="1"/>
  <c r="K907" i="8"/>
  <c r="B909" i="8"/>
  <c r="D909" i="8"/>
  <c r="C910" i="8"/>
  <c r="I910" i="8"/>
  <c r="H910" i="8" s="1"/>
  <c r="J909" i="8"/>
  <c r="E908" i="8" l="1"/>
  <c r="B910" i="8"/>
  <c r="C911" i="8"/>
  <c r="D910" i="8"/>
  <c r="K908" i="8"/>
  <c r="I911" i="8"/>
  <c r="H911" i="8" s="1"/>
  <c r="J910" i="8"/>
  <c r="K909" i="8" s="1"/>
  <c r="E909" i="8" l="1"/>
  <c r="B911" i="8"/>
  <c r="C912" i="8"/>
  <c r="D911" i="8"/>
  <c r="I912" i="8"/>
  <c r="H912" i="8" s="1"/>
  <c r="J911" i="8"/>
  <c r="K910" i="8" l="1"/>
  <c r="E910" i="8"/>
  <c r="D912" i="8"/>
  <c r="C913" i="8"/>
  <c r="B912" i="8"/>
  <c r="I913" i="8"/>
  <c r="H913" i="8" s="1"/>
  <c r="J912" i="8"/>
  <c r="K911" i="8" l="1"/>
  <c r="E911" i="8"/>
  <c r="B913" i="8"/>
  <c r="D913" i="8"/>
  <c r="C914" i="8"/>
  <c r="I914" i="8"/>
  <c r="H914" i="8" s="1"/>
  <c r="J913" i="8"/>
  <c r="E912" i="8" l="1"/>
  <c r="C915" i="8"/>
  <c r="D914" i="8"/>
  <c r="B914" i="8"/>
  <c r="K912" i="8"/>
  <c r="I915" i="8"/>
  <c r="H915" i="8" s="1"/>
  <c r="J914" i="8"/>
  <c r="E913" i="8" l="1"/>
  <c r="D915" i="8"/>
  <c r="B915" i="8"/>
  <c r="C916" i="8"/>
  <c r="I916" i="8"/>
  <c r="H916" i="8" s="1"/>
  <c r="J915" i="8"/>
  <c r="K913" i="8"/>
  <c r="K914" i="8" l="1"/>
  <c r="D916" i="8"/>
  <c r="B916" i="8"/>
  <c r="C917" i="8"/>
  <c r="E914" i="8"/>
  <c r="I917" i="8"/>
  <c r="H917" i="8" s="1"/>
  <c r="J916" i="8"/>
  <c r="E915" i="8" l="1"/>
  <c r="K915" i="8"/>
  <c r="D917" i="8"/>
  <c r="B917" i="8"/>
  <c r="C918" i="8"/>
  <c r="I918" i="8"/>
  <c r="H918" i="8" s="1"/>
  <c r="J917" i="8"/>
  <c r="E916" i="8" l="1"/>
  <c r="D918" i="8"/>
  <c r="B918" i="8"/>
  <c r="C919" i="8"/>
  <c r="K916" i="8"/>
  <c r="I919" i="8"/>
  <c r="H919" i="8" s="1"/>
  <c r="J918" i="8"/>
  <c r="E917" i="8" l="1"/>
  <c r="K917" i="8"/>
  <c r="C920" i="8"/>
  <c r="B919" i="8"/>
  <c r="D919" i="8"/>
  <c r="E918" i="8" s="1"/>
  <c r="I920" i="8"/>
  <c r="H920" i="8" s="1"/>
  <c r="J919" i="8"/>
  <c r="B920" i="8" l="1"/>
  <c r="D920" i="8"/>
  <c r="C921" i="8"/>
  <c r="I921" i="8"/>
  <c r="H921" i="8" s="1"/>
  <c r="J920" i="8"/>
  <c r="K918" i="8"/>
  <c r="E919" i="8" l="1"/>
  <c r="C922" i="8"/>
  <c r="D921" i="8"/>
  <c r="B921" i="8"/>
  <c r="I922" i="8"/>
  <c r="H922" i="8" s="1"/>
  <c r="J921" i="8"/>
  <c r="K919" i="8"/>
  <c r="E920" i="8" l="1"/>
  <c r="B922" i="8"/>
  <c r="C923" i="8"/>
  <c r="D922" i="8"/>
  <c r="I923" i="8"/>
  <c r="H923" i="8" s="1"/>
  <c r="J922" i="8"/>
  <c r="K920" i="8"/>
  <c r="E921" i="8" l="1"/>
  <c r="D923" i="8"/>
  <c r="C924" i="8"/>
  <c r="B923" i="8"/>
  <c r="I924" i="8"/>
  <c r="H924" i="8" s="1"/>
  <c r="J923" i="8"/>
  <c r="K921" i="8"/>
  <c r="B924" i="8" l="1"/>
  <c r="C925" i="8"/>
  <c r="D924" i="8"/>
  <c r="E922" i="8"/>
  <c r="I925" i="8"/>
  <c r="H925" i="8" s="1"/>
  <c r="J924" i="8"/>
  <c r="K923" i="8" s="1"/>
  <c r="K922" i="8"/>
  <c r="E923" i="8" l="1"/>
  <c r="C926" i="8"/>
  <c r="D925" i="8"/>
  <c r="B925" i="8"/>
  <c r="I926" i="8"/>
  <c r="H926" i="8" s="1"/>
  <c r="J925" i="8"/>
  <c r="K924" i="8" l="1"/>
  <c r="E924" i="8"/>
  <c r="C927" i="8"/>
  <c r="B926" i="8"/>
  <c r="D926" i="8"/>
  <c r="I927" i="8"/>
  <c r="H927" i="8" s="1"/>
  <c r="J926" i="8"/>
  <c r="E925" i="8" l="1"/>
  <c r="B927" i="8"/>
  <c r="C928" i="8"/>
  <c r="D927" i="8"/>
  <c r="I928" i="8"/>
  <c r="H928" i="8" s="1"/>
  <c r="J927" i="8"/>
  <c r="K925" i="8"/>
  <c r="D928" i="8" l="1"/>
  <c r="C929" i="8"/>
  <c r="B928" i="8"/>
  <c r="E926" i="8"/>
  <c r="I929" i="8"/>
  <c r="H929" i="8" s="1"/>
  <c r="J928" i="8"/>
  <c r="K926" i="8"/>
  <c r="E927" i="8" l="1"/>
  <c r="K927" i="8"/>
  <c r="B929" i="8"/>
  <c r="C930" i="8"/>
  <c r="D929" i="8"/>
  <c r="I930" i="8"/>
  <c r="H930" i="8" s="1"/>
  <c r="J929" i="8"/>
  <c r="K928" i="8" s="1"/>
  <c r="C931" i="8" l="1"/>
  <c r="D930" i="8"/>
  <c r="B930" i="8"/>
  <c r="E928" i="8"/>
  <c r="I931" i="8"/>
  <c r="H931" i="8" s="1"/>
  <c r="J930" i="8"/>
  <c r="E929" i="8" l="1"/>
  <c r="C932" i="8"/>
  <c r="D931" i="8"/>
  <c r="B931" i="8"/>
  <c r="I932" i="8"/>
  <c r="H932" i="8" s="1"/>
  <c r="J931" i="8"/>
  <c r="K930" i="8" s="1"/>
  <c r="K929" i="8"/>
  <c r="E930" i="8" l="1"/>
  <c r="D932" i="8"/>
  <c r="B932" i="8"/>
  <c r="C933" i="8"/>
  <c r="I933" i="8"/>
  <c r="H933" i="8" s="1"/>
  <c r="J932" i="8"/>
  <c r="E931" i="8" l="1"/>
  <c r="C934" i="8"/>
  <c r="D933" i="8"/>
  <c r="B933" i="8"/>
  <c r="K931" i="8"/>
  <c r="I934" i="8"/>
  <c r="H934" i="8" s="1"/>
  <c r="J933" i="8"/>
  <c r="E932" i="8" l="1"/>
  <c r="B934" i="8"/>
  <c r="C935" i="8"/>
  <c r="D934" i="8"/>
  <c r="I935" i="8"/>
  <c r="H935" i="8" s="1"/>
  <c r="J934" i="8"/>
  <c r="K932" i="8"/>
  <c r="E933" i="8" l="1"/>
  <c r="K933" i="8"/>
  <c r="B935" i="8"/>
  <c r="C936" i="8"/>
  <c r="D935" i="8"/>
  <c r="I936" i="8"/>
  <c r="H936" i="8" s="1"/>
  <c r="J935" i="8"/>
  <c r="B936" i="8" l="1"/>
  <c r="D936" i="8"/>
  <c r="C937" i="8"/>
  <c r="E934" i="8"/>
  <c r="I937" i="8"/>
  <c r="H937" i="8" s="1"/>
  <c r="J936" i="8"/>
  <c r="K935" i="8" s="1"/>
  <c r="K934" i="8"/>
  <c r="E935" i="8" l="1"/>
  <c r="B937" i="8"/>
  <c r="C938" i="8"/>
  <c r="D937" i="8"/>
  <c r="I938" i="8"/>
  <c r="H938" i="8" s="1"/>
  <c r="J937" i="8"/>
  <c r="C939" i="8" l="1"/>
  <c r="B938" i="8"/>
  <c r="D938" i="8"/>
  <c r="E937" i="8" s="1"/>
  <c r="E936" i="8"/>
  <c r="K936" i="8"/>
  <c r="I939" i="8"/>
  <c r="H939" i="8" s="1"/>
  <c r="J938" i="8"/>
  <c r="K937" i="8" l="1"/>
  <c r="C940" i="8"/>
  <c r="D939" i="8"/>
  <c r="B939" i="8"/>
  <c r="I940" i="8"/>
  <c r="H940" i="8" s="1"/>
  <c r="J939" i="8"/>
  <c r="D940" i="8" l="1"/>
  <c r="C941" i="8"/>
  <c r="B940" i="8"/>
  <c r="E938" i="8"/>
  <c r="I941" i="8"/>
  <c r="H941" i="8" s="1"/>
  <c r="J940" i="8"/>
  <c r="K939" i="8" s="1"/>
  <c r="K938" i="8"/>
  <c r="C942" i="8" l="1"/>
  <c r="B941" i="8"/>
  <c r="D941" i="8"/>
  <c r="E939" i="8"/>
  <c r="I942" i="8"/>
  <c r="H942" i="8" s="1"/>
  <c r="J941" i="8"/>
  <c r="E940" i="8" l="1"/>
  <c r="B942" i="8"/>
  <c r="C943" i="8"/>
  <c r="D942" i="8"/>
  <c r="K940" i="8"/>
  <c r="I943" i="8"/>
  <c r="H943" i="8" s="1"/>
  <c r="J942" i="8"/>
  <c r="B943" i="8" l="1"/>
  <c r="D943" i="8"/>
  <c r="C944" i="8"/>
  <c r="E941" i="8"/>
  <c r="I944" i="8"/>
  <c r="H944" i="8" s="1"/>
  <c r="J943" i="8"/>
  <c r="K942" i="8" s="1"/>
  <c r="K941" i="8"/>
  <c r="E942" i="8" l="1"/>
  <c r="B944" i="8"/>
  <c r="C945" i="8"/>
  <c r="D944" i="8"/>
  <c r="I945" i="8"/>
  <c r="H945" i="8" s="1"/>
  <c r="J944" i="8"/>
  <c r="K943" i="8" s="1"/>
  <c r="B945" i="8" l="1"/>
  <c r="D945" i="8"/>
  <c r="C946" i="8"/>
  <c r="E943" i="8"/>
  <c r="I946" i="8"/>
  <c r="H946" i="8" s="1"/>
  <c r="J945" i="8"/>
  <c r="E944" i="8" l="1"/>
  <c r="C947" i="8"/>
  <c r="B946" i="8"/>
  <c r="D946" i="8"/>
  <c r="K944" i="8"/>
  <c r="I947" i="8"/>
  <c r="H947" i="8" s="1"/>
  <c r="J946" i="8"/>
  <c r="K945" i="8" s="1"/>
  <c r="E945" i="8" l="1"/>
  <c r="D947" i="8"/>
  <c r="B947" i="8"/>
  <c r="C948" i="8"/>
  <c r="I948" i="8"/>
  <c r="H948" i="8" s="1"/>
  <c r="J947" i="8"/>
  <c r="C949" i="8" l="1"/>
  <c r="D948" i="8"/>
  <c r="B948" i="8"/>
  <c r="E946" i="8"/>
  <c r="K946" i="8"/>
  <c r="I949" i="8"/>
  <c r="H949" i="8" s="1"/>
  <c r="J948" i="8"/>
  <c r="E947" i="8" l="1"/>
  <c r="D949" i="8"/>
  <c r="C950" i="8"/>
  <c r="B949" i="8"/>
  <c r="I950" i="8"/>
  <c r="H950" i="8" s="1"/>
  <c r="J949" i="8"/>
  <c r="K947" i="8"/>
  <c r="K948" i="8" l="1"/>
  <c r="C951" i="8"/>
  <c r="D950" i="8"/>
  <c r="B950" i="8"/>
  <c r="E948" i="8"/>
  <c r="I951" i="8"/>
  <c r="H951" i="8" s="1"/>
  <c r="J950" i="8"/>
  <c r="E949" i="8" l="1"/>
  <c r="C952" i="8"/>
  <c r="D951" i="8"/>
  <c r="B951" i="8"/>
  <c r="I952" i="8"/>
  <c r="H952" i="8" s="1"/>
  <c r="J951" i="8"/>
  <c r="K949" i="8"/>
  <c r="C953" i="8" l="1"/>
  <c r="B952" i="8"/>
  <c r="D952" i="8"/>
  <c r="E950" i="8"/>
  <c r="I953" i="8"/>
  <c r="H953" i="8" s="1"/>
  <c r="J952" i="8"/>
  <c r="K950" i="8"/>
  <c r="D953" i="8" l="1"/>
  <c r="C954" i="8"/>
  <c r="B953" i="8"/>
  <c r="E951" i="8"/>
  <c r="I954" i="8"/>
  <c r="H954" i="8" s="1"/>
  <c r="J953" i="8"/>
  <c r="K951" i="8"/>
  <c r="C955" i="8" l="1"/>
  <c r="D954" i="8"/>
  <c r="B954" i="8"/>
  <c r="E952" i="8"/>
  <c r="I955" i="8"/>
  <c r="H955" i="8" s="1"/>
  <c r="J954" i="8"/>
  <c r="K952" i="8"/>
  <c r="E953" i="8" l="1"/>
  <c r="C956" i="8"/>
  <c r="B955" i="8"/>
  <c r="D955" i="8"/>
  <c r="I956" i="8"/>
  <c r="H956" i="8" s="1"/>
  <c r="J955" i="8"/>
  <c r="K953" i="8"/>
  <c r="C957" i="8" l="1"/>
  <c r="B956" i="8"/>
  <c r="D956" i="8"/>
  <c r="E954" i="8"/>
  <c r="I957" i="8"/>
  <c r="H957" i="8" s="1"/>
  <c r="J956" i="8"/>
  <c r="K955" i="8" s="1"/>
  <c r="K954" i="8"/>
  <c r="E955" i="8" l="1"/>
  <c r="B957" i="8"/>
  <c r="C958" i="8"/>
  <c r="D957" i="8"/>
  <c r="I958" i="8"/>
  <c r="H958" i="8" s="1"/>
  <c r="J957" i="8"/>
  <c r="E956" i="8" l="1"/>
  <c r="B958" i="8"/>
  <c r="C959" i="8"/>
  <c r="D958" i="8"/>
  <c r="I959" i="8"/>
  <c r="H959" i="8" s="1"/>
  <c r="J958" i="8"/>
  <c r="K956" i="8"/>
  <c r="E957" i="8" l="1"/>
  <c r="B959" i="8"/>
  <c r="D959" i="8"/>
  <c r="C960" i="8"/>
  <c r="I960" i="8"/>
  <c r="H960" i="8" s="1"/>
  <c r="J959" i="8"/>
  <c r="K957" i="8"/>
  <c r="D960" i="8" l="1"/>
  <c r="C961" i="8"/>
  <c r="B960" i="8"/>
  <c r="E958" i="8"/>
  <c r="I961" i="8"/>
  <c r="H961" i="8" s="1"/>
  <c r="J960" i="8"/>
  <c r="K958" i="8"/>
  <c r="E959" i="8" l="1"/>
  <c r="D961" i="8"/>
  <c r="C962" i="8"/>
  <c r="B961" i="8"/>
  <c r="I962" i="8"/>
  <c r="H962" i="8" s="1"/>
  <c r="J961" i="8"/>
  <c r="K959" i="8"/>
  <c r="K960" i="8" l="1"/>
  <c r="E960" i="8"/>
  <c r="C963" i="8"/>
  <c r="B962" i="8"/>
  <c r="D962" i="8"/>
  <c r="I963" i="8"/>
  <c r="H963" i="8" s="1"/>
  <c r="J962" i="8"/>
  <c r="E961" i="8" l="1"/>
  <c r="B963" i="8"/>
  <c r="C964" i="8"/>
  <c r="D963" i="8"/>
  <c r="I964" i="8"/>
  <c r="H964" i="8" s="1"/>
  <c r="J963" i="8"/>
  <c r="K962" i="8" s="1"/>
  <c r="K961" i="8"/>
  <c r="B964" i="8" l="1"/>
  <c r="D964" i="8"/>
  <c r="C965" i="8"/>
  <c r="E962" i="8"/>
  <c r="I965" i="8"/>
  <c r="H965" i="8" s="1"/>
  <c r="J964" i="8"/>
  <c r="E963" i="8" l="1"/>
  <c r="C966" i="8"/>
  <c r="B965" i="8"/>
  <c r="D965" i="8"/>
  <c r="I966" i="8"/>
  <c r="H966" i="8" s="1"/>
  <c r="J965" i="8"/>
  <c r="K963" i="8"/>
  <c r="K964" i="8" l="1"/>
  <c r="E964" i="8"/>
  <c r="D966" i="8"/>
  <c r="B966" i="8"/>
  <c r="C967" i="8"/>
  <c r="I967" i="8"/>
  <c r="H967" i="8" s="1"/>
  <c r="J966" i="8"/>
  <c r="E965" i="8" l="1"/>
  <c r="B967" i="8"/>
  <c r="C968" i="8"/>
  <c r="D967" i="8"/>
  <c r="I968" i="8"/>
  <c r="H968" i="8" s="1"/>
  <c r="J967" i="8"/>
  <c r="K965" i="8"/>
  <c r="E966" i="8" l="1"/>
  <c r="B968" i="8"/>
  <c r="D968" i="8"/>
  <c r="C969" i="8"/>
  <c r="K966" i="8"/>
  <c r="I969" i="8"/>
  <c r="H969" i="8" s="1"/>
  <c r="J968" i="8"/>
  <c r="E967" i="8" l="1"/>
  <c r="B969" i="8"/>
  <c r="D969" i="8"/>
  <c r="C970" i="8"/>
  <c r="I970" i="8"/>
  <c r="H970" i="8" s="1"/>
  <c r="J969" i="8"/>
  <c r="K967" i="8"/>
  <c r="B970" i="8" l="1"/>
  <c r="C971" i="8"/>
  <c r="D970" i="8"/>
  <c r="E968" i="8"/>
  <c r="I971" i="8"/>
  <c r="H971" i="8" s="1"/>
  <c r="J970" i="8"/>
  <c r="K968" i="8"/>
  <c r="E969" i="8" l="1"/>
  <c r="C972" i="8"/>
  <c r="B971" i="8"/>
  <c r="D971" i="8"/>
  <c r="I972" i="8"/>
  <c r="H972" i="8" s="1"/>
  <c r="J971" i="8"/>
  <c r="K969" i="8"/>
  <c r="C973" i="8" l="1"/>
  <c r="B972" i="8"/>
  <c r="D972" i="8"/>
  <c r="E970" i="8"/>
  <c r="K970" i="8"/>
  <c r="I973" i="8"/>
  <c r="H973" i="8" s="1"/>
  <c r="J972" i="8"/>
  <c r="C974" i="8" l="1"/>
  <c r="D973" i="8"/>
  <c r="B973" i="8"/>
  <c r="E971" i="8"/>
  <c r="I974" i="8"/>
  <c r="H974" i="8" s="1"/>
  <c r="J973" i="8"/>
  <c r="K972" i="8" s="1"/>
  <c r="K971" i="8"/>
  <c r="E972" i="8" l="1"/>
  <c r="C975" i="8"/>
  <c r="D974" i="8"/>
  <c r="B974" i="8"/>
  <c r="I975" i="8"/>
  <c r="H975" i="8" s="1"/>
  <c r="J974" i="8"/>
  <c r="E973" i="8" l="1"/>
  <c r="C976" i="8"/>
  <c r="B975" i="8"/>
  <c r="D975" i="8"/>
  <c r="I976" i="8"/>
  <c r="H976" i="8" s="1"/>
  <c r="J975" i="8"/>
  <c r="K973" i="8"/>
  <c r="E974" i="8" l="1"/>
  <c r="D976" i="8"/>
  <c r="C977" i="8"/>
  <c r="B976" i="8"/>
  <c r="K974" i="8"/>
  <c r="I977" i="8"/>
  <c r="H977" i="8" s="1"/>
  <c r="J976" i="8"/>
  <c r="E975" i="8" l="1"/>
  <c r="B977" i="8"/>
  <c r="D977" i="8"/>
  <c r="C978" i="8"/>
  <c r="K975" i="8"/>
  <c r="I978" i="8"/>
  <c r="H978" i="8" s="1"/>
  <c r="J977" i="8"/>
  <c r="D978" i="8" l="1"/>
  <c r="B978" i="8"/>
  <c r="C979" i="8"/>
  <c r="E976" i="8"/>
  <c r="K976" i="8"/>
  <c r="I979" i="8"/>
  <c r="H979" i="8" s="1"/>
  <c r="J978" i="8"/>
  <c r="E977" i="8" l="1"/>
  <c r="B979" i="8"/>
  <c r="D979" i="8"/>
  <c r="C980" i="8"/>
  <c r="I980" i="8"/>
  <c r="H980" i="8" s="1"/>
  <c r="J979" i="8"/>
  <c r="K977" i="8"/>
  <c r="K978" i="8" l="1"/>
  <c r="C981" i="8"/>
  <c r="B980" i="8"/>
  <c r="D980" i="8"/>
  <c r="E978" i="8"/>
  <c r="I981" i="8"/>
  <c r="H981" i="8" s="1"/>
  <c r="J980" i="8"/>
  <c r="E979" i="8" l="1"/>
  <c r="K979" i="8"/>
  <c r="B981" i="8"/>
  <c r="C982" i="8"/>
  <c r="D981" i="8"/>
  <c r="I982" i="8"/>
  <c r="H982" i="8" s="1"/>
  <c r="J981" i="8"/>
  <c r="E980" i="8" l="1"/>
  <c r="D982" i="8"/>
  <c r="B982" i="8"/>
  <c r="C983" i="8"/>
  <c r="K980" i="8"/>
  <c r="I983" i="8"/>
  <c r="H983" i="8" s="1"/>
  <c r="J982" i="8"/>
  <c r="K981" i="8" s="1"/>
  <c r="E981" i="8" l="1"/>
  <c r="C984" i="8"/>
  <c r="D983" i="8"/>
  <c r="B983" i="8"/>
  <c r="I984" i="8"/>
  <c r="H984" i="8" s="1"/>
  <c r="J983" i="8"/>
  <c r="K982" i="8" l="1"/>
  <c r="E982" i="8"/>
  <c r="B984" i="8"/>
  <c r="C985" i="8"/>
  <c r="D984" i="8"/>
  <c r="E983" i="8" s="1"/>
  <c r="I985" i="8"/>
  <c r="H985" i="8" s="1"/>
  <c r="J984" i="8"/>
  <c r="K983" i="8" s="1"/>
  <c r="D985" i="8" l="1"/>
  <c r="C986" i="8"/>
  <c r="B985" i="8"/>
  <c r="I986" i="8"/>
  <c r="H986" i="8" s="1"/>
  <c r="J985" i="8"/>
  <c r="K984" i="8" l="1"/>
  <c r="C987" i="8"/>
  <c r="D986" i="8"/>
  <c r="B986" i="8"/>
  <c r="E984" i="8"/>
  <c r="I987" i="8"/>
  <c r="H987" i="8" s="1"/>
  <c r="J986" i="8"/>
  <c r="E985" i="8" l="1"/>
  <c r="K985" i="8"/>
  <c r="D987" i="8"/>
  <c r="C988" i="8"/>
  <c r="B987" i="8"/>
  <c r="I988" i="8"/>
  <c r="H988" i="8" s="1"/>
  <c r="J987" i="8"/>
  <c r="K986" i="8" s="1"/>
  <c r="E986" i="8" l="1"/>
  <c r="B988" i="8"/>
  <c r="C989" i="8"/>
  <c r="D988" i="8"/>
  <c r="I989" i="8"/>
  <c r="H989" i="8" s="1"/>
  <c r="J988" i="8"/>
  <c r="K987" i="8" s="1"/>
  <c r="D989" i="8" l="1"/>
  <c r="C990" i="8"/>
  <c r="B989" i="8"/>
  <c r="E987" i="8"/>
  <c r="I990" i="8"/>
  <c r="H990" i="8" s="1"/>
  <c r="J989" i="8"/>
  <c r="E988" i="8" l="1"/>
  <c r="K988" i="8"/>
  <c r="D990" i="8"/>
  <c r="B990" i="8"/>
  <c r="C991" i="8"/>
  <c r="I991" i="8"/>
  <c r="H991" i="8" s="1"/>
  <c r="J990" i="8"/>
  <c r="B991" i="8" l="1"/>
  <c r="C992" i="8"/>
  <c r="D991" i="8"/>
  <c r="E989" i="8"/>
  <c r="I992" i="8"/>
  <c r="H992" i="8" s="1"/>
  <c r="J991" i="8"/>
  <c r="K989" i="8"/>
  <c r="E990" i="8" l="1"/>
  <c r="B992" i="8"/>
  <c r="D992" i="8"/>
  <c r="E991" i="8" s="1"/>
  <c r="C993" i="8"/>
  <c r="K990" i="8"/>
  <c r="I993" i="8"/>
  <c r="H993" i="8" s="1"/>
  <c r="J992" i="8"/>
  <c r="B993" i="8" l="1"/>
  <c r="C994" i="8"/>
  <c r="D993" i="8"/>
  <c r="K991" i="8"/>
  <c r="I994" i="8"/>
  <c r="H994" i="8" s="1"/>
  <c r="J993" i="8"/>
  <c r="E992" i="8" l="1"/>
  <c r="C995" i="8"/>
  <c r="D994" i="8"/>
  <c r="B994" i="8"/>
  <c r="I995" i="8"/>
  <c r="H995" i="8" s="1"/>
  <c r="J994" i="8"/>
  <c r="K992" i="8"/>
  <c r="E993" i="8" l="1"/>
  <c r="B995" i="8"/>
  <c r="C996" i="8"/>
  <c r="D995" i="8"/>
  <c r="I996" i="8"/>
  <c r="H996" i="8" s="1"/>
  <c r="J995" i="8"/>
  <c r="K994" i="8" s="1"/>
  <c r="K993" i="8"/>
  <c r="B996" i="8" l="1"/>
  <c r="D996" i="8"/>
  <c r="C997" i="8"/>
  <c r="E994" i="8"/>
  <c r="I997" i="8"/>
  <c r="H997" i="8" s="1"/>
  <c r="J996" i="8"/>
  <c r="C998" i="8" l="1"/>
  <c r="D997" i="8"/>
  <c r="B997" i="8"/>
  <c r="E995" i="8"/>
  <c r="K995" i="8"/>
  <c r="I998" i="8"/>
  <c r="H998" i="8" s="1"/>
  <c r="J997" i="8"/>
  <c r="E996" i="8" l="1"/>
  <c r="B998" i="8"/>
  <c r="C999" i="8"/>
  <c r="D998" i="8"/>
  <c r="I999" i="8"/>
  <c r="H999" i="8" s="1"/>
  <c r="J998" i="8"/>
  <c r="K997" i="8" s="1"/>
  <c r="K996" i="8"/>
  <c r="D999" i="8" l="1"/>
  <c r="B999" i="8"/>
  <c r="C1000" i="8"/>
  <c r="E997" i="8"/>
  <c r="I1000" i="8"/>
  <c r="H1000" i="8" s="1"/>
  <c r="J999" i="8"/>
  <c r="E998" i="8" l="1"/>
  <c r="B1000" i="8"/>
  <c r="C1001" i="8"/>
  <c r="D1000" i="8"/>
  <c r="K998" i="8"/>
  <c r="I1001" i="8"/>
  <c r="H1001" i="8" s="1"/>
  <c r="J1000" i="8"/>
  <c r="E999" i="8" l="1"/>
  <c r="B1001" i="8"/>
  <c r="D1001" i="8"/>
  <c r="C1002" i="8"/>
  <c r="I1002" i="8"/>
  <c r="H1002" i="8" s="1"/>
  <c r="J1001" i="8"/>
  <c r="K999" i="8"/>
  <c r="C1003" i="8" l="1"/>
  <c r="D1002" i="8"/>
  <c r="B1002" i="8"/>
  <c r="E1000" i="8"/>
  <c r="I1003" i="8"/>
  <c r="H1003" i="8" s="1"/>
  <c r="J1002" i="8"/>
  <c r="K1001" i="8" s="1"/>
  <c r="K1000" i="8"/>
  <c r="E1001" i="8" l="1"/>
  <c r="D1003" i="8"/>
  <c r="B1003" i="8"/>
  <c r="C1004" i="8"/>
  <c r="I1004" i="8"/>
  <c r="H1004" i="8" s="1"/>
  <c r="J1003" i="8"/>
  <c r="B1004" i="8" l="1"/>
  <c r="C1005" i="8"/>
  <c r="D1004" i="8"/>
  <c r="E1002" i="8"/>
  <c r="I1005" i="8"/>
  <c r="H1005" i="8" s="1"/>
  <c r="J1004" i="8"/>
  <c r="K1002" i="8"/>
  <c r="E1003" i="8" l="1"/>
  <c r="B1005" i="8"/>
  <c r="C1006" i="8"/>
  <c r="D1005" i="8"/>
  <c r="K1003" i="8"/>
  <c r="I1006" i="8"/>
  <c r="H1006" i="8" s="1"/>
  <c r="J1005" i="8"/>
  <c r="E1004" i="8" l="1"/>
  <c r="B1006" i="8"/>
  <c r="C1007" i="8"/>
  <c r="D1006" i="8"/>
  <c r="I1007" i="8"/>
  <c r="H1007" i="8" s="1"/>
  <c r="J1006" i="8"/>
  <c r="K1004" i="8"/>
  <c r="E1005" i="8" l="1"/>
  <c r="B1007" i="8"/>
  <c r="D1007" i="8"/>
  <c r="C1008" i="8"/>
  <c r="I1008" i="8"/>
  <c r="H1008" i="8" s="1"/>
  <c r="J1007" i="8"/>
  <c r="K1005" i="8"/>
  <c r="E1006" i="8" l="1"/>
  <c r="D1008" i="8"/>
  <c r="B1008" i="8"/>
  <c r="C1009" i="8"/>
  <c r="I1009" i="8"/>
  <c r="H1009" i="8" s="1"/>
  <c r="J1008" i="8"/>
  <c r="K1007" i="8" s="1"/>
  <c r="K1006" i="8"/>
  <c r="B1009" i="8" l="1"/>
  <c r="D1009" i="8"/>
  <c r="C1010" i="8"/>
  <c r="E1007" i="8"/>
  <c r="I1010" i="8"/>
  <c r="H1010" i="8" s="1"/>
  <c r="J1009" i="8"/>
  <c r="E1008" i="8" l="1"/>
  <c r="D1010" i="8"/>
  <c r="B1010" i="8"/>
  <c r="C1011" i="8"/>
  <c r="K1008" i="8"/>
  <c r="I1011" i="8"/>
  <c r="H1011" i="8" s="1"/>
  <c r="J1010" i="8"/>
  <c r="E1009" i="8" l="1"/>
  <c r="B1011" i="8"/>
  <c r="D1011" i="8"/>
  <c r="C1012" i="8"/>
  <c r="I1012" i="8"/>
  <c r="H1012" i="8" s="1"/>
  <c r="J1011" i="8"/>
  <c r="K1009" i="8"/>
  <c r="E1010" i="8" l="1"/>
  <c r="D1012" i="8"/>
  <c r="C1013" i="8"/>
  <c r="B1012" i="8"/>
  <c r="I1013" i="8"/>
  <c r="H1013" i="8" s="1"/>
  <c r="J1012" i="8"/>
  <c r="K1011" i="8" s="1"/>
  <c r="K1010" i="8"/>
  <c r="E1011" i="8" l="1"/>
  <c r="B1013" i="8"/>
  <c r="C1014" i="8"/>
  <c r="D1013" i="8"/>
  <c r="I1014" i="8"/>
  <c r="H1014" i="8" s="1"/>
  <c r="J1013" i="8"/>
  <c r="E1012" i="8" l="1"/>
  <c r="B1014" i="8"/>
  <c r="D1014" i="8"/>
  <c r="C1015" i="8"/>
  <c r="K1012" i="8"/>
  <c r="I1015" i="8"/>
  <c r="H1015" i="8" s="1"/>
  <c r="J1014" i="8"/>
  <c r="K1013" i="8" l="1"/>
  <c r="B1015" i="8"/>
  <c r="D1015" i="8"/>
  <c r="C1016" i="8"/>
  <c r="E1013" i="8"/>
  <c r="I1016" i="8"/>
  <c r="H1016" i="8" s="1"/>
  <c r="J1015" i="8"/>
  <c r="E1014" i="8" l="1"/>
  <c r="B1016" i="8"/>
  <c r="C1017" i="8"/>
  <c r="D1016" i="8"/>
  <c r="K1014" i="8"/>
  <c r="I1017" i="8"/>
  <c r="H1017" i="8" s="1"/>
  <c r="J1016" i="8"/>
  <c r="E1015" i="8" l="1"/>
  <c r="D1017" i="8"/>
  <c r="B1017" i="8"/>
  <c r="C1018" i="8"/>
  <c r="I1018" i="8"/>
  <c r="H1018" i="8" s="1"/>
  <c r="J1017" i="8"/>
  <c r="K1016" i="8" s="1"/>
  <c r="K1015" i="8"/>
  <c r="E1016" i="8" l="1"/>
  <c r="C1019" i="8"/>
  <c r="D1018" i="8"/>
  <c r="B1018" i="8"/>
  <c r="I1019" i="8"/>
  <c r="H1019" i="8" s="1"/>
  <c r="J1018" i="8"/>
  <c r="E1017" i="8" l="1"/>
  <c r="C1020" i="8"/>
  <c r="D1019" i="8"/>
  <c r="B1019" i="8"/>
  <c r="I1020" i="8"/>
  <c r="H1020" i="8" s="1"/>
  <c r="J1019" i="8"/>
  <c r="K1017" i="8"/>
  <c r="K1018" i="8" l="1"/>
  <c r="E1018" i="8"/>
  <c r="C1021" i="8"/>
  <c r="D1020" i="8"/>
  <c r="B1020" i="8"/>
  <c r="I1021" i="8"/>
  <c r="H1021" i="8" s="1"/>
  <c r="J1020" i="8"/>
  <c r="K1019" i="8" s="1"/>
  <c r="E1019" i="8" l="1"/>
  <c r="B1021" i="8"/>
  <c r="C1022" i="8"/>
  <c r="D1021" i="8"/>
  <c r="E1020" i="8" s="1"/>
  <c r="I1022" i="8"/>
  <c r="H1022" i="8" s="1"/>
  <c r="J1021" i="8"/>
  <c r="B1022" i="8" l="1"/>
  <c r="C1023" i="8"/>
  <c r="D1022" i="8"/>
  <c r="K1020" i="8"/>
  <c r="I1023" i="8"/>
  <c r="H1023" i="8" s="1"/>
  <c r="J1022" i="8"/>
  <c r="K1021" i="8" s="1"/>
  <c r="E1021" i="8" l="1"/>
  <c r="C1024" i="8"/>
  <c r="D1023" i="8"/>
  <c r="B1023" i="8"/>
  <c r="I1024" i="8"/>
  <c r="H1024" i="8" s="1"/>
  <c r="J1023" i="8"/>
  <c r="K1022" i="8" s="1"/>
  <c r="E1022" i="8" l="1"/>
  <c r="C1025" i="8"/>
  <c r="D1024" i="8"/>
  <c r="B1024" i="8"/>
  <c r="I1025" i="8"/>
  <c r="H1025" i="8" s="1"/>
  <c r="J1024" i="8"/>
  <c r="K1023" i="8" s="1"/>
  <c r="E1023" i="8" l="1"/>
  <c r="C1026" i="8"/>
  <c r="D1025" i="8"/>
  <c r="B1025" i="8"/>
  <c r="I1026" i="8"/>
  <c r="H1026" i="8" s="1"/>
  <c r="J1025" i="8"/>
  <c r="K1024" i="8" l="1"/>
  <c r="C1027" i="8"/>
  <c r="D1026" i="8"/>
  <c r="B1026" i="8"/>
  <c r="E1024" i="8"/>
  <c r="I1027" i="8"/>
  <c r="H1027" i="8" s="1"/>
  <c r="J1026" i="8"/>
  <c r="E1025" i="8" l="1"/>
  <c r="C1028" i="8"/>
  <c r="B1027" i="8"/>
  <c r="D1027" i="8"/>
  <c r="E1026" i="8" s="1"/>
  <c r="K1025" i="8"/>
  <c r="I1028" i="8"/>
  <c r="H1028" i="8" s="1"/>
  <c r="J1027" i="8"/>
  <c r="K1026" i="8" s="1"/>
  <c r="C1029" i="8" l="1"/>
  <c r="D1028" i="8"/>
  <c r="B1028" i="8"/>
  <c r="I1029" i="8"/>
  <c r="H1029" i="8" s="1"/>
  <c r="J1028" i="8"/>
  <c r="K1027" i="8" l="1"/>
  <c r="E1027" i="8"/>
  <c r="C1030" i="8"/>
  <c r="B1029" i="8"/>
  <c r="D1029" i="8"/>
  <c r="E1028" i="8" s="1"/>
  <c r="I1030" i="8"/>
  <c r="H1030" i="8" s="1"/>
  <c r="J1029" i="8"/>
  <c r="B1030" i="8" l="1"/>
  <c r="C1031" i="8"/>
  <c r="D1030" i="8"/>
  <c r="I1031" i="8"/>
  <c r="H1031" i="8" s="1"/>
  <c r="J1030" i="8"/>
  <c r="K1028" i="8"/>
  <c r="K1029" i="8" l="1"/>
  <c r="E1029" i="8"/>
  <c r="B1031" i="8"/>
  <c r="C1032" i="8"/>
  <c r="D1031" i="8"/>
  <c r="I1032" i="8"/>
  <c r="H1032" i="8" s="1"/>
  <c r="J1031" i="8"/>
  <c r="E1030" i="8" l="1"/>
  <c r="D1032" i="8"/>
  <c r="C1033" i="8"/>
  <c r="B1032" i="8"/>
  <c r="K1030" i="8"/>
  <c r="I1033" i="8"/>
  <c r="H1033" i="8" s="1"/>
  <c r="J1032" i="8"/>
  <c r="K1031" i="8" s="1"/>
  <c r="B1033" i="8" l="1"/>
  <c r="C1034" i="8"/>
  <c r="D1033" i="8"/>
  <c r="E1031" i="8"/>
  <c r="I1034" i="8"/>
  <c r="H1034" i="8" s="1"/>
  <c r="J1033" i="8"/>
  <c r="E1032" i="8" l="1"/>
  <c r="B1034" i="8"/>
  <c r="D1034" i="8"/>
  <c r="C1035" i="8"/>
  <c r="I1035" i="8"/>
  <c r="H1035" i="8" s="1"/>
  <c r="J1034" i="8"/>
  <c r="K1032" i="8"/>
  <c r="C1036" i="8" l="1"/>
  <c r="D1035" i="8"/>
  <c r="B1035" i="8"/>
  <c r="E1033" i="8"/>
  <c r="K1033" i="8"/>
  <c r="I1036" i="8"/>
  <c r="H1036" i="8" s="1"/>
  <c r="J1035" i="8"/>
  <c r="E1034" i="8" l="1"/>
  <c r="B1036" i="8"/>
  <c r="D1036" i="8"/>
  <c r="C1037" i="8"/>
  <c r="I1037" i="8"/>
  <c r="H1037" i="8" s="1"/>
  <c r="J1036" i="8"/>
  <c r="K1034" i="8"/>
  <c r="B1037" i="8" l="1"/>
  <c r="C1038" i="8"/>
  <c r="D1037" i="8"/>
  <c r="E1035" i="8"/>
  <c r="K1035" i="8"/>
  <c r="I1038" i="8"/>
  <c r="H1038" i="8" s="1"/>
  <c r="J1037" i="8"/>
  <c r="E1036" i="8" l="1"/>
  <c r="D1038" i="8"/>
  <c r="B1038" i="8"/>
  <c r="C1039" i="8"/>
  <c r="I1039" i="8"/>
  <c r="H1039" i="8" s="1"/>
  <c r="J1038" i="8"/>
  <c r="K1036" i="8"/>
  <c r="E1037" i="8" l="1"/>
  <c r="D1039" i="8"/>
  <c r="B1039" i="8"/>
  <c r="C1040" i="8"/>
  <c r="I1040" i="8"/>
  <c r="H1040" i="8" s="1"/>
  <c r="J1039" i="8"/>
  <c r="K1037" i="8"/>
  <c r="B1040" i="8" l="1"/>
  <c r="C1041" i="8"/>
  <c r="D1040" i="8"/>
  <c r="E1038" i="8"/>
  <c r="K1038" i="8"/>
  <c r="I1041" i="8"/>
  <c r="H1041" i="8" s="1"/>
  <c r="J1040" i="8"/>
  <c r="E1039" i="8" l="1"/>
  <c r="C1042" i="8"/>
  <c r="B1041" i="8"/>
  <c r="D1041" i="8"/>
  <c r="I1042" i="8"/>
  <c r="H1042" i="8" s="1"/>
  <c r="J1041" i="8"/>
  <c r="K1040" i="8" s="1"/>
  <c r="K1039" i="8"/>
  <c r="E1040" i="8" l="1"/>
  <c r="B1042" i="8"/>
  <c r="D1042" i="8"/>
  <c r="C1043" i="8"/>
  <c r="I1043" i="8"/>
  <c r="H1043" i="8" s="1"/>
  <c r="J1042" i="8"/>
  <c r="B1043" i="8" l="1"/>
  <c r="D1043" i="8"/>
  <c r="C1044" i="8"/>
  <c r="E1041" i="8"/>
  <c r="K1041" i="8"/>
  <c r="I1044" i="8"/>
  <c r="H1044" i="8" s="1"/>
  <c r="J1043" i="8"/>
  <c r="E1042" i="8" l="1"/>
  <c r="B1044" i="8"/>
  <c r="D1044" i="8"/>
  <c r="C1045" i="8"/>
  <c r="K1042" i="8"/>
  <c r="I1045" i="8"/>
  <c r="H1045" i="8" s="1"/>
  <c r="J1044" i="8"/>
  <c r="D1045" i="8" l="1"/>
  <c r="C1046" i="8"/>
  <c r="B1045" i="8"/>
  <c r="E1043" i="8"/>
  <c r="I1046" i="8"/>
  <c r="H1046" i="8" s="1"/>
  <c r="J1045" i="8"/>
  <c r="K1043" i="8"/>
  <c r="E1044" i="8" l="1"/>
  <c r="B1046" i="8"/>
  <c r="D1046" i="8"/>
  <c r="C1047" i="8"/>
  <c r="I1047" i="8"/>
  <c r="H1047" i="8" s="1"/>
  <c r="J1046" i="8"/>
  <c r="K1044" i="8"/>
  <c r="E1045" i="8" l="1"/>
  <c r="B1047" i="8"/>
  <c r="D1047" i="8"/>
  <c r="C1048" i="8"/>
  <c r="I1048" i="8"/>
  <c r="H1048" i="8" s="1"/>
  <c r="J1047" i="8"/>
  <c r="K1045" i="8"/>
  <c r="D1048" i="8" l="1"/>
  <c r="C1049" i="8"/>
  <c r="B1048" i="8"/>
  <c r="E1046" i="8"/>
  <c r="I1049" i="8"/>
  <c r="H1049" i="8" s="1"/>
  <c r="J1048" i="8"/>
  <c r="K1046" i="8"/>
  <c r="E1047" i="8" l="1"/>
  <c r="B1049" i="8"/>
  <c r="C1050" i="8"/>
  <c r="D1049" i="8"/>
  <c r="I1050" i="8"/>
  <c r="H1050" i="8" s="1"/>
  <c r="J1049" i="8"/>
  <c r="K1047" i="8"/>
  <c r="K1048" i="8" l="1"/>
  <c r="E1048" i="8"/>
  <c r="D1050" i="8"/>
  <c r="C1051" i="8"/>
  <c r="B1050" i="8"/>
  <c r="I1051" i="8"/>
  <c r="H1051" i="8" s="1"/>
  <c r="J1050" i="8"/>
  <c r="E1049" i="8" l="1"/>
  <c r="C1052" i="8"/>
  <c r="D1051" i="8"/>
  <c r="B1051" i="8"/>
  <c r="K1049" i="8"/>
  <c r="I1052" i="8"/>
  <c r="H1052" i="8" s="1"/>
  <c r="J1051" i="8"/>
  <c r="K1050" i="8" s="1"/>
  <c r="E1050" i="8" l="1"/>
  <c r="B1052" i="8"/>
  <c r="D1052" i="8"/>
  <c r="C1053" i="8"/>
  <c r="I1053" i="8"/>
  <c r="H1053" i="8" s="1"/>
  <c r="J1052" i="8"/>
  <c r="K1051" i="8" s="1"/>
  <c r="E1051" i="8" l="1"/>
  <c r="C1054" i="8"/>
  <c r="D1053" i="8"/>
  <c r="B1053" i="8"/>
  <c r="I1054" i="8"/>
  <c r="H1054" i="8" s="1"/>
  <c r="J1053" i="8"/>
  <c r="E1052" i="8" l="1"/>
  <c r="B1054" i="8"/>
  <c r="C1055" i="8"/>
  <c r="D1054" i="8"/>
  <c r="E1053" i="8" s="1"/>
  <c r="K1052" i="8"/>
  <c r="I1055" i="8"/>
  <c r="H1055" i="8" s="1"/>
  <c r="J1054" i="8"/>
  <c r="K1053" i="8" s="1"/>
  <c r="C1056" i="8" l="1"/>
  <c r="D1055" i="8"/>
  <c r="B1055" i="8"/>
  <c r="I1056" i="8"/>
  <c r="H1056" i="8" s="1"/>
  <c r="J1055" i="8"/>
  <c r="E1054" i="8" l="1"/>
  <c r="B1056" i="8"/>
  <c r="C1057" i="8"/>
  <c r="D1056" i="8"/>
  <c r="I1057" i="8"/>
  <c r="H1057" i="8" s="1"/>
  <c r="J1056" i="8"/>
  <c r="K1054" i="8"/>
  <c r="C1058" i="8" l="1"/>
  <c r="B1057" i="8"/>
  <c r="D1057" i="8"/>
  <c r="E1055" i="8"/>
  <c r="I1058" i="8"/>
  <c r="H1058" i="8" s="1"/>
  <c r="J1057" i="8"/>
  <c r="K1056" i="8" s="1"/>
  <c r="K1055" i="8"/>
  <c r="E1056" i="8" l="1"/>
  <c r="B1058" i="8"/>
  <c r="C1059" i="8"/>
  <c r="D1058" i="8"/>
  <c r="I1059" i="8"/>
  <c r="H1059" i="8" s="1"/>
  <c r="J1058" i="8"/>
  <c r="B1059" i="8" l="1"/>
  <c r="C1060" i="8"/>
  <c r="D1059" i="8"/>
  <c r="K1057" i="8"/>
  <c r="E1057" i="8"/>
  <c r="I1060" i="8"/>
  <c r="H1060" i="8" s="1"/>
  <c r="J1059" i="8"/>
  <c r="E1058" i="8" l="1"/>
  <c r="C1061" i="8"/>
  <c r="D1060" i="8"/>
  <c r="B1060" i="8"/>
  <c r="I1061" i="8"/>
  <c r="H1061" i="8" s="1"/>
  <c r="J1060" i="8"/>
  <c r="K1058" i="8"/>
  <c r="B1061" i="8" l="1"/>
  <c r="C1062" i="8"/>
  <c r="D1061" i="8"/>
  <c r="E1059" i="8"/>
  <c r="I1062" i="8"/>
  <c r="H1062" i="8" s="1"/>
  <c r="J1061" i="8"/>
  <c r="K1059" i="8"/>
  <c r="C1063" i="8" l="1"/>
  <c r="D1062" i="8"/>
  <c r="B1062" i="8"/>
  <c r="E1060" i="8"/>
  <c r="I1063" i="8"/>
  <c r="H1063" i="8" s="1"/>
  <c r="J1062" i="8"/>
  <c r="K1061" i="8" s="1"/>
  <c r="K1060" i="8"/>
  <c r="E1061" i="8" l="1"/>
  <c r="C1064" i="8"/>
  <c r="B1063" i="8"/>
  <c r="D1063" i="8"/>
  <c r="I1064" i="8"/>
  <c r="H1064" i="8" s="1"/>
  <c r="J1063" i="8"/>
  <c r="K1062" i="8" s="1"/>
  <c r="E1062" i="8" l="1"/>
  <c r="D1064" i="8"/>
  <c r="C1065" i="8"/>
  <c r="B1064" i="8"/>
  <c r="I1065" i="8"/>
  <c r="H1065" i="8" s="1"/>
  <c r="J1064" i="8"/>
  <c r="B1065" i="8" l="1"/>
  <c r="C1066" i="8"/>
  <c r="D1065" i="8"/>
  <c r="E1063" i="8"/>
  <c r="I1066" i="8"/>
  <c r="H1066" i="8" s="1"/>
  <c r="J1065" i="8"/>
  <c r="K1063" i="8"/>
  <c r="E1064" i="8" l="1"/>
  <c r="D1066" i="8"/>
  <c r="C1067" i="8"/>
  <c r="B1066" i="8"/>
  <c r="K1064" i="8"/>
  <c r="I1067" i="8"/>
  <c r="H1067" i="8" s="1"/>
  <c r="J1066" i="8"/>
  <c r="K1065" i="8" l="1"/>
  <c r="C1068" i="8"/>
  <c r="B1067" i="8"/>
  <c r="D1067" i="8"/>
  <c r="E1065" i="8"/>
  <c r="I1068" i="8"/>
  <c r="H1068" i="8" s="1"/>
  <c r="J1067" i="8"/>
  <c r="E1066" i="8" l="1"/>
  <c r="D1068" i="8"/>
  <c r="C1069" i="8"/>
  <c r="B1068" i="8"/>
  <c r="K1066" i="8"/>
  <c r="I1069" i="8"/>
  <c r="H1069" i="8" s="1"/>
  <c r="J1068" i="8"/>
  <c r="K1067" i="8" s="1"/>
  <c r="B1069" i="8" l="1"/>
  <c r="D1069" i="8"/>
  <c r="C1070" i="8"/>
  <c r="E1067" i="8"/>
  <c r="I1070" i="8"/>
  <c r="H1070" i="8" s="1"/>
  <c r="J1069" i="8"/>
  <c r="K1068" i="8" s="1"/>
  <c r="E1068" i="8" l="1"/>
  <c r="B1070" i="8"/>
  <c r="D1070" i="8"/>
  <c r="C1071" i="8"/>
  <c r="I1071" i="8"/>
  <c r="H1071" i="8" s="1"/>
  <c r="J1070" i="8"/>
  <c r="E1069" i="8" l="1"/>
  <c r="B1071" i="8"/>
  <c r="C1072" i="8"/>
  <c r="D1071" i="8"/>
  <c r="K1069" i="8"/>
  <c r="I1072" i="8"/>
  <c r="H1072" i="8" s="1"/>
  <c r="J1071" i="8"/>
  <c r="B1072" i="8" l="1"/>
  <c r="D1072" i="8"/>
  <c r="C1073" i="8"/>
  <c r="E1070" i="8"/>
  <c r="I1073" i="8"/>
  <c r="H1073" i="8" s="1"/>
  <c r="J1072" i="8"/>
  <c r="K1070" i="8"/>
  <c r="B1073" i="8" l="1"/>
  <c r="C1074" i="8"/>
  <c r="D1073" i="8"/>
  <c r="E1071" i="8"/>
  <c r="I1074" i="8"/>
  <c r="H1074" i="8" s="1"/>
  <c r="J1073" i="8"/>
  <c r="K1072" i="8" s="1"/>
  <c r="K1071" i="8"/>
  <c r="D1074" i="8" l="1"/>
  <c r="C1075" i="8"/>
  <c r="B1074" i="8"/>
  <c r="E1072" i="8"/>
  <c r="I1075" i="8"/>
  <c r="H1075" i="8" s="1"/>
  <c r="J1074" i="8"/>
  <c r="E1073" i="8" l="1"/>
  <c r="B1075" i="8"/>
  <c r="C1076" i="8"/>
  <c r="D1075" i="8"/>
  <c r="K1073" i="8"/>
  <c r="I1076" i="8"/>
  <c r="H1076" i="8" s="1"/>
  <c r="J1075" i="8"/>
  <c r="E1074" i="8" l="1"/>
  <c r="B1076" i="8"/>
  <c r="D1076" i="8"/>
  <c r="C1077" i="8"/>
  <c r="K1074" i="8"/>
  <c r="I1077" i="8"/>
  <c r="H1077" i="8" s="1"/>
  <c r="J1076" i="8"/>
  <c r="B1077" i="8" l="1"/>
  <c r="C1078" i="8"/>
  <c r="D1077" i="8"/>
  <c r="E1075" i="8"/>
  <c r="I1078" i="8"/>
  <c r="H1078" i="8" s="1"/>
  <c r="J1077" i="8"/>
  <c r="K1075" i="8"/>
  <c r="E1076" i="8" l="1"/>
  <c r="D1078" i="8"/>
  <c r="C1079" i="8"/>
  <c r="B1078" i="8"/>
  <c r="I1079" i="8"/>
  <c r="H1079" i="8" s="1"/>
  <c r="J1078" i="8"/>
  <c r="K1077" i="8" s="1"/>
  <c r="K1076" i="8"/>
  <c r="C1080" i="8" l="1"/>
  <c r="D1079" i="8"/>
  <c r="B1079" i="8"/>
  <c r="E1077" i="8"/>
  <c r="I1080" i="8"/>
  <c r="H1080" i="8" s="1"/>
  <c r="J1079" i="8"/>
  <c r="E1078" i="8" l="1"/>
  <c r="D1080" i="8"/>
  <c r="B1080" i="8"/>
  <c r="C1081" i="8"/>
  <c r="K1078" i="8"/>
  <c r="I1081" i="8"/>
  <c r="H1081" i="8" s="1"/>
  <c r="J1080" i="8"/>
  <c r="K1079" i="8" s="1"/>
  <c r="C1082" i="8" l="1"/>
  <c r="B1081" i="8"/>
  <c r="D1081" i="8"/>
  <c r="E1080" i="8" s="1"/>
  <c r="E1079" i="8"/>
  <c r="I1082" i="8"/>
  <c r="H1082" i="8" s="1"/>
  <c r="J1081" i="8"/>
  <c r="C1083" i="8" l="1"/>
  <c r="D1082" i="8"/>
  <c r="B1082" i="8"/>
  <c r="K1080" i="8"/>
  <c r="I1083" i="8"/>
  <c r="H1083" i="8" s="1"/>
  <c r="J1082" i="8"/>
  <c r="B1083" i="8" l="1"/>
  <c r="C1084" i="8"/>
  <c r="D1083" i="8"/>
  <c r="E1081" i="8"/>
  <c r="I1084" i="8"/>
  <c r="H1084" i="8" s="1"/>
  <c r="J1083" i="8"/>
  <c r="K1081" i="8"/>
  <c r="D1084" i="8" l="1"/>
  <c r="C1085" i="8"/>
  <c r="B1084" i="8"/>
  <c r="E1082" i="8"/>
  <c r="I1085" i="8"/>
  <c r="H1085" i="8" s="1"/>
  <c r="J1084" i="8"/>
  <c r="K1082" i="8"/>
  <c r="E1083" i="8" l="1"/>
  <c r="B1085" i="8"/>
  <c r="D1085" i="8"/>
  <c r="C1086" i="8"/>
  <c r="K1083" i="8"/>
  <c r="I1086" i="8"/>
  <c r="H1086" i="8" s="1"/>
  <c r="J1085" i="8"/>
  <c r="C1087" i="8" l="1"/>
  <c r="B1086" i="8"/>
  <c r="D1086" i="8"/>
  <c r="E1084" i="8"/>
  <c r="I1087" i="8"/>
  <c r="H1087" i="8" s="1"/>
  <c r="J1086" i="8"/>
  <c r="K1084" i="8"/>
  <c r="E1085" i="8" l="1"/>
  <c r="C1088" i="8"/>
  <c r="B1087" i="8"/>
  <c r="D1087" i="8"/>
  <c r="I1088" i="8"/>
  <c r="H1088" i="8" s="1"/>
  <c r="J1087" i="8"/>
  <c r="K1086" i="8" s="1"/>
  <c r="K1085" i="8"/>
  <c r="C1089" i="8" l="1"/>
  <c r="D1088" i="8"/>
  <c r="B1088" i="8"/>
  <c r="E1086" i="8"/>
  <c r="I1089" i="8"/>
  <c r="H1089" i="8" s="1"/>
  <c r="J1088" i="8"/>
  <c r="C1090" i="8" l="1"/>
  <c r="D1089" i="8"/>
  <c r="B1089" i="8"/>
  <c r="E1087" i="8"/>
  <c r="I1090" i="8"/>
  <c r="H1090" i="8" s="1"/>
  <c r="J1089" i="8"/>
  <c r="K1088" i="8" s="1"/>
  <c r="K1087" i="8"/>
  <c r="D1090" i="8" l="1"/>
  <c r="B1090" i="8"/>
  <c r="C1091" i="8"/>
  <c r="E1088" i="8"/>
  <c r="I1091" i="8"/>
  <c r="H1091" i="8" s="1"/>
  <c r="J1090" i="8"/>
  <c r="C1092" i="8" l="1"/>
  <c r="D1091" i="8"/>
  <c r="B1091" i="8"/>
  <c r="E1089" i="8"/>
  <c r="K1089" i="8"/>
  <c r="I1092" i="8"/>
  <c r="H1092" i="8" s="1"/>
  <c r="J1091" i="8"/>
  <c r="B1092" i="8" l="1"/>
  <c r="D1092" i="8"/>
  <c r="C1093" i="8"/>
  <c r="E1090" i="8"/>
  <c r="I1093" i="8"/>
  <c r="H1093" i="8" s="1"/>
  <c r="J1092" i="8"/>
  <c r="K1091" i="8" s="1"/>
  <c r="K1090" i="8"/>
  <c r="E1091" i="8" l="1"/>
  <c r="C1094" i="8"/>
  <c r="B1093" i="8"/>
  <c r="D1093" i="8"/>
  <c r="I1094" i="8"/>
  <c r="H1094" i="8" s="1"/>
  <c r="J1093" i="8"/>
  <c r="K1092" i="8" s="1"/>
  <c r="E1092" i="8" l="1"/>
  <c r="B1094" i="8"/>
  <c r="D1094" i="8"/>
  <c r="C1095" i="8"/>
  <c r="I1095" i="8"/>
  <c r="H1095" i="8" s="1"/>
  <c r="J1094" i="8"/>
  <c r="K1093" i="8" s="1"/>
  <c r="E1093" i="8" l="1"/>
  <c r="C1096" i="8"/>
  <c r="D1095" i="8"/>
  <c r="B1095" i="8"/>
  <c r="I1096" i="8"/>
  <c r="H1096" i="8" s="1"/>
  <c r="J1095" i="8"/>
  <c r="E1094" i="8" l="1"/>
  <c r="C1097" i="8"/>
  <c r="D1096" i="8"/>
  <c r="B1096" i="8"/>
  <c r="I1097" i="8"/>
  <c r="H1097" i="8" s="1"/>
  <c r="J1096" i="8"/>
  <c r="K1094" i="8"/>
  <c r="E1095" i="8" l="1"/>
  <c r="D1097" i="8"/>
  <c r="B1097" i="8"/>
  <c r="C1098" i="8"/>
  <c r="K1095" i="8"/>
  <c r="I1098" i="8"/>
  <c r="H1098" i="8" s="1"/>
  <c r="J1097" i="8"/>
  <c r="E1096" i="8" l="1"/>
  <c r="C1099" i="8"/>
  <c r="B1098" i="8"/>
  <c r="D1098" i="8"/>
  <c r="I1099" i="8"/>
  <c r="H1099" i="8" s="1"/>
  <c r="J1098" i="8"/>
  <c r="K1096" i="8"/>
  <c r="E1097" i="8" l="1"/>
  <c r="D1099" i="8"/>
  <c r="B1099" i="8"/>
  <c r="C1100" i="8"/>
  <c r="I1100" i="8"/>
  <c r="H1100" i="8" s="1"/>
  <c r="J1099" i="8"/>
  <c r="K1097" i="8"/>
  <c r="C1101" i="8" l="1"/>
  <c r="B1100" i="8"/>
  <c r="D1100" i="8"/>
  <c r="E1098" i="8"/>
  <c r="I1101" i="8"/>
  <c r="H1101" i="8" s="1"/>
  <c r="J1100" i="8"/>
  <c r="K1098" i="8"/>
  <c r="E1099" i="8" l="1"/>
  <c r="B1101" i="8"/>
  <c r="C1102" i="8"/>
  <c r="D1101" i="8"/>
  <c r="I1102" i="8"/>
  <c r="H1102" i="8" s="1"/>
  <c r="J1101" i="8"/>
  <c r="K1099" i="8"/>
  <c r="E1100" i="8" l="1"/>
  <c r="B1102" i="8"/>
  <c r="C1103" i="8"/>
  <c r="D1102" i="8"/>
  <c r="I1103" i="8"/>
  <c r="H1103" i="8" s="1"/>
  <c r="J1102" i="8"/>
  <c r="K1100" i="8"/>
  <c r="D1103" i="8" l="1"/>
  <c r="B1103" i="8"/>
  <c r="C1104" i="8"/>
  <c r="E1101" i="8"/>
  <c r="K1101" i="8"/>
  <c r="I1104" i="8"/>
  <c r="H1104" i="8" s="1"/>
  <c r="J1103" i="8"/>
  <c r="E1102" i="8" l="1"/>
  <c r="B1104" i="8"/>
  <c r="C1105" i="8"/>
  <c r="D1104" i="8"/>
  <c r="I1105" i="8"/>
  <c r="H1105" i="8" s="1"/>
  <c r="J1104" i="8"/>
  <c r="K1102" i="8"/>
  <c r="C1106" i="8" l="1"/>
  <c r="B1105" i="8"/>
  <c r="D1105" i="8"/>
  <c r="E1103" i="8"/>
  <c r="I1106" i="8"/>
  <c r="H1106" i="8" s="1"/>
  <c r="J1105" i="8"/>
  <c r="K1103" i="8"/>
  <c r="K1104" i="8" l="1"/>
  <c r="D1106" i="8"/>
  <c r="C1107" i="8"/>
  <c r="B1106" i="8"/>
  <c r="E1104" i="8"/>
  <c r="I1107" i="8"/>
  <c r="H1107" i="8" s="1"/>
  <c r="J1106" i="8"/>
  <c r="E1105" i="8" l="1"/>
  <c r="D1107" i="8"/>
  <c r="B1107" i="8"/>
  <c r="C1108" i="8"/>
  <c r="I1108" i="8"/>
  <c r="H1108" i="8" s="1"/>
  <c r="J1107" i="8"/>
  <c r="K1105" i="8"/>
  <c r="D1108" i="8" l="1"/>
  <c r="B1108" i="8"/>
  <c r="C1109" i="8"/>
  <c r="K1106" i="8"/>
  <c r="E1106" i="8"/>
  <c r="I1109" i="8"/>
  <c r="H1109" i="8" s="1"/>
  <c r="J1108" i="8"/>
  <c r="E1107" i="8" l="1"/>
  <c r="K1107" i="8"/>
  <c r="D1109" i="8"/>
  <c r="B1109" i="8"/>
  <c r="C1110" i="8"/>
  <c r="I1110" i="8"/>
  <c r="H1110" i="8" s="1"/>
  <c r="J1109" i="8"/>
  <c r="E1108" i="8" l="1"/>
  <c r="B1110" i="8"/>
  <c r="C1111" i="8"/>
  <c r="D1110" i="8"/>
  <c r="K1108" i="8"/>
  <c r="I1111" i="8"/>
  <c r="H1111" i="8" s="1"/>
  <c r="J1110" i="8"/>
  <c r="K1109" i="8" s="1"/>
  <c r="D1111" i="8" l="1"/>
  <c r="C1112" i="8"/>
  <c r="B1111" i="8"/>
  <c r="E1109" i="8"/>
  <c r="I1112" i="8"/>
  <c r="H1112" i="8" s="1"/>
  <c r="J1111" i="8"/>
  <c r="E1110" i="8" l="1"/>
  <c r="B1112" i="8"/>
  <c r="C1113" i="8"/>
  <c r="D1112" i="8"/>
  <c r="I1113" i="8"/>
  <c r="H1113" i="8" s="1"/>
  <c r="J1112" i="8"/>
  <c r="K1111" i="8" s="1"/>
  <c r="K1110" i="8"/>
  <c r="C1114" i="8" l="1"/>
  <c r="D1113" i="8"/>
  <c r="B1113" i="8"/>
  <c r="E1111" i="8"/>
  <c r="I1114" i="8"/>
  <c r="H1114" i="8" s="1"/>
  <c r="J1113" i="8"/>
  <c r="K1112" i="8" s="1"/>
  <c r="E1112" i="8" l="1"/>
  <c r="B1114" i="8"/>
  <c r="C1115" i="8"/>
  <c r="D1114" i="8"/>
  <c r="I1115" i="8"/>
  <c r="H1115" i="8" s="1"/>
  <c r="J1114" i="8"/>
  <c r="D1115" i="8" l="1"/>
  <c r="B1115" i="8"/>
  <c r="C1116" i="8"/>
  <c r="E1113" i="8"/>
  <c r="K1113" i="8"/>
  <c r="I1116" i="8"/>
  <c r="H1116" i="8" s="1"/>
  <c r="J1115" i="8"/>
  <c r="E1114" i="8" l="1"/>
  <c r="K1114" i="8"/>
  <c r="B1116" i="8"/>
  <c r="C1117" i="8"/>
  <c r="D1116" i="8"/>
  <c r="I1117" i="8"/>
  <c r="H1117" i="8" s="1"/>
  <c r="J1116" i="8"/>
  <c r="K1115" i="8" s="1"/>
  <c r="B1117" i="8" l="1"/>
  <c r="D1117" i="8"/>
  <c r="C1118" i="8"/>
  <c r="E1115" i="8"/>
  <c r="I1118" i="8"/>
  <c r="H1118" i="8" s="1"/>
  <c r="J1117" i="8"/>
  <c r="K1116" i="8" s="1"/>
  <c r="E1116" i="8" l="1"/>
  <c r="C1119" i="8"/>
  <c r="D1118" i="8"/>
  <c r="B1118" i="8"/>
  <c r="I1119" i="8"/>
  <c r="H1119" i="8" s="1"/>
  <c r="J1118" i="8"/>
  <c r="E1117" i="8" l="1"/>
  <c r="D1119" i="8"/>
  <c r="B1119" i="8"/>
  <c r="C1120" i="8"/>
  <c r="K1117" i="8"/>
  <c r="I1120" i="8"/>
  <c r="H1120" i="8" s="1"/>
  <c r="J1119" i="8"/>
  <c r="E1118" i="8" l="1"/>
  <c r="D1120" i="8"/>
  <c r="B1120" i="8"/>
  <c r="C1121" i="8"/>
  <c r="I1121" i="8"/>
  <c r="H1121" i="8" s="1"/>
  <c r="J1120" i="8"/>
  <c r="K1118" i="8"/>
  <c r="K1119" i="8" l="1"/>
  <c r="B1121" i="8"/>
  <c r="D1121" i="8"/>
  <c r="C1122" i="8"/>
  <c r="E1119" i="8"/>
  <c r="I1122" i="8"/>
  <c r="H1122" i="8" s="1"/>
  <c r="J1121" i="8"/>
  <c r="K1120" i="8" s="1"/>
  <c r="D1122" i="8" l="1"/>
  <c r="B1122" i="8"/>
  <c r="C1123" i="8"/>
  <c r="E1120" i="8"/>
  <c r="I1123" i="8"/>
  <c r="H1123" i="8" s="1"/>
  <c r="J1122" i="8"/>
  <c r="E1121" i="8" l="1"/>
  <c r="D1123" i="8"/>
  <c r="B1123" i="8"/>
  <c r="C1124" i="8"/>
  <c r="I1124" i="8"/>
  <c r="H1124" i="8" s="1"/>
  <c r="J1123" i="8"/>
  <c r="K1122" i="8" s="1"/>
  <c r="K1121" i="8"/>
  <c r="E1122" i="8" l="1"/>
  <c r="B1124" i="8"/>
  <c r="C1125" i="8"/>
  <c r="D1124" i="8"/>
  <c r="I1125" i="8"/>
  <c r="H1125" i="8" s="1"/>
  <c r="J1124" i="8"/>
  <c r="K1123" i="8" s="1"/>
  <c r="E1123" i="8" l="1"/>
  <c r="C1126" i="8"/>
  <c r="D1125" i="8"/>
  <c r="B1125" i="8"/>
  <c r="I1126" i="8"/>
  <c r="H1126" i="8" s="1"/>
  <c r="J1125" i="8"/>
  <c r="E1124" i="8" l="1"/>
  <c r="C1127" i="8"/>
  <c r="D1126" i="8"/>
  <c r="B1126" i="8"/>
  <c r="I1127" i="8"/>
  <c r="H1127" i="8" s="1"/>
  <c r="J1126" i="8"/>
  <c r="K1125" i="8" s="1"/>
  <c r="K1124" i="8"/>
  <c r="C1128" i="8" l="1"/>
  <c r="D1127" i="8"/>
  <c r="B1127" i="8"/>
  <c r="E1125" i="8"/>
  <c r="I1128" i="8"/>
  <c r="H1128" i="8" s="1"/>
  <c r="J1127" i="8"/>
  <c r="E1126" i="8" l="1"/>
  <c r="C1129" i="8"/>
  <c r="D1128" i="8"/>
  <c r="B1128" i="8"/>
  <c r="I1129" i="8"/>
  <c r="H1129" i="8" s="1"/>
  <c r="J1128" i="8"/>
  <c r="K1126" i="8"/>
  <c r="E1127" i="8" l="1"/>
  <c r="K1127" i="8"/>
  <c r="B1129" i="8"/>
  <c r="D1129" i="8"/>
  <c r="C1130" i="8"/>
  <c r="I1130" i="8"/>
  <c r="H1130" i="8" s="1"/>
  <c r="J1129" i="8"/>
  <c r="C1131" i="8" l="1"/>
  <c r="B1130" i="8"/>
  <c r="D1130" i="8"/>
  <c r="E1129" i="8" s="1"/>
  <c r="E1128" i="8"/>
  <c r="K1128" i="8"/>
  <c r="I1131" i="8"/>
  <c r="H1131" i="8" s="1"/>
  <c r="J1130" i="8"/>
  <c r="K1129" i="8" l="1"/>
  <c r="B1131" i="8"/>
  <c r="C1132" i="8"/>
  <c r="D1131" i="8"/>
  <c r="E1130" i="8" s="1"/>
  <c r="I1132" i="8"/>
  <c r="H1132" i="8" s="1"/>
  <c r="J1131" i="8"/>
  <c r="B1132" i="8" l="1"/>
  <c r="C1133" i="8"/>
  <c r="D1132" i="8"/>
  <c r="I1133" i="8"/>
  <c r="H1133" i="8" s="1"/>
  <c r="J1132" i="8"/>
  <c r="K1131" i="8" s="1"/>
  <c r="K1130" i="8"/>
  <c r="E1131" i="8" l="1"/>
  <c r="B1133" i="8"/>
  <c r="D1133" i="8"/>
  <c r="C1134" i="8"/>
  <c r="I1134" i="8"/>
  <c r="H1134" i="8" s="1"/>
  <c r="J1133" i="8"/>
  <c r="E1132" i="8" l="1"/>
  <c r="D1134" i="8"/>
  <c r="C1135" i="8"/>
  <c r="B1134" i="8"/>
  <c r="I1135" i="8"/>
  <c r="H1135" i="8" s="1"/>
  <c r="J1134" i="8"/>
  <c r="K1133" i="8" s="1"/>
  <c r="K1132" i="8"/>
  <c r="C1136" i="8" l="1"/>
  <c r="B1135" i="8"/>
  <c r="D1135" i="8"/>
  <c r="E1133" i="8"/>
  <c r="I1136" i="8"/>
  <c r="H1136" i="8" s="1"/>
  <c r="J1135" i="8"/>
  <c r="E1134" i="8" l="1"/>
  <c r="C1137" i="8"/>
  <c r="D1136" i="8"/>
  <c r="B1136" i="8"/>
  <c r="I1137" i="8"/>
  <c r="H1137" i="8" s="1"/>
  <c r="J1136" i="8"/>
  <c r="K1134" i="8"/>
  <c r="D1137" i="8" l="1"/>
  <c r="C1138" i="8"/>
  <c r="B1137" i="8"/>
  <c r="E1135" i="8"/>
  <c r="I1138" i="8"/>
  <c r="H1138" i="8" s="1"/>
  <c r="J1137" i="8"/>
  <c r="K1135" i="8"/>
  <c r="E1136" i="8" l="1"/>
  <c r="D1138" i="8"/>
  <c r="C1139" i="8"/>
  <c r="B1138" i="8"/>
  <c r="I1139" i="8"/>
  <c r="H1139" i="8" s="1"/>
  <c r="J1138" i="8"/>
  <c r="K1136" i="8"/>
  <c r="C1140" i="8" l="1"/>
  <c r="B1139" i="8"/>
  <c r="D1139" i="8"/>
  <c r="E1137" i="8"/>
  <c r="I1140" i="8"/>
  <c r="H1140" i="8" s="1"/>
  <c r="J1139" i="8"/>
  <c r="K1138" i="8" s="1"/>
  <c r="K1137" i="8"/>
  <c r="E1138" i="8" l="1"/>
  <c r="B1140" i="8"/>
  <c r="C1141" i="8"/>
  <c r="D1140" i="8"/>
  <c r="I1141" i="8"/>
  <c r="H1141" i="8" s="1"/>
  <c r="J1140" i="8"/>
  <c r="K1139" i="8" s="1"/>
  <c r="C1142" i="8" l="1"/>
  <c r="B1141" i="8"/>
  <c r="D1141" i="8"/>
  <c r="E1139" i="8"/>
  <c r="I1142" i="8"/>
  <c r="H1142" i="8" s="1"/>
  <c r="J1141" i="8"/>
  <c r="C1143" i="8" l="1"/>
  <c r="D1142" i="8"/>
  <c r="B1142" i="8"/>
  <c r="E1140" i="8"/>
  <c r="K1140" i="8"/>
  <c r="I1143" i="8"/>
  <c r="H1143" i="8" s="1"/>
  <c r="J1142" i="8"/>
  <c r="E1141" i="8" l="1"/>
  <c r="K1141" i="8"/>
  <c r="D1143" i="8"/>
  <c r="B1143" i="8"/>
  <c r="C1144" i="8"/>
  <c r="I1144" i="8"/>
  <c r="H1144" i="8" s="1"/>
  <c r="J1143" i="8"/>
  <c r="K1142" i="8" l="1"/>
  <c r="C1145" i="8"/>
  <c r="D1144" i="8"/>
  <c r="B1144" i="8"/>
  <c r="E1142" i="8"/>
  <c r="I1145" i="8"/>
  <c r="H1145" i="8" s="1"/>
  <c r="J1144" i="8"/>
  <c r="B1145" i="8" l="1"/>
  <c r="C1146" i="8"/>
  <c r="D1145" i="8"/>
  <c r="E1143" i="8"/>
  <c r="K1143" i="8"/>
  <c r="I1146" i="8"/>
  <c r="H1146" i="8" s="1"/>
  <c r="J1145" i="8"/>
  <c r="K1144" i="8" s="1"/>
  <c r="B1146" i="8" l="1"/>
  <c r="D1146" i="8"/>
  <c r="C1147" i="8"/>
  <c r="E1144" i="8"/>
  <c r="I1147" i="8"/>
  <c r="H1147" i="8" s="1"/>
  <c r="J1146" i="8"/>
  <c r="E1145" i="8" l="1"/>
  <c r="D1147" i="8"/>
  <c r="C1148" i="8"/>
  <c r="B1147" i="8"/>
  <c r="I1148" i="8"/>
  <c r="H1148" i="8" s="1"/>
  <c r="J1147" i="8"/>
  <c r="K1145" i="8"/>
  <c r="E1146" i="8" l="1"/>
  <c r="B1148" i="8"/>
  <c r="C1149" i="8"/>
  <c r="D1148" i="8"/>
  <c r="K1146" i="8"/>
  <c r="I1149" i="8"/>
  <c r="H1149" i="8" s="1"/>
  <c r="J1148" i="8"/>
  <c r="E1147" i="8" l="1"/>
  <c r="D1149" i="8"/>
  <c r="C1150" i="8"/>
  <c r="B1149" i="8"/>
  <c r="I1150" i="8"/>
  <c r="H1150" i="8" s="1"/>
  <c r="J1149" i="8"/>
  <c r="K1147" i="8"/>
  <c r="D1150" i="8" l="1"/>
  <c r="B1150" i="8"/>
  <c r="C1151" i="8"/>
  <c r="E1148" i="8"/>
  <c r="K1148" i="8"/>
  <c r="I1151" i="8"/>
  <c r="H1151" i="8" s="1"/>
  <c r="J1150" i="8"/>
  <c r="E1149" i="8" l="1"/>
  <c r="K1149" i="8"/>
  <c r="C1152" i="8"/>
  <c r="B1151" i="8"/>
  <c r="D1151" i="8"/>
  <c r="I1152" i="8"/>
  <c r="H1152" i="8" s="1"/>
  <c r="J1151" i="8"/>
  <c r="E1150" i="8" l="1"/>
  <c r="B1152" i="8"/>
  <c r="C1153" i="8"/>
  <c r="D1152" i="8"/>
  <c r="K1150" i="8"/>
  <c r="I1153" i="8"/>
  <c r="H1153" i="8" s="1"/>
  <c r="J1152" i="8"/>
  <c r="E1151" i="8" l="1"/>
  <c r="D1153" i="8"/>
  <c r="C1154" i="8"/>
  <c r="B1153" i="8"/>
  <c r="I1154" i="8"/>
  <c r="H1154" i="8" s="1"/>
  <c r="J1153" i="8"/>
  <c r="K1151" i="8"/>
  <c r="K1152" i="8" l="1"/>
  <c r="C1155" i="8"/>
  <c r="D1154" i="8"/>
  <c r="B1154" i="8"/>
  <c r="E1152" i="8"/>
  <c r="I1155" i="8"/>
  <c r="H1155" i="8" s="1"/>
  <c r="J1154" i="8"/>
  <c r="E1153" i="8" l="1"/>
  <c r="C1156" i="8"/>
  <c r="D1155" i="8"/>
  <c r="B1155" i="8"/>
  <c r="I1156" i="8"/>
  <c r="H1156" i="8" s="1"/>
  <c r="J1155" i="8"/>
  <c r="K1154" i="8" s="1"/>
  <c r="K1153" i="8"/>
  <c r="B1156" i="8" l="1"/>
  <c r="D1156" i="8"/>
  <c r="C1157" i="8"/>
  <c r="E1154" i="8"/>
  <c r="I1157" i="8"/>
  <c r="H1157" i="8" s="1"/>
  <c r="J1156" i="8"/>
  <c r="K1155" i="8" s="1"/>
  <c r="E1155" i="8" l="1"/>
  <c r="C1158" i="8"/>
  <c r="B1157" i="8"/>
  <c r="D1157" i="8"/>
  <c r="I1158" i="8"/>
  <c r="H1158" i="8" s="1"/>
  <c r="J1157" i="8"/>
  <c r="E1156" i="8" l="1"/>
  <c r="B1158" i="8"/>
  <c r="C1159" i="8"/>
  <c r="D1158" i="8"/>
  <c r="I1159" i="8"/>
  <c r="H1159" i="8" s="1"/>
  <c r="J1158" i="8"/>
  <c r="K1157" i="8" s="1"/>
  <c r="K1156" i="8"/>
  <c r="D1159" i="8" l="1"/>
  <c r="B1159" i="8"/>
  <c r="C1160" i="8"/>
  <c r="E1157" i="8"/>
  <c r="I1160" i="8"/>
  <c r="H1160" i="8" s="1"/>
  <c r="J1159" i="8"/>
  <c r="B1160" i="8" l="1"/>
  <c r="C1161" i="8"/>
  <c r="D1160" i="8"/>
  <c r="K1158" i="8"/>
  <c r="E1158" i="8"/>
  <c r="I1161" i="8"/>
  <c r="H1161" i="8" s="1"/>
  <c r="J1160" i="8"/>
  <c r="E1159" i="8" l="1"/>
  <c r="B1161" i="8"/>
  <c r="C1162" i="8"/>
  <c r="D1161" i="8"/>
  <c r="I1162" i="8"/>
  <c r="H1162" i="8" s="1"/>
  <c r="J1161" i="8"/>
  <c r="K1160" i="8" s="1"/>
  <c r="K1159" i="8"/>
  <c r="E1160" i="8" l="1"/>
  <c r="B1162" i="8"/>
  <c r="C1163" i="8"/>
  <c r="D1162" i="8"/>
  <c r="I1163" i="8"/>
  <c r="H1163" i="8" s="1"/>
  <c r="J1162" i="8"/>
  <c r="K1161" i="8" s="1"/>
  <c r="E1161" i="8" l="1"/>
  <c r="D1163" i="8"/>
  <c r="B1163" i="8"/>
  <c r="C1164" i="8"/>
  <c r="I1164" i="8"/>
  <c r="H1164" i="8" s="1"/>
  <c r="J1163" i="8"/>
  <c r="E1162" i="8" l="1"/>
  <c r="C1165" i="8"/>
  <c r="B1164" i="8"/>
  <c r="D1164" i="8"/>
  <c r="E1163" i="8" s="1"/>
  <c r="K1162" i="8"/>
  <c r="I1165" i="8"/>
  <c r="H1165" i="8" s="1"/>
  <c r="J1164" i="8"/>
  <c r="D1165" i="8" l="1"/>
  <c r="B1165" i="8"/>
  <c r="C1166" i="8"/>
  <c r="I1166" i="8"/>
  <c r="H1166" i="8" s="1"/>
  <c r="J1165" i="8"/>
  <c r="K1163" i="8"/>
  <c r="B1166" i="8" l="1"/>
  <c r="D1166" i="8"/>
  <c r="C1167" i="8"/>
  <c r="E1164" i="8"/>
  <c r="I1167" i="8"/>
  <c r="H1167" i="8" s="1"/>
  <c r="J1166" i="8"/>
  <c r="K1164" i="8"/>
  <c r="E1165" i="8" l="1"/>
  <c r="B1167" i="8"/>
  <c r="C1168" i="8"/>
  <c r="D1167" i="8"/>
  <c r="I1168" i="8"/>
  <c r="H1168" i="8" s="1"/>
  <c r="J1167" i="8"/>
  <c r="K1165" i="8"/>
  <c r="E1166" i="8" l="1"/>
  <c r="C1169" i="8"/>
  <c r="B1168" i="8"/>
  <c r="D1168" i="8"/>
  <c r="K1166" i="8"/>
  <c r="I1169" i="8"/>
  <c r="H1169" i="8" s="1"/>
  <c r="J1168" i="8"/>
  <c r="E1167" i="8" l="1"/>
  <c r="D1169" i="8"/>
  <c r="B1169" i="8"/>
  <c r="C1170" i="8"/>
  <c r="I1170" i="8"/>
  <c r="H1170" i="8" s="1"/>
  <c r="J1169" i="8"/>
  <c r="K1167" i="8"/>
  <c r="E1168" i="8" l="1"/>
  <c r="C1171" i="8"/>
  <c r="B1170" i="8"/>
  <c r="D1170" i="8"/>
  <c r="K1168" i="8"/>
  <c r="I1171" i="8"/>
  <c r="H1171" i="8" s="1"/>
  <c r="J1170" i="8"/>
  <c r="E1169" i="8" l="1"/>
  <c r="D1171" i="8"/>
  <c r="B1171" i="8"/>
  <c r="C1172" i="8"/>
  <c r="I1172" i="8"/>
  <c r="H1172" i="8" s="1"/>
  <c r="J1171" i="8"/>
  <c r="K1169" i="8"/>
  <c r="E1170" i="8" l="1"/>
  <c r="B1172" i="8"/>
  <c r="D1172" i="8"/>
  <c r="C1173" i="8"/>
  <c r="I1173" i="8"/>
  <c r="H1173" i="8" s="1"/>
  <c r="J1172" i="8"/>
  <c r="K1170" i="8"/>
  <c r="E1171" i="8" l="1"/>
  <c r="D1173" i="8"/>
  <c r="B1173" i="8"/>
  <c r="C1174" i="8"/>
  <c r="I1174" i="8"/>
  <c r="H1174" i="8" s="1"/>
  <c r="J1173" i="8"/>
  <c r="K1171" i="8"/>
  <c r="C1175" i="8" l="1"/>
  <c r="D1174" i="8"/>
  <c r="B1174" i="8"/>
  <c r="K1172" i="8"/>
  <c r="E1172" i="8"/>
  <c r="I1175" i="8"/>
  <c r="H1175" i="8" s="1"/>
  <c r="J1174" i="8"/>
  <c r="E1173" i="8" l="1"/>
  <c r="K1173" i="8"/>
  <c r="D1175" i="8"/>
  <c r="C1176" i="8"/>
  <c r="B1175" i="8"/>
  <c r="I1176" i="8"/>
  <c r="H1176" i="8" s="1"/>
  <c r="J1175" i="8"/>
  <c r="C1177" i="8" l="1"/>
  <c r="D1176" i="8"/>
  <c r="B1176" i="8"/>
  <c r="E1174" i="8"/>
  <c r="I1177" i="8"/>
  <c r="H1177" i="8" s="1"/>
  <c r="J1176" i="8"/>
  <c r="K1174" i="8"/>
  <c r="C1178" i="8" l="1"/>
  <c r="D1177" i="8"/>
  <c r="B1177" i="8"/>
  <c r="E1175" i="8"/>
  <c r="I1178" i="8"/>
  <c r="H1178" i="8" s="1"/>
  <c r="J1177" i="8"/>
  <c r="K1176" i="8" s="1"/>
  <c r="K1175" i="8"/>
  <c r="B1178" i="8" l="1"/>
  <c r="C1179" i="8"/>
  <c r="D1178" i="8"/>
  <c r="E1176" i="8"/>
  <c r="I1179" i="8"/>
  <c r="H1179" i="8" s="1"/>
  <c r="J1178" i="8"/>
  <c r="E1177" i="8" l="1"/>
  <c r="B1179" i="8"/>
  <c r="C1180" i="8"/>
  <c r="D1179" i="8"/>
  <c r="I1180" i="8"/>
  <c r="H1180" i="8" s="1"/>
  <c r="J1179" i="8"/>
  <c r="K1177" i="8"/>
  <c r="C1181" i="8" l="1"/>
  <c r="B1180" i="8"/>
  <c r="D1180" i="8"/>
  <c r="E1178" i="8"/>
  <c r="I1181" i="8"/>
  <c r="H1181" i="8" s="1"/>
  <c r="J1180" i="8"/>
  <c r="K1179" i="8" s="1"/>
  <c r="K1178" i="8"/>
  <c r="B1181" i="8" l="1"/>
  <c r="C1182" i="8"/>
  <c r="D1181" i="8"/>
  <c r="E1179" i="8"/>
  <c r="I1182" i="8"/>
  <c r="H1182" i="8" s="1"/>
  <c r="J1181" i="8"/>
  <c r="E1180" i="8" l="1"/>
  <c r="D1182" i="8"/>
  <c r="C1183" i="8"/>
  <c r="B1182" i="8"/>
  <c r="K1180" i="8"/>
  <c r="I1183" i="8"/>
  <c r="H1183" i="8" s="1"/>
  <c r="J1182" i="8"/>
  <c r="K1181" i="8" s="1"/>
  <c r="C1184" i="8" l="1"/>
  <c r="D1183" i="8"/>
  <c r="B1183" i="8"/>
  <c r="E1181" i="8"/>
  <c r="I1184" i="8"/>
  <c r="H1184" i="8" s="1"/>
  <c r="J1183" i="8"/>
  <c r="E1182" i="8" l="1"/>
  <c r="B1184" i="8"/>
  <c r="D1184" i="8"/>
  <c r="C1185" i="8"/>
  <c r="I1185" i="8"/>
  <c r="H1185" i="8" s="1"/>
  <c r="J1184" i="8"/>
  <c r="K1182" i="8"/>
  <c r="B1185" i="8" l="1"/>
  <c r="D1185" i="8"/>
  <c r="C1186" i="8"/>
  <c r="E1183" i="8"/>
  <c r="I1186" i="8"/>
  <c r="H1186" i="8" s="1"/>
  <c r="J1185" i="8"/>
  <c r="K1184" i="8" s="1"/>
  <c r="K1183" i="8"/>
  <c r="E1184" i="8" l="1"/>
  <c r="B1186" i="8"/>
  <c r="C1187" i="8"/>
  <c r="D1186" i="8"/>
  <c r="I1187" i="8"/>
  <c r="H1187" i="8" s="1"/>
  <c r="J1186" i="8"/>
  <c r="E1185" i="8" l="1"/>
  <c r="B1187" i="8"/>
  <c r="C1188" i="8"/>
  <c r="D1187" i="8"/>
  <c r="I1188" i="8"/>
  <c r="H1188" i="8" s="1"/>
  <c r="J1187" i="8"/>
  <c r="K1185" i="8"/>
  <c r="E1186" i="8" l="1"/>
  <c r="B1188" i="8"/>
  <c r="C1189" i="8"/>
  <c r="D1188" i="8"/>
  <c r="I1189" i="8"/>
  <c r="H1189" i="8" s="1"/>
  <c r="J1188" i="8"/>
  <c r="K1186" i="8"/>
  <c r="B1189" i="8" l="1"/>
  <c r="C1190" i="8"/>
  <c r="D1189" i="8"/>
  <c r="E1187" i="8"/>
  <c r="I1190" i="8"/>
  <c r="H1190" i="8" s="1"/>
  <c r="J1189" i="8"/>
  <c r="K1188" i="8" s="1"/>
  <c r="K1187" i="8"/>
  <c r="E1188" i="8" l="1"/>
  <c r="D1190" i="8"/>
  <c r="C1191" i="8"/>
  <c r="B1190" i="8"/>
  <c r="I1191" i="8"/>
  <c r="H1191" i="8" s="1"/>
  <c r="J1190" i="8"/>
  <c r="B1191" i="8" l="1"/>
  <c r="C1192" i="8"/>
  <c r="D1191" i="8"/>
  <c r="E1189" i="8"/>
  <c r="K1189" i="8"/>
  <c r="I1192" i="8"/>
  <c r="H1192" i="8" s="1"/>
  <c r="J1191" i="8"/>
  <c r="E1190" i="8" l="1"/>
  <c r="K1190" i="8"/>
  <c r="B1192" i="8"/>
  <c r="C1193" i="8"/>
  <c r="D1192" i="8"/>
  <c r="I1193" i="8"/>
  <c r="H1193" i="8" s="1"/>
  <c r="J1192" i="8"/>
  <c r="C1194" i="8" l="1"/>
  <c r="D1193" i="8"/>
  <c r="B1193" i="8"/>
  <c r="E1191" i="8"/>
  <c r="K1191" i="8"/>
  <c r="I1194" i="8"/>
  <c r="H1194" i="8" s="1"/>
  <c r="J1193" i="8"/>
  <c r="E1192" i="8" l="1"/>
  <c r="C1195" i="8"/>
  <c r="D1194" i="8"/>
  <c r="B1194" i="8"/>
  <c r="I1195" i="8"/>
  <c r="H1195" i="8" s="1"/>
  <c r="J1194" i="8"/>
  <c r="K1192" i="8"/>
  <c r="E1193" i="8" l="1"/>
  <c r="D1195" i="8"/>
  <c r="C1196" i="8"/>
  <c r="B1195" i="8"/>
  <c r="K1193" i="8"/>
  <c r="I1196" i="8"/>
  <c r="H1196" i="8" s="1"/>
  <c r="J1195" i="8"/>
  <c r="B1196" i="8" l="1"/>
  <c r="D1196" i="8"/>
  <c r="C1197" i="8"/>
  <c r="K1194" i="8"/>
  <c r="E1194" i="8"/>
  <c r="I1197" i="8"/>
  <c r="H1197" i="8" s="1"/>
  <c r="J1196" i="8"/>
  <c r="E1195" i="8" l="1"/>
  <c r="D1197" i="8"/>
  <c r="C1198" i="8"/>
  <c r="B1197" i="8"/>
  <c r="I1198" i="8"/>
  <c r="H1198" i="8" s="1"/>
  <c r="J1197" i="8"/>
  <c r="K1195" i="8"/>
  <c r="E1196" i="8" l="1"/>
  <c r="D1198" i="8"/>
  <c r="C1199" i="8"/>
  <c r="B1198" i="8"/>
  <c r="I1199" i="8"/>
  <c r="H1199" i="8" s="1"/>
  <c r="J1198" i="8"/>
  <c r="K1196" i="8"/>
  <c r="K1197" i="8" l="1"/>
  <c r="E1197" i="8"/>
  <c r="C1200" i="8"/>
  <c r="B1199" i="8"/>
  <c r="D1199" i="8"/>
  <c r="E1198" i="8" s="1"/>
  <c r="I1200" i="8"/>
  <c r="H1200" i="8" s="1"/>
  <c r="J1199" i="8"/>
  <c r="K1198" i="8" l="1"/>
  <c r="B1200" i="8"/>
  <c r="D1200" i="8"/>
  <c r="C1201" i="8"/>
  <c r="I1201" i="8"/>
  <c r="H1201" i="8" s="1"/>
  <c r="J1200" i="8"/>
  <c r="C1202" i="8" l="1"/>
  <c r="B1201" i="8"/>
  <c r="D1201" i="8"/>
  <c r="E1200" i="8" s="1"/>
  <c r="E1199" i="8"/>
  <c r="I1202" i="8"/>
  <c r="H1202" i="8" s="1"/>
  <c r="J1201" i="8"/>
  <c r="K1199" i="8"/>
  <c r="B1202" i="8" l="1"/>
  <c r="C1203" i="8"/>
  <c r="D1202" i="8"/>
  <c r="K1200" i="8"/>
  <c r="I1203" i="8"/>
  <c r="H1203" i="8" s="1"/>
  <c r="J1202" i="8"/>
  <c r="K1201" i="8" s="1"/>
  <c r="E1201" i="8" l="1"/>
  <c r="D1203" i="8"/>
  <c r="B1203" i="8"/>
  <c r="C1204" i="8"/>
  <c r="I1204" i="8"/>
  <c r="H1204" i="8" s="1"/>
  <c r="J1203" i="8"/>
  <c r="K1202" i="8" s="1"/>
  <c r="C1205" i="8" l="1"/>
  <c r="B1204" i="8"/>
  <c r="D1204" i="8"/>
  <c r="E1202" i="8"/>
  <c r="I1205" i="8"/>
  <c r="H1205" i="8" s="1"/>
  <c r="J1204" i="8"/>
  <c r="E1203" i="8" l="1"/>
  <c r="C1206" i="8"/>
  <c r="D1205" i="8"/>
  <c r="B1205" i="8"/>
  <c r="I1206" i="8"/>
  <c r="H1206" i="8" s="1"/>
  <c r="J1205" i="8"/>
  <c r="K1203" i="8"/>
  <c r="B1206" i="8" l="1"/>
  <c r="C1207" i="8"/>
  <c r="D1206" i="8"/>
  <c r="E1204" i="8"/>
  <c r="K1204" i="8"/>
  <c r="I1207" i="8"/>
  <c r="H1207" i="8" s="1"/>
  <c r="J1206" i="8"/>
  <c r="E1205" i="8" l="1"/>
  <c r="B1207" i="8"/>
  <c r="D1207" i="8"/>
  <c r="C1208" i="8"/>
  <c r="I1208" i="8"/>
  <c r="H1208" i="8" s="1"/>
  <c r="J1207" i="8"/>
  <c r="K1205" i="8"/>
  <c r="C1209" i="8" l="1"/>
  <c r="B1208" i="8"/>
  <c r="D1208" i="8"/>
  <c r="E1206" i="8"/>
  <c r="I1209" i="8"/>
  <c r="H1209" i="8" s="1"/>
  <c r="J1208" i="8"/>
  <c r="K1206" i="8"/>
  <c r="E1207" i="8" l="1"/>
  <c r="C1210" i="8"/>
  <c r="D1209" i="8"/>
  <c r="B1209" i="8"/>
  <c r="K1207" i="8"/>
  <c r="I1210" i="8"/>
  <c r="H1210" i="8" s="1"/>
  <c r="J1209" i="8"/>
  <c r="B1210" i="8" l="1"/>
  <c r="D1210" i="8"/>
  <c r="C1211" i="8"/>
  <c r="E1208" i="8"/>
  <c r="I1211" i="8"/>
  <c r="H1211" i="8" s="1"/>
  <c r="J1210" i="8"/>
  <c r="K1209" i="8" s="1"/>
  <c r="K1208" i="8"/>
  <c r="D1211" i="8" l="1"/>
  <c r="B1211" i="8"/>
  <c r="C1212" i="8"/>
  <c r="E1209" i="8"/>
  <c r="I1212" i="8"/>
  <c r="H1212" i="8" s="1"/>
  <c r="J1211" i="8"/>
  <c r="E1210" i="8" l="1"/>
  <c r="B1212" i="8"/>
  <c r="C1213" i="8"/>
  <c r="D1212" i="8"/>
  <c r="E1211" i="8" s="1"/>
  <c r="I1213" i="8"/>
  <c r="H1213" i="8" s="1"/>
  <c r="J1212" i="8"/>
  <c r="K1211" i="8" s="1"/>
  <c r="K1210" i="8"/>
  <c r="C1214" i="8" l="1"/>
  <c r="D1213" i="8"/>
  <c r="B1213" i="8"/>
  <c r="I1214" i="8"/>
  <c r="H1214" i="8" s="1"/>
  <c r="J1213" i="8"/>
  <c r="E1212" i="8" l="1"/>
  <c r="B1214" i="8"/>
  <c r="C1215" i="8"/>
  <c r="D1214" i="8"/>
  <c r="I1215" i="8"/>
  <c r="H1215" i="8" s="1"/>
  <c r="J1214" i="8"/>
  <c r="K1212" i="8"/>
  <c r="E1213" i="8" l="1"/>
  <c r="D1215" i="8"/>
  <c r="C1216" i="8"/>
  <c r="B1215" i="8"/>
  <c r="I1216" i="8"/>
  <c r="H1216" i="8" s="1"/>
  <c r="J1215" i="8"/>
  <c r="K1213" i="8"/>
  <c r="K1214" i="8" l="1"/>
  <c r="E1214" i="8"/>
  <c r="C1217" i="8"/>
  <c r="D1216" i="8"/>
  <c r="B1216" i="8"/>
  <c r="I1217" i="8"/>
  <c r="H1217" i="8" s="1"/>
  <c r="J1216" i="8"/>
  <c r="E1215" i="8" l="1"/>
  <c r="C1218" i="8"/>
  <c r="D1217" i="8"/>
  <c r="B1217" i="8"/>
  <c r="I1218" i="8"/>
  <c r="H1218" i="8" s="1"/>
  <c r="J1217" i="8"/>
  <c r="K1215" i="8"/>
  <c r="B1218" i="8" l="1"/>
  <c r="C1219" i="8"/>
  <c r="D1218" i="8"/>
  <c r="E1217" i="8" s="1"/>
  <c r="E1216" i="8"/>
  <c r="I1219" i="8"/>
  <c r="H1219" i="8" s="1"/>
  <c r="J1218" i="8"/>
  <c r="K1216" i="8"/>
  <c r="B1219" i="8" l="1"/>
  <c r="C1220" i="8"/>
  <c r="D1219" i="8"/>
  <c r="I1220" i="8"/>
  <c r="H1220" i="8" s="1"/>
  <c r="J1219" i="8"/>
  <c r="K1217" i="8"/>
  <c r="K1218" i="8" l="1"/>
  <c r="E1218" i="8"/>
  <c r="B1220" i="8"/>
  <c r="D1220" i="8"/>
  <c r="C1221" i="8"/>
  <c r="I1221" i="8"/>
  <c r="H1221" i="8" s="1"/>
  <c r="J1220" i="8"/>
  <c r="E1219" i="8" l="1"/>
  <c r="B1221" i="8"/>
  <c r="D1221" i="8"/>
  <c r="C1222" i="8"/>
  <c r="K1219" i="8"/>
  <c r="I1222" i="8"/>
  <c r="H1222" i="8" s="1"/>
  <c r="J1221" i="8"/>
  <c r="B1222" i="8" l="1"/>
  <c r="C1223" i="8"/>
  <c r="D1222" i="8"/>
  <c r="E1220" i="8"/>
  <c r="I1223" i="8"/>
  <c r="H1223" i="8" s="1"/>
  <c r="J1222" i="8"/>
  <c r="K1220" i="8"/>
  <c r="E1221" i="8" l="1"/>
  <c r="D1223" i="8"/>
  <c r="B1223" i="8"/>
  <c r="C1224" i="8"/>
  <c r="I1224" i="8"/>
  <c r="H1224" i="8" s="1"/>
  <c r="J1223" i="8"/>
  <c r="K1221" i="8"/>
  <c r="E1222" i="8" l="1"/>
  <c r="C1225" i="8"/>
  <c r="B1224" i="8"/>
  <c r="D1224" i="8"/>
  <c r="K1222" i="8"/>
  <c r="I1225" i="8"/>
  <c r="H1225" i="8" s="1"/>
  <c r="J1224" i="8"/>
  <c r="E1223" i="8" l="1"/>
  <c r="C1226" i="8"/>
  <c r="B1225" i="8"/>
  <c r="D1225" i="8"/>
  <c r="I1226" i="8"/>
  <c r="H1226" i="8" s="1"/>
  <c r="J1225" i="8"/>
  <c r="K1223" i="8"/>
  <c r="E1224" i="8" l="1"/>
  <c r="K1224" i="8"/>
  <c r="B1226" i="8"/>
  <c r="C1227" i="8"/>
  <c r="D1226" i="8"/>
  <c r="I1227" i="8"/>
  <c r="H1227" i="8" s="1"/>
  <c r="J1226" i="8"/>
  <c r="E1225" i="8" l="1"/>
  <c r="B1227" i="8"/>
  <c r="D1227" i="8"/>
  <c r="C1228" i="8"/>
  <c r="K1225" i="8"/>
  <c r="I1228" i="8"/>
  <c r="H1228" i="8" s="1"/>
  <c r="J1227" i="8"/>
  <c r="K1226" i="8" l="1"/>
  <c r="B1228" i="8"/>
  <c r="C1229" i="8"/>
  <c r="D1228" i="8"/>
  <c r="E1226" i="8"/>
  <c r="I1229" i="8"/>
  <c r="H1229" i="8" s="1"/>
  <c r="J1228" i="8"/>
  <c r="D1229" i="8" l="1"/>
  <c r="C1230" i="8"/>
  <c r="B1229" i="8"/>
  <c r="E1227" i="8"/>
  <c r="I1230" i="8"/>
  <c r="H1230" i="8" s="1"/>
  <c r="J1229" i="8"/>
  <c r="K1228" i="8" s="1"/>
  <c r="K1227" i="8"/>
  <c r="C1231" i="8" l="1"/>
  <c r="B1230" i="8"/>
  <c r="D1230" i="8"/>
  <c r="E1228" i="8"/>
  <c r="I1231" i="8"/>
  <c r="H1231" i="8" s="1"/>
  <c r="J1230" i="8"/>
  <c r="K1229" i="8" s="1"/>
  <c r="B1231" i="8" l="1"/>
  <c r="D1231" i="8"/>
  <c r="C1232" i="8"/>
  <c r="E1229" i="8"/>
  <c r="I1232" i="8"/>
  <c r="H1232" i="8" s="1"/>
  <c r="J1231" i="8"/>
  <c r="E1230" i="8" l="1"/>
  <c r="C1233" i="8"/>
  <c r="D1232" i="8"/>
  <c r="B1232" i="8"/>
  <c r="K1230" i="8"/>
  <c r="I1233" i="8"/>
  <c r="H1233" i="8" s="1"/>
  <c r="J1232" i="8"/>
  <c r="B1233" i="8" l="1"/>
  <c r="C1234" i="8"/>
  <c r="D1233" i="8"/>
  <c r="E1231" i="8"/>
  <c r="I1234" i="8"/>
  <c r="H1234" i="8" s="1"/>
  <c r="J1233" i="8"/>
  <c r="K1232" i="8" s="1"/>
  <c r="K1231" i="8"/>
  <c r="B1234" i="8" l="1"/>
  <c r="C1235" i="8"/>
  <c r="D1234" i="8"/>
  <c r="E1232" i="8"/>
  <c r="I1235" i="8"/>
  <c r="H1235" i="8" s="1"/>
  <c r="J1234" i="8"/>
  <c r="E1233" i="8" l="1"/>
  <c r="B1235" i="8"/>
  <c r="C1236" i="8"/>
  <c r="D1235" i="8"/>
  <c r="E1234" i="8" s="1"/>
  <c r="I1236" i="8"/>
  <c r="H1236" i="8" s="1"/>
  <c r="J1235" i="8"/>
  <c r="K1233" i="8"/>
  <c r="D1236" i="8" l="1"/>
  <c r="B1236" i="8"/>
  <c r="C1237" i="8"/>
  <c r="K1234" i="8"/>
  <c r="I1237" i="8"/>
  <c r="H1237" i="8" s="1"/>
  <c r="J1236" i="8"/>
  <c r="B1237" i="8" l="1"/>
  <c r="C1238" i="8"/>
  <c r="D1237" i="8"/>
  <c r="K1235" i="8"/>
  <c r="E1235" i="8"/>
  <c r="I1238" i="8"/>
  <c r="H1238" i="8" s="1"/>
  <c r="J1237" i="8"/>
  <c r="B1238" i="8" l="1"/>
  <c r="D1238" i="8"/>
  <c r="E1237" i="8" s="1"/>
  <c r="C1239" i="8"/>
  <c r="E1236" i="8"/>
  <c r="I1239" i="8"/>
  <c r="H1239" i="8" s="1"/>
  <c r="J1238" i="8"/>
  <c r="K1236" i="8"/>
  <c r="K1237" i="8" l="1"/>
  <c r="C1240" i="8"/>
  <c r="D1239" i="8"/>
  <c r="B1239" i="8"/>
  <c r="I1240" i="8"/>
  <c r="H1240" i="8" s="1"/>
  <c r="J1239" i="8"/>
  <c r="E1238" i="8" l="1"/>
  <c r="C1241" i="8"/>
  <c r="D1240" i="8"/>
  <c r="B1240" i="8"/>
  <c r="I1241" i="8"/>
  <c r="H1241" i="8" s="1"/>
  <c r="J1240" i="8"/>
  <c r="K1238" i="8"/>
  <c r="E1239" i="8" l="1"/>
  <c r="K1239" i="8"/>
  <c r="D1241" i="8"/>
  <c r="B1241" i="8"/>
  <c r="C1242" i="8"/>
  <c r="I1242" i="8"/>
  <c r="H1242" i="8" s="1"/>
  <c r="J1241" i="8"/>
  <c r="K1240" i="8" l="1"/>
  <c r="E1240" i="8"/>
  <c r="B1242" i="8"/>
  <c r="C1243" i="8"/>
  <c r="D1242" i="8"/>
  <c r="I1243" i="8"/>
  <c r="H1243" i="8" s="1"/>
  <c r="J1242" i="8"/>
  <c r="C1244" i="8" l="1"/>
  <c r="D1243" i="8"/>
  <c r="B1243" i="8"/>
  <c r="E1241" i="8"/>
  <c r="I1244" i="8"/>
  <c r="H1244" i="8" s="1"/>
  <c r="J1243" i="8"/>
  <c r="K1242" i="8" s="1"/>
  <c r="K1241" i="8"/>
  <c r="E1242" i="8" l="1"/>
  <c r="D1244" i="8"/>
  <c r="C1245" i="8"/>
  <c r="B1244" i="8"/>
  <c r="I1245" i="8"/>
  <c r="H1245" i="8" s="1"/>
  <c r="J1244" i="8"/>
  <c r="K1243" i="8" l="1"/>
  <c r="B1245" i="8"/>
  <c r="C1246" i="8"/>
  <c r="D1245" i="8"/>
  <c r="E1244" i="8" s="1"/>
  <c r="E1243" i="8"/>
  <c r="I1246" i="8"/>
  <c r="H1246" i="8" s="1"/>
  <c r="J1245" i="8"/>
  <c r="K1244" i="8" l="1"/>
  <c r="B1246" i="8"/>
  <c r="D1246" i="8"/>
  <c r="C1247" i="8"/>
  <c r="I1247" i="8"/>
  <c r="H1247" i="8" s="1"/>
  <c r="J1246" i="8"/>
  <c r="E1245" i="8" l="1"/>
  <c r="B1247" i="8"/>
  <c r="C1248" i="8"/>
  <c r="D1247" i="8"/>
  <c r="I1248" i="8"/>
  <c r="H1248" i="8" s="1"/>
  <c r="J1247" i="8"/>
  <c r="K1245" i="8"/>
  <c r="E1246" i="8" l="1"/>
  <c r="B1248" i="8"/>
  <c r="D1248" i="8"/>
  <c r="C1249" i="8"/>
  <c r="K1246" i="8"/>
  <c r="I1249" i="8"/>
  <c r="H1249" i="8" s="1"/>
  <c r="J1248" i="8"/>
  <c r="E1247" i="8" l="1"/>
  <c r="D1249" i="8"/>
  <c r="B1249" i="8"/>
  <c r="C1250" i="8"/>
  <c r="I1250" i="8"/>
  <c r="H1250" i="8" s="1"/>
  <c r="J1249" i="8"/>
  <c r="K1247" i="8"/>
  <c r="E1248" i="8" l="1"/>
  <c r="C1251" i="8"/>
  <c r="D1250" i="8"/>
  <c r="B1250" i="8"/>
  <c r="K1248" i="8"/>
  <c r="I1251" i="8"/>
  <c r="H1251" i="8" s="1"/>
  <c r="J1250" i="8"/>
  <c r="K1249" i="8" l="1"/>
  <c r="E1249" i="8"/>
  <c r="B1251" i="8"/>
  <c r="C1252" i="8"/>
  <c r="D1251" i="8"/>
  <c r="I1252" i="8"/>
  <c r="H1252" i="8" s="1"/>
  <c r="J1251" i="8"/>
  <c r="E1250" i="8" l="1"/>
  <c r="B1252" i="8"/>
  <c r="C1253" i="8"/>
  <c r="D1252" i="8"/>
  <c r="I1253" i="8"/>
  <c r="H1253" i="8" s="1"/>
  <c r="J1252" i="8"/>
  <c r="K1251" i="8" s="1"/>
  <c r="K1250" i="8"/>
  <c r="C1254" i="8" l="1"/>
  <c r="D1253" i="8"/>
  <c r="B1253" i="8"/>
  <c r="E1251" i="8"/>
  <c r="I1254" i="8"/>
  <c r="H1254" i="8" s="1"/>
  <c r="J1253" i="8"/>
  <c r="K1252" i="8" l="1"/>
  <c r="E1252" i="8"/>
  <c r="B1254" i="8"/>
  <c r="C1255" i="8"/>
  <c r="D1254" i="8"/>
  <c r="I1255" i="8"/>
  <c r="H1255" i="8" s="1"/>
  <c r="J1254" i="8"/>
  <c r="K1253" i="8" s="1"/>
  <c r="E1253" i="8" l="1"/>
  <c r="B1255" i="8"/>
  <c r="C1256" i="8"/>
  <c r="D1255" i="8"/>
  <c r="I1256" i="8"/>
  <c r="H1256" i="8" s="1"/>
  <c r="J1255" i="8"/>
  <c r="D1256" i="8" l="1"/>
  <c r="C1257" i="8"/>
  <c r="B1256" i="8"/>
  <c r="E1254" i="8"/>
  <c r="I1257" i="8"/>
  <c r="H1257" i="8" s="1"/>
  <c r="J1256" i="8"/>
  <c r="K1254" i="8"/>
  <c r="D1257" i="8" l="1"/>
  <c r="C1258" i="8"/>
  <c r="B1257" i="8"/>
  <c r="E1255" i="8"/>
  <c r="I1258" i="8"/>
  <c r="H1258" i="8" s="1"/>
  <c r="J1257" i="8"/>
  <c r="K1255" i="8"/>
  <c r="C1259" i="8" l="1"/>
  <c r="D1258" i="8"/>
  <c r="B1258" i="8"/>
  <c r="E1256" i="8"/>
  <c r="K1256" i="8"/>
  <c r="I1259" i="8"/>
  <c r="H1259" i="8" s="1"/>
  <c r="J1258" i="8"/>
  <c r="E1257" i="8" l="1"/>
  <c r="C1260" i="8"/>
  <c r="B1259" i="8"/>
  <c r="D1259" i="8"/>
  <c r="K1257" i="8"/>
  <c r="I1260" i="8"/>
  <c r="H1260" i="8" s="1"/>
  <c r="J1259" i="8"/>
  <c r="K1258" i="8" s="1"/>
  <c r="B1260" i="8" l="1"/>
  <c r="C1261" i="8"/>
  <c r="D1260" i="8"/>
  <c r="E1258" i="8"/>
  <c r="I1261" i="8"/>
  <c r="H1261" i="8" s="1"/>
  <c r="J1260" i="8"/>
  <c r="E1259" i="8" l="1"/>
  <c r="D1261" i="8"/>
  <c r="B1261" i="8"/>
  <c r="C1262" i="8"/>
  <c r="K1259" i="8"/>
  <c r="I1262" i="8"/>
  <c r="H1262" i="8" s="1"/>
  <c r="J1261" i="8"/>
  <c r="E1260" i="8" l="1"/>
  <c r="B1262" i="8"/>
  <c r="C1263" i="8"/>
  <c r="D1262" i="8"/>
  <c r="I1263" i="8"/>
  <c r="H1263" i="8" s="1"/>
  <c r="J1262" i="8"/>
  <c r="K1260" i="8"/>
  <c r="E1261" i="8" l="1"/>
  <c r="B1263" i="8"/>
  <c r="D1263" i="8"/>
  <c r="C1264" i="8"/>
  <c r="K1261" i="8"/>
  <c r="I1264" i="8"/>
  <c r="H1264" i="8" s="1"/>
  <c r="J1263" i="8"/>
  <c r="E1262" i="8" l="1"/>
  <c r="B1264" i="8"/>
  <c r="C1265" i="8"/>
  <c r="D1264" i="8"/>
  <c r="K1262" i="8"/>
  <c r="I1265" i="8"/>
  <c r="H1265" i="8" s="1"/>
  <c r="J1264" i="8"/>
  <c r="E1263" i="8" l="1"/>
  <c r="B1265" i="8"/>
  <c r="D1265" i="8"/>
  <c r="C1266" i="8"/>
  <c r="K1263" i="8"/>
  <c r="I1266" i="8"/>
  <c r="H1266" i="8" s="1"/>
  <c r="J1265" i="8"/>
  <c r="B1266" i="8" l="1"/>
  <c r="C1267" i="8"/>
  <c r="D1266" i="8"/>
  <c r="E1264" i="8"/>
  <c r="K1264" i="8"/>
  <c r="I1267" i="8"/>
  <c r="H1267" i="8" s="1"/>
  <c r="J1266" i="8"/>
  <c r="E1265" i="8" l="1"/>
  <c r="K1265" i="8"/>
  <c r="B1267" i="8"/>
  <c r="D1267" i="8"/>
  <c r="C1268" i="8"/>
  <c r="I1268" i="8"/>
  <c r="H1268" i="8" s="1"/>
  <c r="J1267" i="8"/>
  <c r="K1266" i="8" l="1"/>
  <c r="B1268" i="8"/>
  <c r="C1269" i="8"/>
  <c r="D1268" i="8"/>
  <c r="E1266" i="8"/>
  <c r="I1269" i="8"/>
  <c r="H1269" i="8" s="1"/>
  <c r="J1268" i="8"/>
  <c r="K1267" i="8" s="1"/>
  <c r="E1267" i="8" l="1"/>
  <c r="D1269" i="8"/>
  <c r="C1270" i="8"/>
  <c r="B1269" i="8"/>
  <c r="I1270" i="8"/>
  <c r="H1270" i="8" s="1"/>
  <c r="J1269" i="8"/>
  <c r="C1271" i="8" l="1"/>
  <c r="B1270" i="8"/>
  <c r="D1270" i="8"/>
  <c r="E1268" i="8"/>
  <c r="I1271" i="8"/>
  <c r="H1271" i="8" s="1"/>
  <c r="J1270" i="8"/>
  <c r="K1268" i="8"/>
  <c r="E1269" i="8" l="1"/>
  <c r="D1271" i="8"/>
  <c r="B1271" i="8"/>
  <c r="C1272" i="8"/>
  <c r="I1272" i="8"/>
  <c r="H1272" i="8" s="1"/>
  <c r="J1271" i="8"/>
  <c r="K1269" i="8"/>
  <c r="D1272" i="8" l="1"/>
  <c r="C1273" i="8"/>
  <c r="B1272" i="8"/>
  <c r="E1270" i="8"/>
  <c r="I1273" i="8"/>
  <c r="H1273" i="8" s="1"/>
  <c r="J1272" i="8"/>
  <c r="K1271" i="8" s="1"/>
  <c r="K1270" i="8"/>
  <c r="E1271" i="8" l="1"/>
  <c r="D1273" i="8"/>
  <c r="B1273" i="8"/>
  <c r="C1274" i="8"/>
  <c r="I1274" i="8"/>
  <c r="H1274" i="8" s="1"/>
  <c r="J1273" i="8"/>
  <c r="K1272" i="8" s="1"/>
  <c r="E1272" i="8" l="1"/>
  <c r="D1274" i="8"/>
  <c r="B1274" i="8"/>
  <c r="C1275" i="8"/>
  <c r="I1275" i="8"/>
  <c r="H1275" i="8" s="1"/>
  <c r="J1274" i="8"/>
  <c r="B1275" i="8" l="1"/>
  <c r="D1275" i="8"/>
  <c r="C1276" i="8"/>
  <c r="K1273" i="8"/>
  <c r="E1273" i="8"/>
  <c r="I1276" i="8"/>
  <c r="H1276" i="8" s="1"/>
  <c r="J1275" i="8"/>
  <c r="E1274" i="8" l="1"/>
  <c r="D1276" i="8"/>
  <c r="B1276" i="8"/>
  <c r="C1277" i="8"/>
  <c r="K1274" i="8"/>
  <c r="I1277" i="8"/>
  <c r="H1277" i="8" s="1"/>
  <c r="J1276" i="8"/>
  <c r="D1277" i="8" l="1"/>
  <c r="B1277" i="8"/>
  <c r="C1278" i="8"/>
  <c r="K1275" i="8"/>
  <c r="E1275" i="8"/>
  <c r="I1278" i="8"/>
  <c r="H1278" i="8" s="1"/>
  <c r="J1277" i="8"/>
  <c r="D1278" i="8" l="1"/>
  <c r="B1278" i="8"/>
  <c r="C1279" i="8"/>
  <c r="E1276" i="8"/>
  <c r="K1276" i="8"/>
  <c r="I1279" i="8"/>
  <c r="H1279" i="8" s="1"/>
  <c r="J1278" i="8"/>
  <c r="E1277" i="8" l="1"/>
  <c r="B1279" i="8"/>
  <c r="C1280" i="8"/>
  <c r="D1279" i="8"/>
  <c r="K1277" i="8"/>
  <c r="I1280" i="8"/>
  <c r="H1280" i="8" s="1"/>
  <c r="J1279" i="8"/>
  <c r="E1278" i="8" l="1"/>
  <c r="D1280" i="8"/>
  <c r="C1281" i="8"/>
  <c r="B1280" i="8"/>
  <c r="I1281" i="8"/>
  <c r="H1281" i="8" s="1"/>
  <c r="J1280" i="8"/>
  <c r="K1278" i="8"/>
  <c r="B1281" i="8" l="1"/>
  <c r="D1281" i="8"/>
  <c r="C1282" i="8"/>
  <c r="E1279" i="8"/>
  <c r="I1282" i="8"/>
  <c r="H1282" i="8" s="1"/>
  <c r="J1281" i="8"/>
  <c r="K1279" i="8"/>
  <c r="E1280" i="8" l="1"/>
  <c r="D1282" i="8"/>
  <c r="C1283" i="8"/>
  <c r="B1282" i="8"/>
  <c r="I1283" i="8"/>
  <c r="H1283" i="8" s="1"/>
  <c r="J1282" i="8"/>
  <c r="K1280" i="8"/>
  <c r="K1281" i="8" l="1"/>
  <c r="B1283" i="8"/>
  <c r="D1283" i="8"/>
  <c r="E1282" i="8" s="1"/>
  <c r="C1284" i="8"/>
  <c r="E1281" i="8"/>
  <c r="I1284" i="8"/>
  <c r="H1284" i="8" s="1"/>
  <c r="J1283" i="8"/>
  <c r="K1282" i="8" s="1"/>
  <c r="B1284" i="8" l="1"/>
  <c r="D1284" i="8"/>
  <c r="C1285" i="8"/>
  <c r="I1285" i="8"/>
  <c r="H1285" i="8" s="1"/>
  <c r="J1284" i="8"/>
  <c r="K1283" i="8" s="1"/>
  <c r="B1285" i="8" l="1"/>
  <c r="D1285" i="8"/>
  <c r="C1286" i="8"/>
  <c r="E1283" i="8"/>
  <c r="I1286" i="8"/>
  <c r="H1286" i="8" s="1"/>
  <c r="J1285" i="8"/>
  <c r="E1284" i="8" l="1"/>
  <c r="B1286" i="8"/>
  <c r="C1287" i="8"/>
  <c r="D1286" i="8"/>
  <c r="I1287" i="8"/>
  <c r="H1287" i="8" s="1"/>
  <c r="J1286" i="8"/>
  <c r="K1285" i="8" s="1"/>
  <c r="K1284" i="8"/>
  <c r="E1285" i="8" l="1"/>
  <c r="D1287" i="8"/>
  <c r="B1287" i="8"/>
  <c r="C1288" i="8"/>
  <c r="I1288" i="8"/>
  <c r="H1288" i="8" s="1"/>
  <c r="J1287" i="8"/>
  <c r="E1286" i="8" l="1"/>
  <c r="C1289" i="8"/>
  <c r="D1288" i="8"/>
  <c r="B1288" i="8"/>
  <c r="K1286" i="8"/>
  <c r="I1289" i="8"/>
  <c r="H1289" i="8" s="1"/>
  <c r="J1288" i="8"/>
  <c r="E1287" i="8" l="1"/>
  <c r="D1289" i="8"/>
  <c r="C1290" i="8"/>
  <c r="B1289" i="8"/>
  <c r="K1287" i="8"/>
  <c r="I1290" i="8"/>
  <c r="H1290" i="8" s="1"/>
  <c r="J1289" i="8"/>
  <c r="K1288" i="8" l="1"/>
  <c r="E1288" i="8"/>
  <c r="B1290" i="8"/>
  <c r="C1291" i="8"/>
  <c r="D1290" i="8"/>
  <c r="I1291" i="8"/>
  <c r="H1291" i="8" s="1"/>
  <c r="J1290" i="8"/>
  <c r="K1289" i="8" s="1"/>
  <c r="B1291" i="8" l="1"/>
  <c r="D1291" i="8"/>
  <c r="C1292" i="8"/>
  <c r="E1289" i="8"/>
  <c r="I1292" i="8"/>
  <c r="H1292" i="8" s="1"/>
  <c r="J1291" i="8"/>
  <c r="E1290" i="8" l="1"/>
  <c r="C1293" i="8"/>
  <c r="D1292" i="8"/>
  <c r="B1292" i="8"/>
  <c r="I1293" i="8"/>
  <c r="H1293" i="8" s="1"/>
  <c r="J1292" i="8"/>
  <c r="K1290" i="8"/>
  <c r="E1291" i="8" l="1"/>
  <c r="C1294" i="8"/>
  <c r="D1293" i="8"/>
  <c r="B1293" i="8"/>
  <c r="I1294" i="8"/>
  <c r="H1294" i="8" s="1"/>
  <c r="J1293" i="8"/>
  <c r="K1292" i="8" s="1"/>
  <c r="K1291" i="8"/>
  <c r="E1292" i="8" l="1"/>
  <c r="D1294" i="8"/>
  <c r="B1294" i="8"/>
  <c r="C1295" i="8"/>
  <c r="I1295" i="8"/>
  <c r="H1295" i="8" s="1"/>
  <c r="J1294" i="8"/>
  <c r="E1293" i="8" l="1"/>
  <c r="B1295" i="8"/>
  <c r="C1296" i="8"/>
  <c r="D1295" i="8"/>
  <c r="E1294" i="8" s="1"/>
  <c r="K1293" i="8"/>
  <c r="I1296" i="8"/>
  <c r="H1296" i="8" s="1"/>
  <c r="J1295" i="8"/>
  <c r="B1296" i="8" l="1"/>
  <c r="D1296" i="8"/>
  <c r="C1297" i="8"/>
  <c r="I1297" i="8"/>
  <c r="H1297" i="8" s="1"/>
  <c r="J1296" i="8"/>
  <c r="K1294" i="8"/>
  <c r="E1295" i="8" l="1"/>
  <c r="K1295" i="8"/>
  <c r="D1297" i="8"/>
  <c r="B1297" i="8"/>
  <c r="C1298" i="8"/>
  <c r="I1298" i="8"/>
  <c r="H1298" i="8" s="1"/>
  <c r="J1297" i="8"/>
  <c r="E1296" i="8" l="1"/>
  <c r="B1298" i="8"/>
  <c r="C1299" i="8"/>
  <c r="D1298" i="8"/>
  <c r="E1297" i="8" s="1"/>
  <c r="I1299" i="8"/>
  <c r="H1299" i="8" s="1"/>
  <c r="J1298" i="8"/>
  <c r="K1296" i="8"/>
  <c r="B1299" i="8" l="1"/>
  <c r="C1300" i="8"/>
  <c r="D1299" i="8"/>
  <c r="I1300" i="8"/>
  <c r="H1300" i="8" s="1"/>
  <c r="J1299" i="8"/>
  <c r="K1297" i="8"/>
  <c r="E1298" i="8" l="1"/>
  <c r="C1301" i="8"/>
  <c r="D1300" i="8"/>
  <c r="B1300" i="8"/>
  <c r="I1301" i="8"/>
  <c r="H1301" i="8" s="1"/>
  <c r="J1300" i="8"/>
  <c r="K1298" i="8"/>
  <c r="E1299" i="8" l="1"/>
  <c r="B1301" i="8"/>
  <c r="D1301" i="8"/>
  <c r="E1300" i="8" s="1"/>
  <c r="C1302" i="8"/>
  <c r="I1302" i="8"/>
  <c r="H1302" i="8" s="1"/>
  <c r="J1301" i="8"/>
  <c r="K1300" i="8" s="1"/>
  <c r="K1299" i="8"/>
  <c r="D1302" i="8" l="1"/>
  <c r="B1302" i="8"/>
  <c r="C1303" i="8"/>
  <c r="I1303" i="8"/>
  <c r="H1303" i="8" s="1"/>
  <c r="J1302" i="8"/>
  <c r="D1303" i="8" l="1"/>
  <c r="C1304" i="8"/>
  <c r="B1303" i="8"/>
  <c r="E1301" i="8"/>
  <c r="K1301" i="8"/>
  <c r="I1304" i="8"/>
  <c r="H1304" i="8" s="1"/>
  <c r="J1303" i="8"/>
  <c r="E1302" i="8" l="1"/>
  <c r="B1304" i="8"/>
  <c r="C1305" i="8"/>
  <c r="D1304" i="8"/>
  <c r="E1303" i="8" s="1"/>
  <c r="I1305" i="8"/>
  <c r="H1305" i="8" s="1"/>
  <c r="J1304" i="8"/>
  <c r="K1302" i="8"/>
  <c r="D1305" i="8" l="1"/>
  <c r="C1306" i="8"/>
  <c r="B1305" i="8"/>
  <c r="I1306" i="8"/>
  <c r="H1306" i="8" s="1"/>
  <c r="J1305" i="8"/>
  <c r="K1303" i="8"/>
  <c r="B1306" i="8" l="1"/>
  <c r="D1306" i="8"/>
  <c r="C1307" i="8"/>
  <c r="E1304" i="8"/>
  <c r="I1307" i="8"/>
  <c r="H1307" i="8" s="1"/>
  <c r="J1306" i="8"/>
  <c r="K1304" i="8"/>
  <c r="E1305" i="8" l="1"/>
  <c r="B1307" i="8"/>
  <c r="C1308" i="8"/>
  <c r="D1307" i="8"/>
  <c r="E1306" i="8" s="1"/>
  <c r="I1308" i="8"/>
  <c r="H1308" i="8" s="1"/>
  <c r="J1307" i="8"/>
  <c r="K1305" i="8"/>
  <c r="C1309" i="8" l="1"/>
  <c r="D1308" i="8"/>
  <c r="B1308" i="8"/>
  <c r="K1306" i="8"/>
  <c r="I1309" i="8"/>
  <c r="H1309" i="8" s="1"/>
  <c r="J1308" i="8"/>
  <c r="D1309" i="8" l="1"/>
  <c r="B1309" i="8"/>
  <c r="C1310" i="8"/>
  <c r="E1307" i="8"/>
  <c r="K1307" i="8"/>
  <c r="I1310" i="8"/>
  <c r="H1310" i="8" s="1"/>
  <c r="J1309" i="8"/>
  <c r="E1308" i="8" l="1"/>
  <c r="B1310" i="8"/>
  <c r="D1310" i="8"/>
  <c r="E1309" i="8" s="1"/>
  <c r="C1311" i="8"/>
  <c r="I1311" i="8"/>
  <c r="H1311" i="8" s="1"/>
  <c r="J1310" i="8"/>
  <c r="K1308" i="8"/>
  <c r="C1312" i="8" l="1"/>
  <c r="D1311" i="8"/>
  <c r="B1311" i="8"/>
  <c r="I1312" i="8"/>
  <c r="H1312" i="8" s="1"/>
  <c r="J1311" i="8"/>
  <c r="K1309" i="8"/>
  <c r="E1310" i="8" l="1"/>
  <c r="K1310" i="8"/>
  <c r="C1313" i="8"/>
  <c r="D1312" i="8"/>
  <c r="B1312" i="8"/>
  <c r="I1313" i="8"/>
  <c r="H1313" i="8" s="1"/>
  <c r="J1312" i="8"/>
  <c r="E1311" i="8" l="1"/>
  <c r="D1313" i="8"/>
  <c r="C1314" i="8"/>
  <c r="B1313" i="8"/>
  <c r="I1314" i="8"/>
  <c r="H1314" i="8" s="1"/>
  <c r="J1313" i="8"/>
  <c r="K1311" i="8"/>
  <c r="C1315" i="8" l="1"/>
  <c r="D1314" i="8"/>
  <c r="B1314" i="8"/>
  <c r="E1312" i="8"/>
  <c r="I1315" i="8"/>
  <c r="H1315" i="8" s="1"/>
  <c r="J1314" i="8"/>
  <c r="K1312" i="8"/>
  <c r="E1313" i="8" l="1"/>
  <c r="C1316" i="8"/>
  <c r="B1315" i="8"/>
  <c r="D1315" i="8"/>
  <c r="E1314" i="8" s="1"/>
  <c r="K1313" i="8"/>
  <c r="I1316" i="8"/>
  <c r="H1316" i="8" s="1"/>
  <c r="J1315" i="8"/>
  <c r="D1316" i="8" l="1"/>
  <c r="C1317" i="8"/>
  <c r="B1316" i="8"/>
  <c r="I1317" i="8"/>
  <c r="H1317" i="8" s="1"/>
  <c r="J1316" i="8"/>
  <c r="K1315" i="8" s="1"/>
  <c r="K1314" i="8"/>
  <c r="C1318" i="8" l="1"/>
  <c r="D1317" i="8"/>
  <c r="B1317" i="8"/>
  <c r="E1315" i="8"/>
  <c r="I1318" i="8"/>
  <c r="H1318" i="8" s="1"/>
  <c r="J1317" i="8"/>
  <c r="K1316" i="8" s="1"/>
  <c r="E1316" i="8" l="1"/>
  <c r="B1318" i="8"/>
  <c r="D1318" i="8"/>
  <c r="C1319" i="8"/>
  <c r="I1319" i="8"/>
  <c r="H1319" i="8" s="1"/>
  <c r="J1318" i="8"/>
  <c r="D1319" i="8" l="1"/>
  <c r="C1320" i="8"/>
  <c r="B1319" i="8"/>
  <c r="E1317" i="8"/>
  <c r="I1320" i="8"/>
  <c r="H1320" i="8" s="1"/>
  <c r="J1319" i="8"/>
  <c r="K1317" i="8"/>
  <c r="C1321" i="8" l="1"/>
  <c r="D1320" i="8"/>
  <c r="B1320" i="8"/>
  <c r="E1318" i="8"/>
  <c r="I1321" i="8"/>
  <c r="H1321" i="8" s="1"/>
  <c r="J1320" i="8"/>
  <c r="K1318" i="8"/>
  <c r="E1319" i="8" l="1"/>
  <c r="C1322" i="8"/>
  <c r="D1321" i="8"/>
  <c r="B1321" i="8"/>
  <c r="I1322" i="8"/>
  <c r="H1322" i="8" s="1"/>
  <c r="J1321" i="8"/>
  <c r="K1319" i="8"/>
  <c r="E1320" i="8" l="1"/>
  <c r="D1322" i="8"/>
  <c r="C1323" i="8"/>
  <c r="B1322" i="8"/>
  <c r="I1323" i="8"/>
  <c r="H1323" i="8" s="1"/>
  <c r="J1322" i="8"/>
  <c r="K1321" i="8" s="1"/>
  <c r="K1320" i="8"/>
  <c r="B1323" i="8" l="1"/>
  <c r="D1323" i="8"/>
  <c r="C1324" i="8"/>
  <c r="E1321" i="8"/>
  <c r="I1324" i="8"/>
  <c r="H1324" i="8" s="1"/>
  <c r="J1323" i="8"/>
  <c r="K1322" i="8" s="1"/>
  <c r="B1324" i="8" l="1"/>
  <c r="C1325" i="8"/>
  <c r="D1324" i="8"/>
  <c r="E1322" i="8"/>
  <c r="I1325" i="8"/>
  <c r="H1325" i="8" s="1"/>
  <c r="J1324" i="8"/>
  <c r="E1323" i="8" l="1"/>
  <c r="K1323" i="8"/>
  <c r="B1325" i="8"/>
  <c r="D1325" i="8"/>
  <c r="E1324" i="8" s="1"/>
  <c r="C1326" i="8"/>
  <c r="I1326" i="8"/>
  <c r="H1326" i="8" s="1"/>
  <c r="J1325" i="8"/>
  <c r="K1324" i="8" s="1"/>
  <c r="D1326" i="8" l="1"/>
  <c r="C1327" i="8"/>
  <c r="B1326" i="8"/>
  <c r="I1327" i="8"/>
  <c r="H1327" i="8" s="1"/>
  <c r="J1326" i="8"/>
  <c r="E1325" i="8" l="1"/>
  <c r="C1328" i="8"/>
  <c r="D1327" i="8"/>
  <c r="B1327" i="8"/>
  <c r="K1325" i="8"/>
  <c r="I1328" i="8"/>
  <c r="H1328" i="8" s="1"/>
  <c r="J1327" i="8"/>
  <c r="E1326" i="8" l="1"/>
  <c r="D1328" i="8"/>
  <c r="B1328" i="8"/>
  <c r="C1329" i="8"/>
  <c r="K1326" i="8"/>
  <c r="I1329" i="8"/>
  <c r="H1329" i="8" s="1"/>
  <c r="J1328" i="8"/>
  <c r="C1330" i="8" l="1"/>
  <c r="D1329" i="8"/>
  <c r="B1329" i="8"/>
  <c r="E1327" i="8"/>
  <c r="I1330" i="8"/>
  <c r="H1330" i="8" s="1"/>
  <c r="J1329" i="8"/>
  <c r="K1327" i="8"/>
  <c r="E1328" i="8" l="1"/>
  <c r="C1331" i="8"/>
  <c r="D1330" i="8"/>
  <c r="B1330" i="8"/>
  <c r="I1331" i="8"/>
  <c r="H1331" i="8" s="1"/>
  <c r="J1330" i="8"/>
  <c r="K1328" i="8"/>
  <c r="E1329" i="8" l="1"/>
  <c r="C1332" i="8"/>
  <c r="B1331" i="8"/>
  <c r="D1331" i="8"/>
  <c r="K1329" i="8"/>
  <c r="I1332" i="8"/>
  <c r="H1332" i="8" s="1"/>
  <c r="J1331" i="8"/>
  <c r="E1330" i="8" l="1"/>
  <c r="B1332" i="8"/>
  <c r="C1333" i="8"/>
  <c r="D1332" i="8"/>
  <c r="I1333" i="8"/>
  <c r="H1333" i="8" s="1"/>
  <c r="J1332" i="8"/>
  <c r="K1331" i="8" s="1"/>
  <c r="K1330" i="8"/>
  <c r="E1331" i="8" l="1"/>
  <c r="B1333" i="8"/>
  <c r="C1334" i="8"/>
  <c r="D1333" i="8"/>
  <c r="I1334" i="8"/>
  <c r="H1334" i="8" s="1"/>
  <c r="J1333" i="8"/>
  <c r="D1334" i="8" l="1"/>
  <c r="B1334" i="8"/>
  <c r="C1335" i="8"/>
  <c r="E1332" i="8"/>
  <c r="I1335" i="8"/>
  <c r="H1335" i="8" s="1"/>
  <c r="J1334" i="8"/>
  <c r="K1332" i="8"/>
  <c r="K1333" i="8" l="1"/>
  <c r="E1333" i="8"/>
  <c r="B1335" i="8"/>
  <c r="C1336" i="8"/>
  <c r="D1335" i="8"/>
  <c r="I1336" i="8"/>
  <c r="H1336" i="8" s="1"/>
  <c r="J1335" i="8"/>
  <c r="E1334" i="8" l="1"/>
  <c r="D1336" i="8"/>
  <c r="C1337" i="8"/>
  <c r="B1336" i="8"/>
  <c r="I1337" i="8"/>
  <c r="H1337" i="8" s="1"/>
  <c r="J1336" i="8"/>
  <c r="K1335" i="8" s="1"/>
  <c r="K1334" i="8"/>
  <c r="E1335" i="8" l="1"/>
  <c r="D1337" i="8"/>
  <c r="C1338" i="8"/>
  <c r="B1337" i="8"/>
  <c r="I1338" i="8"/>
  <c r="H1338" i="8" s="1"/>
  <c r="J1337" i="8"/>
  <c r="K1336" i="8" s="1"/>
  <c r="B1338" i="8" l="1"/>
  <c r="C1339" i="8"/>
  <c r="D1338" i="8"/>
  <c r="E1336" i="8"/>
  <c r="I1339" i="8"/>
  <c r="H1339" i="8" s="1"/>
  <c r="J1338" i="8"/>
  <c r="E1337" i="8" l="1"/>
  <c r="C1340" i="8"/>
  <c r="B1339" i="8"/>
  <c r="D1339" i="8"/>
  <c r="I1340" i="8"/>
  <c r="H1340" i="8" s="1"/>
  <c r="J1339" i="8"/>
  <c r="K1337" i="8"/>
  <c r="E1338" i="8" l="1"/>
  <c r="C1341" i="8"/>
  <c r="D1340" i="8"/>
  <c r="B1340" i="8"/>
  <c r="K1338" i="8"/>
  <c r="I1341" i="8"/>
  <c r="H1341" i="8" s="1"/>
  <c r="J1340" i="8"/>
  <c r="E1339" i="8" l="1"/>
  <c r="K1339" i="8"/>
  <c r="D1341" i="8"/>
  <c r="C1342" i="8"/>
  <c r="B1341" i="8"/>
  <c r="I1342" i="8"/>
  <c r="H1342" i="8" s="1"/>
  <c r="J1341" i="8"/>
  <c r="K1340" i="8" s="1"/>
  <c r="C1343" i="8" l="1"/>
  <c r="B1342" i="8"/>
  <c r="D1342" i="8"/>
  <c r="E1340" i="8"/>
  <c r="I1343" i="8"/>
  <c r="H1343" i="8" s="1"/>
  <c r="J1342" i="8"/>
  <c r="K1341" i="8" l="1"/>
  <c r="E1341" i="8"/>
  <c r="B1343" i="8"/>
  <c r="C1344" i="8"/>
  <c r="D1343" i="8"/>
  <c r="E1342" i="8" s="1"/>
  <c r="I1344" i="8"/>
  <c r="H1344" i="8" s="1"/>
  <c r="J1343" i="8"/>
  <c r="B1344" i="8" l="1"/>
  <c r="C1345" i="8"/>
  <c r="D1344" i="8"/>
  <c r="I1345" i="8"/>
  <c r="H1345" i="8" s="1"/>
  <c r="J1344" i="8"/>
  <c r="K1343" i="8" s="1"/>
  <c r="K1342" i="8"/>
  <c r="E1343" i="8" l="1"/>
  <c r="D1345" i="8"/>
  <c r="B1345" i="8"/>
  <c r="C1346" i="8"/>
  <c r="I1346" i="8"/>
  <c r="H1346" i="8" s="1"/>
  <c r="J1345" i="8"/>
  <c r="B1346" i="8" l="1"/>
  <c r="D1346" i="8"/>
  <c r="E1345" i="8" s="1"/>
  <c r="C1347" i="8"/>
  <c r="E1344" i="8"/>
  <c r="I1347" i="8"/>
  <c r="H1347" i="8" s="1"/>
  <c r="J1346" i="8"/>
  <c r="K1345" i="8" s="1"/>
  <c r="K1344" i="8"/>
  <c r="C1348" i="8" l="1"/>
  <c r="B1347" i="8"/>
  <c r="D1347" i="8"/>
  <c r="I1348" i="8"/>
  <c r="H1348" i="8" s="1"/>
  <c r="J1347" i="8"/>
  <c r="K1346" i="8" l="1"/>
  <c r="E1346" i="8"/>
  <c r="D1348" i="8"/>
  <c r="B1348" i="8"/>
  <c r="C1349" i="8"/>
  <c r="I1349" i="8"/>
  <c r="H1349" i="8" s="1"/>
  <c r="J1348" i="8"/>
  <c r="K1347" i="8" s="1"/>
  <c r="E1347" i="8" l="1"/>
  <c r="B1349" i="8"/>
  <c r="D1349" i="8"/>
  <c r="C1350" i="8"/>
  <c r="I1350" i="8"/>
  <c r="H1350" i="8" s="1"/>
  <c r="J1349" i="8"/>
  <c r="B1350" i="8" l="1"/>
  <c r="D1350" i="8"/>
  <c r="C1351" i="8"/>
  <c r="E1348" i="8"/>
  <c r="K1348" i="8"/>
  <c r="I1351" i="8"/>
  <c r="H1351" i="8" s="1"/>
  <c r="J1350" i="8"/>
  <c r="E1349" i="8" l="1"/>
  <c r="D1351" i="8"/>
  <c r="C1352" i="8"/>
  <c r="B1351" i="8"/>
  <c r="K1349" i="8"/>
  <c r="I1352" i="8"/>
  <c r="H1352" i="8" s="1"/>
  <c r="J1351" i="8"/>
  <c r="E1350" i="8" l="1"/>
  <c r="B1352" i="8"/>
  <c r="C1353" i="8"/>
  <c r="D1352" i="8"/>
  <c r="E1351" i="8" s="1"/>
  <c r="I1353" i="8"/>
  <c r="H1353" i="8" s="1"/>
  <c r="J1352" i="8"/>
  <c r="K1350" i="8"/>
  <c r="B1353" i="8" l="1"/>
  <c r="C1354" i="8"/>
  <c r="D1353" i="8"/>
  <c r="K1351" i="8"/>
  <c r="I1354" i="8"/>
  <c r="H1354" i="8" s="1"/>
  <c r="J1353" i="8"/>
  <c r="E1352" i="8" l="1"/>
  <c r="D1354" i="8"/>
  <c r="B1354" i="8"/>
  <c r="C1355" i="8"/>
  <c r="I1355" i="8"/>
  <c r="H1355" i="8" s="1"/>
  <c r="J1354" i="8"/>
  <c r="K1352" i="8"/>
  <c r="B1355" i="8" l="1"/>
  <c r="C1356" i="8"/>
  <c r="D1355" i="8"/>
  <c r="E1353" i="8"/>
  <c r="I1356" i="8"/>
  <c r="H1356" i="8" s="1"/>
  <c r="J1355" i="8"/>
  <c r="K1353" i="8"/>
  <c r="E1354" i="8" l="1"/>
  <c r="C1357" i="8"/>
  <c r="B1356" i="8"/>
  <c r="D1356" i="8"/>
  <c r="I1357" i="8"/>
  <c r="H1357" i="8" s="1"/>
  <c r="J1356" i="8"/>
  <c r="K1355" i="8" s="1"/>
  <c r="K1354" i="8"/>
  <c r="E1355" i="8" l="1"/>
  <c r="D1357" i="8"/>
  <c r="C1358" i="8"/>
  <c r="B1357" i="8"/>
  <c r="I1358" i="8"/>
  <c r="H1358" i="8" s="1"/>
  <c r="J1357" i="8"/>
  <c r="K1356" i="8" s="1"/>
  <c r="D1358" i="8" l="1"/>
  <c r="B1358" i="8"/>
  <c r="C1359" i="8"/>
  <c r="E1356" i="8"/>
  <c r="I1359" i="8"/>
  <c r="H1359" i="8" s="1"/>
  <c r="J1358" i="8"/>
  <c r="K1357" i="8" s="1"/>
  <c r="E1357" i="8" l="1"/>
  <c r="B1359" i="8"/>
  <c r="C1360" i="8"/>
  <c r="D1359" i="8"/>
  <c r="E1358" i="8" s="1"/>
  <c r="I1360" i="8"/>
  <c r="H1360" i="8" s="1"/>
  <c r="J1359" i="8"/>
  <c r="K1358" i="8" s="1"/>
  <c r="B1360" i="8" l="1"/>
  <c r="C1361" i="8"/>
  <c r="D1360" i="8"/>
  <c r="I1361" i="8"/>
  <c r="H1361" i="8" s="1"/>
  <c r="J1360" i="8"/>
  <c r="E1359" i="8" l="1"/>
  <c r="K1359" i="8"/>
  <c r="D1361" i="8"/>
  <c r="C1362" i="8"/>
  <c r="B1361" i="8"/>
  <c r="I1362" i="8"/>
  <c r="H1362" i="8" s="1"/>
  <c r="J1361" i="8"/>
  <c r="K1360" i="8" s="1"/>
  <c r="B1362" i="8" l="1"/>
  <c r="D1362" i="8"/>
  <c r="E1361" i="8" s="1"/>
  <c r="C1363" i="8"/>
  <c r="E1360" i="8"/>
  <c r="I1363" i="8"/>
  <c r="H1363" i="8" s="1"/>
  <c r="J1362" i="8"/>
  <c r="C1364" i="8" l="1"/>
  <c r="D1363" i="8"/>
  <c r="B1363" i="8"/>
  <c r="I1364" i="8"/>
  <c r="H1364" i="8" s="1"/>
  <c r="J1363" i="8"/>
  <c r="K1362" i="8" s="1"/>
  <c r="K1361" i="8"/>
  <c r="E1362" i="8" l="1"/>
  <c r="B1364" i="8"/>
  <c r="D1364" i="8"/>
  <c r="C1365" i="8"/>
  <c r="I1365" i="8"/>
  <c r="H1365" i="8" s="1"/>
  <c r="J1364" i="8"/>
  <c r="C1366" i="8" l="1"/>
  <c r="B1365" i="8"/>
  <c r="D1365" i="8"/>
  <c r="E1364" i="8" s="1"/>
  <c r="E1363" i="8"/>
  <c r="K1363" i="8"/>
  <c r="I1366" i="8"/>
  <c r="H1366" i="8" s="1"/>
  <c r="J1365" i="8"/>
  <c r="K1364" i="8" l="1"/>
  <c r="B1366" i="8"/>
  <c r="C1367" i="8"/>
  <c r="D1366" i="8"/>
  <c r="E1365" i="8" s="1"/>
  <c r="I1367" i="8"/>
  <c r="H1367" i="8" s="1"/>
  <c r="J1366" i="8"/>
  <c r="B1367" i="8" l="1"/>
  <c r="C1368" i="8"/>
  <c r="D1367" i="8"/>
  <c r="K1365" i="8"/>
  <c r="I1368" i="8"/>
  <c r="H1368" i="8" s="1"/>
  <c r="J1367" i="8"/>
  <c r="K1366" i="8" s="1"/>
  <c r="E1366" i="8" l="1"/>
  <c r="B1368" i="8"/>
  <c r="D1368" i="8"/>
  <c r="C1369" i="8"/>
  <c r="I1369" i="8"/>
  <c r="H1369" i="8" s="1"/>
  <c r="J1368" i="8"/>
  <c r="E1367" i="8" l="1"/>
  <c r="D1369" i="8"/>
  <c r="B1369" i="8"/>
  <c r="C1370" i="8"/>
  <c r="I1370" i="8"/>
  <c r="H1370" i="8" s="1"/>
  <c r="J1369" i="8"/>
  <c r="K1367" i="8"/>
  <c r="E1368" i="8" l="1"/>
  <c r="C1371" i="8"/>
  <c r="D1370" i="8"/>
  <c r="B1370" i="8"/>
  <c r="I1371" i="8"/>
  <c r="H1371" i="8" s="1"/>
  <c r="J1370" i="8"/>
  <c r="K1368" i="8"/>
  <c r="E1369" i="8" l="1"/>
  <c r="B1371" i="8"/>
  <c r="C1372" i="8"/>
  <c r="D1371" i="8"/>
  <c r="E1370" i="8" s="1"/>
  <c r="I1372" i="8"/>
  <c r="H1372" i="8" s="1"/>
  <c r="J1371" i="8"/>
  <c r="K1369" i="8"/>
  <c r="C1373" i="8" l="1"/>
  <c r="B1372" i="8"/>
  <c r="D1372" i="8"/>
  <c r="I1373" i="8"/>
  <c r="H1373" i="8" s="1"/>
  <c r="J1372" i="8"/>
  <c r="K1370" i="8"/>
  <c r="E1371" i="8" l="1"/>
  <c r="K1371" i="8"/>
  <c r="C1374" i="8"/>
  <c r="D1373" i="8"/>
  <c r="B1373" i="8"/>
  <c r="I1374" i="8"/>
  <c r="H1374" i="8" s="1"/>
  <c r="J1373" i="8"/>
  <c r="K1372" i="8" l="1"/>
  <c r="C1375" i="8"/>
  <c r="B1374" i="8"/>
  <c r="D1374" i="8"/>
  <c r="E1373" i="8" s="1"/>
  <c r="E1372" i="8"/>
  <c r="I1375" i="8"/>
  <c r="H1375" i="8" s="1"/>
  <c r="J1374" i="8"/>
  <c r="K1373" i="8" s="1"/>
  <c r="C1376" i="8" l="1"/>
  <c r="D1375" i="8"/>
  <c r="B1375" i="8"/>
  <c r="I1376" i="8"/>
  <c r="H1376" i="8" s="1"/>
  <c r="J1375" i="8"/>
  <c r="E1374" i="8" l="1"/>
  <c r="B1376" i="8"/>
  <c r="D1376" i="8"/>
  <c r="C1377" i="8"/>
  <c r="K1374" i="8"/>
  <c r="I1377" i="8"/>
  <c r="H1377" i="8" s="1"/>
  <c r="J1376" i="8"/>
  <c r="C1378" i="8" l="1"/>
  <c r="B1377" i="8"/>
  <c r="D1377" i="8"/>
  <c r="K1375" i="8"/>
  <c r="E1375" i="8"/>
  <c r="I1378" i="8"/>
  <c r="H1378" i="8" s="1"/>
  <c r="J1377" i="8"/>
  <c r="E1376" i="8" l="1"/>
  <c r="K1376" i="8"/>
  <c r="D1378" i="8"/>
  <c r="C1379" i="8"/>
  <c r="B1378" i="8"/>
  <c r="I1379" i="8"/>
  <c r="H1379" i="8" s="1"/>
  <c r="J1378" i="8"/>
  <c r="C1380" i="8" l="1"/>
  <c r="D1379" i="8"/>
  <c r="B1379" i="8"/>
  <c r="K1377" i="8"/>
  <c r="E1377" i="8"/>
  <c r="I1380" i="8"/>
  <c r="H1380" i="8" s="1"/>
  <c r="J1379" i="8"/>
  <c r="E1378" i="8" l="1"/>
  <c r="B1380" i="8"/>
  <c r="D1380" i="8"/>
  <c r="C1381" i="8"/>
  <c r="I1381" i="8"/>
  <c r="H1381" i="8" s="1"/>
  <c r="J1380" i="8"/>
  <c r="K1378" i="8"/>
  <c r="E1379" i="8" l="1"/>
  <c r="B1381" i="8"/>
  <c r="C1382" i="8"/>
  <c r="D1381" i="8"/>
  <c r="I1382" i="8"/>
  <c r="H1382" i="8" s="1"/>
  <c r="J1381" i="8"/>
  <c r="K1379" i="8"/>
  <c r="K1380" i="8" l="1"/>
  <c r="E1380" i="8"/>
  <c r="B1382" i="8"/>
  <c r="C1383" i="8"/>
  <c r="D1382" i="8"/>
  <c r="E1381" i="8" s="1"/>
  <c r="I1383" i="8"/>
  <c r="H1383" i="8" s="1"/>
  <c r="J1382" i="8"/>
  <c r="B1383" i="8" l="1"/>
  <c r="C1384" i="8"/>
  <c r="D1383" i="8"/>
  <c r="I1384" i="8"/>
  <c r="H1384" i="8" s="1"/>
  <c r="J1383" i="8"/>
  <c r="K1381" i="8"/>
  <c r="K1382" i="8" l="1"/>
  <c r="B1384" i="8"/>
  <c r="D1384" i="8"/>
  <c r="C1385" i="8"/>
  <c r="E1382" i="8"/>
  <c r="I1385" i="8"/>
  <c r="H1385" i="8" s="1"/>
  <c r="J1384" i="8"/>
  <c r="K1383" i="8" s="1"/>
  <c r="D1385" i="8" l="1"/>
  <c r="C1386" i="8"/>
  <c r="B1385" i="8"/>
  <c r="E1383" i="8"/>
  <c r="I1386" i="8"/>
  <c r="H1386" i="8" s="1"/>
  <c r="J1385" i="8"/>
  <c r="K1384" i="8" s="1"/>
  <c r="D1386" i="8" l="1"/>
  <c r="B1386" i="8"/>
  <c r="C1387" i="8"/>
  <c r="E1384" i="8"/>
  <c r="I1387" i="8"/>
  <c r="H1387" i="8" s="1"/>
  <c r="J1386" i="8"/>
  <c r="B1387" i="8" l="1"/>
  <c r="C1388" i="8"/>
  <c r="D1387" i="8"/>
  <c r="E1385" i="8"/>
  <c r="I1388" i="8"/>
  <c r="H1388" i="8" s="1"/>
  <c r="J1387" i="8"/>
  <c r="K1385" i="8"/>
  <c r="E1386" i="8" l="1"/>
  <c r="B1388" i="8"/>
  <c r="C1389" i="8"/>
  <c r="D1388" i="8"/>
  <c r="I1389" i="8"/>
  <c r="H1389" i="8" s="1"/>
  <c r="J1388" i="8"/>
  <c r="K1386" i="8"/>
  <c r="E1387" i="8" l="1"/>
  <c r="B1389" i="8"/>
  <c r="D1389" i="8"/>
  <c r="C1390" i="8"/>
  <c r="I1390" i="8"/>
  <c r="H1390" i="8" s="1"/>
  <c r="J1389" i="8"/>
  <c r="K1387" i="8"/>
  <c r="E1388" i="8" l="1"/>
  <c r="B1390" i="8"/>
  <c r="D1390" i="8"/>
  <c r="C1391" i="8"/>
  <c r="I1391" i="8"/>
  <c r="H1391" i="8" s="1"/>
  <c r="J1390" i="8"/>
  <c r="K1388" i="8"/>
  <c r="E1389" i="8" l="1"/>
  <c r="C1392" i="8"/>
  <c r="B1391" i="8"/>
  <c r="D1391" i="8"/>
  <c r="K1389" i="8"/>
  <c r="I1392" i="8"/>
  <c r="H1392" i="8" s="1"/>
  <c r="J1391" i="8"/>
  <c r="K1390" i="8" s="1"/>
  <c r="E1390" i="8" l="1"/>
  <c r="B1392" i="8"/>
  <c r="D1392" i="8"/>
  <c r="C1393" i="8"/>
  <c r="I1393" i="8"/>
  <c r="H1393" i="8" s="1"/>
  <c r="J1392" i="8"/>
  <c r="B1393" i="8" l="1"/>
  <c r="C1394" i="8"/>
  <c r="D1393" i="8"/>
  <c r="E1391" i="8"/>
  <c r="I1394" i="8"/>
  <c r="H1394" i="8" s="1"/>
  <c r="J1393" i="8"/>
  <c r="K1391" i="8"/>
  <c r="K1392" i="8" l="1"/>
  <c r="B1394" i="8"/>
  <c r="C1395" i="8"/>
  <c r="D1394" i="8"/>
  <c r="E1392" i="8"/>
  <c r="I1395" i="8"/>
  <c r="H1395" i="8" s="1"/>
  <c r="J1394" i="8"/>
  <c r="E1393" i="8" l="1"/>
  <c r="B1395" i="8"/>
  <c r="C1396" i="8"/>
  <c r="D1395" i="8"/>
  <c r="I1396" i="8"/>
  <c r="H1396" i="8" s="1"/>
  <c r="J1395" i="8"/>
  <c r="K1393" i="8"/>
  <c r="D1396" i="8" l="1"/>
  <c r="B1396" i="8"/>
  <c r="C1397" i="8"/>
  <c r="E1394" i="8"/>
  <c r="I1397" i="8"/>
  <c r="H1397" i="8" s="1"/>
  <c r="J1396" i="8"/>
  <c r="K1394" i="8"/>
  <c r="E1395" i="8" l="1"/>
  <c r="B1397" i="8"/>
  <c r="C1398" i="8"/>
  <c r="D1397" i="8"/>
  <c r="I1398" i="8"/>
  <c r="H1398" i="8" s="1"/>
  <c r="J1397" i="8"/>
  <c r="K1395" i="8"/>
  <c r="B1398" i="8" l="1"/>
  <c r="C1399" i="8"/>
  <c r="D1398" i="8"/>
  <c r="E1396" i="8"/>
  <c r="I1399" i="8"/>
  <c r="H1399" i="8" s="1"/>
  <c r="J1398" i="8"/>
  <c r="K1397" i="8" s="1"/>
  <c r="K1396" i="8"/>
  <c r="E1397" i="8" l="1"/>
  <c r="D1399" i="8"/>
  <c r="B1399" i="8"/>
  <c r="C1400" i="8"/>
  <c r="I1400" i="8"/>
  <c r="H1400" i="8" s="1"/>
  <c r="J1399" i="8"/>
  <c r="E1398" i="8" l="1"/>
  <c r="B1400" i="8"/>
  <c r="C1401" i="8"/>
  <c r="D1400" i="8"/>
  <c r="I1401" i="8"/>
  <c r="H1401" i="8" s="1"/>
  <c r="J1400" i="8"/>
  <c r="K1398" i="8"/>
  <c r="E1399" i="8" l="1"/>
  <c r="D1401" i="8"/>
  <c r="C1402" i="8"/>
  <c r="B1401" i="8"/>
  <c r="I1402" i="8"/>
  <c r="H1402" i="8" s="1"/>
  <c r="J1401" i="8"/>
  <c r="K1400" i="8" s="1"/>
  <c r="K1399" i="8"/>
  <c r="E1400" i="8" l="1"/>
  <c r="B1402" i="8"/>
  <c r="C1403" i="8"/>
  <c r="D1402" i="8"/>
  <c r="I1403" i="8"/>
  <c r="H1403" i="8" s="1"/>
  <c r="J1402" i="8"/>
  <c r="E1401" i="8" l="1"/>
  <c r="D1403" i="8"/>
  <c r="C1404" i="8"/>
  <c r="B1403" i="8"/>
  <c r="I1404" i="8"/>
  <c r="H1404" i="8" s="1"/>
  <c r="J1403" i="8"/>
  <c r="K1401" i="8"/>
  <c r="B1404" i="8" l="1"/>
  <c r="D1404" i="8"/>
  <c r="C1405" i="8"/>
  <c r="E1402" i="8"/>
  <c r="I1405" i="8"/>
  <c r="H1405" i="8" s="1"/>
  <c r="J1404" i="8"/>
  <c r="K1402" i="8"/>
  <c r="E1403" i="8" l="1"/>
  <c r="B1405" i="8"/>
  <c r="C1406" i="8"/>
  <c r="D1405" i="8"/>
  <c r="E1404" i="8" s="1"/>
  <c r="K1403" i="8"/>
  <c r="I1406" i="8"/>
  <c r="H1406" i="8" s="1"/>
  <c r="J1405" i="8"/>
  <c r="B1406" i="8" l="1"/>
  <c r="D1406" i="8"/>
  <c r="C1407" i="8"/>
  <c r="I1407" i="8"/>
  <c r="H1407" i="8" s="1"/>
  <c r="J1406" i="8"/>
  <c r="K1404" i="8"/>
  <c r="C1408" i="8" l="1"/>
  <c r="D1407" i="8"/>
  <c r="B1407" i="8"/>
  <c r="E1405" i="8"/>
  <c r="K1405" i="8"/>
  <c r="I1408" i="8"/>
  <c r="H1408" i="8" s="1"/>
  <c r="J1407" i="8"/>
  <c r="E1406" i="8" l="1"/>
  <c r="D1408" i="8"/>
  <c r="C1409" i="8"/>
  <c r="B1408" i="8"/>
  <c r="I1409" i="8"/>
  <c r="H1409" i="8" s="1"/>
  <c r="J1408" i="8"/>
  <c r="K1407" i="8" s="1"/>
  <c r="K1406" i="8"/>
  <c r="B1409" i="8" l="1"/>
  <c r="C1410" i="8"/>
  <c r="D1409" i="8"/>
  <c r="E1408" i="8" s="1"/>
  <c r="E1407" i="8"/>
  <c r="I1410" i="8"/>
  <c r="H1410" i="8" s="1"/>
  <c r="J1409" i="8"/>
  <c r="D1410" i="8" l="1"/>
  <c r="C1411" i="8"/>
  <c r="B1410" i="8"/>
  <c r="K1408" i="8"/>
  <c r="I1411" i="8"/>
  <c r="H1411" i="8" s="1"/>
  <c r="J1410" i="8"/>
  <c r="E1409" i="8" l="1"/>
  <c r="D1411" i="8"/>
  <c r="B1411" i="8"/>
  <c r="C1412" i="8"/>
  <c r="I1412" i="8"/>
  <c r="H1412" i="8" s="1"/>
  <c r="J1411" i="8"/>
  <c r="K1409" i="8"/>
  <c r="E1410" i="8" l="1"/>
  <c r="C1413" i="8"/>
  <c r="D1412" i="8"/>
  <c r="B1412" i="8"/>
  <c r="K1410" i="8"/>
  <c r="I1413" i="8"/>
  <c r="H1413" i="8" s="1"/>
  <c r="J1412" i="8"/>
  <c r="E1411" i="8" l="1"/>
  <c r="B1413" i="8"/>
  <c r="D1413" i="8"/>
  <c r="C1414" i="8"/>
  <c r="K1411" i="8"/>
  <c r="I1414" i="8"/>
  <c r="H1414" i="8" s="1"/>
  <c r="J1413" i="8"/>
  <c r="B1414" i="8" l="1"/>
  <c r="D1414" i="8"/>
  <c r="C1415" i="8"/>
  <c r="E1412" i="8"/>
  <c r="I1415" i="8"/>
  <c r="H1415" i="8" s="1"/>
  <c r="J1414" i="8"/>
  <c r="K1413" i="8" s="1"/>
  <c r="K1412" i="8"/>
  <c r="E1413" i="8" l="1"/>
  <c r="D1415" i="8"/>
  <c r="C1416" i="8"/>
  <c r="B1415" i="8"/>
  <c r="I1416" i="8"/>
  <c r="H1416" i="8" s="1"/>
  <c r="J1415" i="8"/>
  <c r="K1414" i="8" s="1"/>
  <c r="E1414" i="8" l="1"/>
  <c r="B1416" i="8"/>
  <c r="D1416" i="8"/>
  <c r="C1417" i="8"/>
  <c r="I1417" i="8"/>
  <c r="H1417" i="8" s="1"/>
  <c r="J1416" i="8"/>
  <c r="E1415" i="8" l="1"/>
  <c r="C1418" i="8"/>
  <c r="D1417" i="8"/>
  <c r="B1417" i="8"/>
  <c r="I1418" i="8"/>
  <c r="H1418" i="8" s="1"/>
  <c r="J1417" i="8"/>
  <c r="K1416" i="8" s="1"/>
  <c r="K1415" i="8"/>
  <c r="E1416" i="8" l="1"/>
  <c r="B1418" i="8"/>
  <c r="D1418" i="8"/>
  <c r="E1417" i="8" s="1"/>
  <c r="C1419" i="8"/>
  <c r="I1419" i="8"/>
  <c r="H1419" i="8" s="1"/>
  <c r="J1418" i="8"/>
  <c r="C1420" i="8" l="1"/>
  <c r="D1419" i="8"/>
  <c r="B1419" i="8"/>
  <c r="K1417" i="8"/>
  <c r="I1420" i="8"/>
  <c r="H1420" i="8" s="1"/>
  <c r="J1419" i="8"/>
  <c r="E1418" i="8" l="1"/>
  <c r="C1421" i="8"/>
  <c r="B1420" i="8"/>
  <c r="D1420" i="8"/>
  <c r="K1418" i="8"/>
  <c r="I1421" i="8"/>
  <c r="H1421" i="8" s="1"/>
  <c r="J1420" i="8"/>
  <c r="K1419" i="8" s="1"/>
  <c r="C1422" i="8" l="1"/>
  <c r="D1421" i="8"/>
  <c r="B1421" i="8"/>
  <c r="E1419" i="8"/>
  <c r="I1422" i="8"/>
  <c r="H1422" i="8" s="1"/>
  <c r="J1421" i="8"/>
  <c r="E1420" i="8" l="1"/>
  <c r="C1423" i="8"/>
  <c r="B1422" i="8"/>
  <c r="D1422" i="8"/>
  <c r="K1420" i="8"/>
  <c r="I1423" i="8"/>
  <c r="H1423" i="8" s="1"/>
  <c r="J1422" i="8"/>
  <c r="E1421" i="8" l="1"/>
  <c r="C1424" i="8"/>
  <c r="D1423" i="8"/>
  <c r="B1423" i="8"/>
  <c r="I1424" i="8"/>
  <c r="H1424" i="8" s="1"/>
  <c r="J1423" i="8"/>
  <c r="K1421" i="8"/>
  <c r="E1422" i="8" l="1"/>
  <c r="D1424" i="8"/>
  <c r="C1425" i="8"/>
  <c r="B1424" i="8"/>
  <c r="K1422" i="8"/>
  <c r="I1425" i="8"/>
  <c r="H1425" i="8" s="1"/>
  <c r="J1424" i="8"/>
  <c r="E1423" i="8" l="1"/>
  <c r="B1425" i="8"/>
  <c r="C1426" i="8"/>
  <c r="D1425" i="8"/>
  <c r="I1426" i="8"/>
  <c r="H1426" i="8" s="1"/>
  <c r="J1425" i="8"/>
  <c r="K1423" i="8"/>
  <c r="E1424" i="8" l="1"/>
  <c r="B1426" i="8"/>
  <c r="C1427" i="8"/>
  <c r="D1426" i="8"/>
  <c r="I1427" i="8"/>
  <c r="H1427" i="8" s="1"/>
  <c r="J1426" i="8"/>
  <c r="K1424" i="8"/>
  <c r="E1425" i="8" l="1"/>
  <c r="B1427" i="8"/>
  <c r="D1427" i="8"/>
  <c r="C1428" i="8"/>
  <c r="I1428" i="8"/>
  <c r="H1428" i="8" s="1"/>
  <c r="J1427" i="8"/>
  <c r="K1425" i="8"/>
  <c r="E1426" i="8" l="1"/>
  <c r="C1429" i="8"/>
  <c r="B1428" i="8"/>
  <c r="D1428" i="8"/>
  <c r="I1429" i="8"/>
  <c r="H1429" i="8" s="1"/>
  <c r="J1428" i="8"/>
  <c r="K1426" i="8"/>
  <c r="E1427" i="8" l="1"/>
  <c r="D1429" i="8"/>
  <c r="C1430" i="8"/>
  <c r="B1429" i="8"/>
  <c r="I1430" i="8"/>
  <c r="H1430" i="8" s="1"/>
  <c r="J1429" i="8"/>
  <c r="K1427" i="8"/>
  <c r="B1430" i="8" l="1"/>
  <c r="D1430" i="8"/>
  <c r="C1431" i="8"/>
  <c r="E1428" i="8"/>
  <c r="I1431" i="8"/>
  <c r="H1431" i="8" s="1"/>
  <c r="J1430" i="8"/>
  <c r="K1428" i="8"/>
  <c r="E1429" i="8" l="1"/>
  <c r="C1432" i="8"/>
  <c r="D1431" i="8"/>
  <c r="B1431" i="8"/>
  <c r="K1429" i="8"/>
  <c r="I1432" i="8"/>
  <c r="H1432" i="8" s="1"/>
  <c r="J1431" i="8"/>
  <c r="E1430" i="8" l="1"/>
  <c r="K1430" i="8"/>
  <c r="B1432" i="8"/>
  <c r="D1432" i="8"/>
  <c r="C1433" i="8"/>
  <c r="I1433" i="8"/>
  <c r="H1433" i="8" s="1"/>
  <c r="J1432" i="8"/>
  <c r="K1431" i="8" s="1"/>
  <c r="B1433" i="8" l="1"/>
  <c r="C1434" i="8"/>
  <c r="D1433" i="8"/>
  <c r="E1431" i="8"/>
  <c r="I1434" i="8"/>
  <c r="H1434" i="8" s="1"/>
  <c r="J1433" i="8"/>
  <c r="E1432" i="8" l="1"/>
  <c r="B1434" i="8"/>
  <c r="D1434" i="8"/>
  <c r="C1435" i="8"/>
  <c r="I1435" i="8"/>
  <c r="H1435" i="8" s="1"/>
  <c r="J1434" i="8"/>
  <c r="K1432" i="8"/>
  <c r="B1435" i="8" l="1"/>
  <c r="D1435" i="8"/>
  <c r="C1436" i="8"/>
  <c r="E1433" i="8"/>
  <c r="I1436" i="8"/>
  <c r="H1436" i="8" s="1"/>
  <c r="J1435" i="8"/>
  <c r="K1434" i="8" s="1"/>
  <c r="K1433" i="8"/>
  <c r="E1434" i="8" l="1"/>
  <c r="B1436" i="8"/>
  <c r="C1437" i="8"/>
  <c r="D1436" i="8"/>
  <c r="I1437" i="8"/>
  <c r="H1437" i="8" s="1"/>
  <c r="J1436" i="8"/>
  <c r="B1437" i="8" l="1"/>
  <c r="D1437" i="8"/>
  <c r="C1438" i="8"/>
  <c r="E1435" i="8"/>
  <c r="K1435" i="8"/>
  <c r="I1438" i="8"/>
  <c r="H1438" i="8" s="1"/>
  <c r="J1437" i="8"/>
  <c r="C1439" i="8" l="1"/>
  <c r="D1438" i="8"/>
  <c r="B1438" i="8"/>
  <c r="K1436" i="8"/>
  <c r="E1436" i="8"/>
  <c r="I1439" i="8"/>
  <c r="H1439" i="8" s="1"/>
  <c r="J1438" i="8"/>
  <c r="C1440" i="8" l="1"/>
  <c r="B1439" i="8"/>
  <c r="D1439" i="8"/>
  <c r="E1437" i="8"/>
  <c r="K1437" i="8"/>
  <c r="I1440" i="8"/>
  <c r="H1440" i="8" s="1"/>
  <c r="J1439" i="8"/>
  <c r="C1441" i="8" l="1"/>
  <c r="D1440" i="8"/>
  <c r="B1440" i="8"/>
  <c r="E1438" i="8"/>
  <c r="I1441" i="8"/>
  <c r="H1441" i="8" s="1"/>
  <c r="J1440" i="8"/>
  <c r="K1439" i="8" s="1"/>
  <c r="K1438" i="8"/>
  <c r="E1439" i="8" l="1"/>
  <c r="C1442" i="8"/>
  <c r="B1441" i="8"/>
  <c r="D1441" i="8"/>
  <c r="I1442" i="8"/>
  <c r="H1442" i="8" s="1"/>
  <c r="J1441" i="8"/>
  <c r="K1440" i="8" s="1"/>
  <c r="E1440" i="8" l="1"/>
  <c r="D1442" i="8"/>
  <c r="C1443" i="8"/>
  <c r="B1442" i="8"/>
  <c r="I1443" i="8"/>
  <c r="H1443" i="8" s="1"/>
  <c r="J1442" i="8"/>
  <c r="E1441" i="8" l="1"/>
  <c r="C1444" i="8"/>
  <c r="B1443" i="8"/>
  <c r="D1443" i="8"/>
  <c r="K1441" i="8"/>
  <c r="I1444" i="8"/>
  <c r="H1444" i="8" s="1"/>
  <c r="J1443" i="8"/>
  <c r="E1442" i="8" l="1"/>
  <c r="K1442" i="8"/>
  <c r="C1445" i="8"/>
  <c r="B1444" i="8"/>
  <c r="D1444" i="8"/>
  <c r="I1445" i="8"/>
  <c r="H1445" i="8" s="1"/>
  <c r="J1444" i="8"/>
  <c r="E1443" i="8" l="1"/>
  <c r="B1445" i="8"/>
  <c r="D1445" i="8"/>
  <c r="C1446" i="8"/>
  <c r="K1443" i="8"/>
  <c r="I1446" i="8"/>
  <c r="H1446" i="8" s="1"/>
  <c r="J1445" i="8"/>
  <c r="K1444" i="8" s="1"/>
  <c r="E1444" i="8" l="1"/>
  <c r="B1446" i="8"/>
  <c r="C1447" i="8"/>
  <c r="D1446" i="8"/>
  <c r="I1447" i="8"/>
  <c r="H1447" i="8" s="1"/>
  <c r="J1446" i="8"/>
  <c r="D1447" i="8" l="1"/>
  <c r="B1447" i="8"/>
  <c r="C1448" i="8"/>
  <c r="E1445" i="8"/>
  <c r="K1445" i="8"/>
  <c r="I1448" i="8"/>
  <c r="H1448" i="8" s="1"/>
  <c r="J1447" i="8"/>
  <c r="C1449" i="8" l="1"/>
  <c r="D1448" i="8"/>
  <c r="B1448" i="8"/>
  <c r="E1446" i="8"/>
  <c r="I1449" i="8"/>
  <c r="H1449" i="8" s="1"/>
  <c r="J1448" i="8"/>
  <c r="K1447" i="8" s="1"/>
  <c r="K1446" i="8"/>
  <c r="E1447" i="8" l="1"/>
  <c r="D1449" i="8"/>
  <c r="B1449" i="8"/>
  <c r="C1450" i="8"/>
  <c r="I1450" i="8"/>
  <c r="H1450" i="8" s="1"/>
  <c r="J1449" i="8"/>
  <c r="B1450" i="8" l="1"/>
  <c r="D1450" i="8"/>
  <c r="E1449" i="8" s="1"/>
  <c r="C1451" i="8"/>
  <c r="E1448" i="8"/>
  <c r="K1448" i="8"/>
  <c r="I1451" i="8"/>
  <c r="H1451" i="8" s="1"/>
  <c r="J1450" i="8"/>
  <c r="K1449" i="8" s="1"/>
  <c r="B1451" i="8" l="1"/>
  <c r="C1452" i="8"/>
  <c r="D1451" i="8"/>
  <c r="I1452" i="8"/>
  <c r="H1452" i="8" s="1"/>
  <c r="J1451" i="8"/>
  <c r="K1450" i="8" l="1"/>
  <c r="D1452" i="8"/>
  <c r="B1452" i="8"/>
  <c r="C1453" i="8"/>
  <c r="E1450" i="8"/>
  <c r="I1453" i="8"/>
  <c r="H1453" i="8" s="1"/>
  <c r="J1452" i="8"/>
  <c r="C1454" i="8" l="1"/>
  <c r="D1453" i="8"/>
  <c r="B1453" i="8"/>
  <c r="E1451" i="8"/>
  <c r="K1451" i="8"/>
  <c r="I1454" i="8"/>
  <c r="H1454" i="8" s="1"/>
  <c r="J1453" i="8"/>
  <c r="E1452" i="8" l="1"/>
  <c r="C1455" i="8"/>
  <c r="D1454" i="8"/>
  <c r="B1454" i="8"/>
  <c r="I1455" i="8"/>
  <c r="H1455" i="8" s="1"/>
  <c r="J1454" i="8"/>
  <c r="K1452" i="8"/>
  <c r="B1455" i="8" l="1"/>
  <c r="D1455" i="8"/>
  <c r="C1456" i="8"/>
  <c r="E1453" i="8"/>
  <c r="I1456" i="8"/>
  <c r="H1456" i="8" s="1"/>
  <c r="J1455" i="8"/>
  <c r="K1453" i="8"/>
  <c r="E1454" i="8" l="1"/>
  <c r="B1456" i="8"/>
  <c r="C1457" i="8"/>
  <c r="D1456" i="8"/>
  <c r="E1455" i="8" s="1"/>
  <c r="K1454" i="8"/>
  <c r="I1457" i="8"/>
  <c r="H1457" i="8" s="1"/>
  <c r="J1456" i="8"/>
  <c r="D1457" i="8" l="1"/>
  <c r="B1457" i="8"/>
  <c r="C1458" i="8"/>
  <c r="I1458" i="8"/>
  <c r="H1458" i="8" s="1"/>
  <c r="J1457" i="8"/>
  <c r="K1455" i="8"/>
  <c r="C1459" i="8" l="1"/>
  <c r="D1458" i="8"/>
  <c r="B1458" i="8"/>
  <c r="E1456" i="8"/>
  <c r="I1459" i="8"/>
  <c r="H1459" i="8" s="1"/>
  <c r="J1458" i="8"/>
  <c r="K1456" i="8"/>
  <c r="E1457" i="8" l="1"/>
  <c r="D1459" i="8"/>
  <c r="C1460" i="8"/>
  <c r="B1459" i="8"/>
  <c r="I1460" i="8"/>
  <c r="H1460" i="8" s="1"/>
  <c r="J1459" i="8"/>
  <c r="K1457" i="8"/>
  <c r="B1460" i="8" l="1"/>
  <c r="C1461" i="8"/>
  <c r="D1460" i="8"/>
  <c r="E1458" i="8"/>
  <c r="I1461" i="8"/>
  <c r="H1461" i="8" s="1"/>
  <c r="J1460" i="8"/>
  <c r="K1458" i="8"/>
  <c r="E1459" i="8" l="1"/>
  <c r="C1462" i="8"/>
  <c r="D1461" i="8"/>
  <c r="B1461" i="8"/>
  <c r="I1462" i="8"/>
  <c r="H1462" i="8" s="1"/>
  <c r="J1461" i="8"/>
  <c r="K1459" i="8"/>
  <c r="E1460" i="8" l="1"/>
  <c r="B1462" i="8"/>
  <c r="C1463" i="8"/>
  <c r="D1462" i="8"/>
  <c r="E1461" i="8" s="1"/>
  <c r="I1463" i="8"/>
  <c r="H1463" i="8" s="1"/>
  <c r="J1462" i="8"/>
  <c r="K1461" i="8" s="1"/>
  <c r="K1460" i="8"/>
  <c r="B1463" i="8" l="1"/>
  <c r="D1463" i="8"/>
  <c r="C1464" i="8"/>
  <c r="I1464" i="8"/>
  <c r="H1464" i="8" s="1"/>
  <c r="J1463" i="8"/>
  <c r="E1462" i="8" l="1"/>
  <c r="B1464" i="8"/>
  <c r="C1465" i="8"/>
  <c r="D1464" i="8"/>
  <c r="K1462" i="8"/>
  <c r="I1465" i="8"/>
  <c r="H1465" i="8" s="1"/>
  <c r="J1464" i="8"/>
  <c r="E1463" i="8" l="1"/>
  <c r="C1466" i="8"/>
  <c r="D1465" i="8"/>
  <c r="B1465" i="8"/>
  <c r="K1463" i="8"/>
  <c r="I1466" i="8"/>
  <c r="H1466" i="8" s="1"/>
  <c r="J1465" i="8"/>
  <c r="K1464" i="8" l="1"/>
  <c r="E1464" i="8"/>
  <c r="C1467" i="8"/>
  <c r="D1466" i="8"/>
  <c r="B1466" i="8"/>
  <c r="I1467" i="8"/>
  <c r="H1467" i="8" s="1"/>
  <c r="J1466" i="8"/>
  <c r="E1465" i="8" l="1"/>
  <c r="C1468" i="8"/>
  <c r="B1467" i="8"/>
  <c r="D1467" i="8"/>
  <c r="K1465" i="8"/>
  <c r="I1468" i="8"/>
  <c r="H1468" i="8" s="1"/>
  <c r="J1467" i="8"/>
  <c r="E1466" i="8" l="1"/>
  <c r="C1469" i="8"/>
  <c r="D1468" i="8"/>
  <c r="B1468" i="8"/>
  <c r="K1466" i="8"/>
  <c r="I1469" i="8"/>
  <c r="H1469" i="8" s="1"/>
  <c r="J1468" i="8"/>
  <c r="K1467" i="8" s="1"/>
  <c r="E1467" i="8" l="1"/>
  <c r="B1469" i="8"/>
  <c r="D1469" i="8"/>
  <c r="C1470" i="8"/>
  <c r="I1470" i="8"/>
  <c r="H1470" i="8" s="1"/>
  <c r="J1469" i="8"/>
  <c r="K1468" i="8" l="1"/>
  <c r="D1470" i="8"/>
  <c r="B1470" i="8"/>
  <c r="C1471" i="8"/>
  <c r="E1468" i="8"/>
  <c r="I1471" i="8"/>
  <c r="H1471" i="8" s="1"/>
  <c r="J1470" i="8"/>
  <c r="E1469" i="8" l="1"/>
  <c r="C1472" i="8"/>
  <c r="B1471" i="8"/>
  <c r="D1471" i="8"/>
  <c r="I1472" i="8"/>
  <c r="H1472" i="8" s="1"/>
  <c r="J1471" i="8"/>
  <c r="K1469" i="8"/>
  <c r="K1470" i="8" l="1"/>
  <c r="E1470" i="8"/>
  <c r="D1472" i="8"/>
  <c r="C1473" i="8"/>
  <c r="B1472" i="8"/>
  <c r="I1473" i="8"/>
  <c r="H1473" i="8" s="1"/>
  <c r="J1472" i="8"/>
  <c r="K1471" i="8" s="1"/>
  <c r="B1473" i="8" l="1"/>
  <c r="C1474" i="8"/>
  <c r="D1473" i="8"/>
  <c r="E1471" i="8"/>
  <c r="I1474" i="8"/>
  <c r="H1474" i="8" s="1"/>
  <c r="J1473" i="8"/>
  <c r="D1474" i="8" l="1"/>
  <c r="C1475" i="8"/>
  <c r="B1474" i="8"/>
  <c r="E1472" i="8"/>
  <c r="I1475" i="8"/>
  <c r="H1475" i="8" s="1"/>
  <c r="J1474" i="8"/>
  <c r="K1472" i="8"/>
  <c r="D1475" i="8" l="1"/>
  <c r="B1475" i="8"/>
  <c r="C1476" i="8"/>
  <c r="E1473" i="8"/>
  <c r="I1476" i="8"/>
  <c r="H1476" i="8" s="1"/>
  <c r="J1475" i="8"/>
  <c r="K1473" i="8"/>
  <c r="E1474" i="8" l="1"/>
  <c r="B1476" i="8"/>
  <c r="C1477" i="8"/>
  <c r="D1476" i="8"/>
  <c r="E1475" i="8" s="1"/>
  <c r="I1477" i="8"/>
  <c r="H1477" i="8" s="1"/>
  <c r="J1476" i="8"/>
  <c r="K1474" i="8"/>
  <c r="C1478" i="8" l="1"/>
  <c r="B1477" i="8"/>
  <c r="D1477" i="8"/>
  <c r="K1475" i="8"/>
  <c r="I1478" i="8"/>
  <c r="H1478" i="8" s="1"/>
  <c r="J1477" i="8"/>
  <c r="E1476" i="8" l="1"/>
  <c r="D1478" i="8"/>
  <c r="B1478" i="8"/>
  <c r="C1479" i="8"/>
  <c r="K1476" i="8"/>
  <c r="I1479" i="8"/>
  <c r="H1479" i="8" s="1"/>
  <c r="J1478" i="8"/>
  <c r="K1477" i="8" s="1"/>
  <c r="B1479" i="8" l="1"/>
  <c r="C1480" i="8"/>
  <c r="D1479" i="8"/>
  <c r="E1477" i="8"/>
  <c r="I1480" i="8"/>
  <c r="H1480" i="8" s="1"/>
  <c r="J1479" i="8"/>
  <c r="E1478" i="8" l="1"/>
  <c r="C1481" i="8"/>
  <c r="D1480" i="8"/>
  <c r="B1480" i="8"/>
  <c r="I1481" i="8"/>
  <c r="H1481" i="8" s="1"/>
  <c r="J1480" i="8"/>
  <c r="K1479" i="8" s="1"/>
  <c r="K1478" i="8"/>
  <c r="B1481" i="8" l="1"/>
  <c r="D1481" i="8"/>
  <c r="C1482" i="8"/>
  <c r="E1479" i="8"/>
  <c r="I1482" i="8"/>
  <c r="H1482" i="8" s="1"/>
  <c r="J1481" i="8"/>
  <c r="E1480" i="8" l="1"/>
  <c r="C1483" i="8"/>
  <c r="D1482" i="8"/>
  <c r="B1482" i="8"/>
  <c r="K1480" i="8"/>
  <c r="I1483" i="8"/>
  <c r="H1483" i="8" s="1"/>
  <c r="J1482" i="8"/>
  <c r="K1481" i="8" l="1"/>
  <c r="E1481" i="8"/>
  <c r="B1483" i="8"/>
  <c r="D1483" i="8"/>
  <c r="C1484" i="8"/>
  <c r="I1484" i="8"/>
  <c r="H1484" i="8" s="1"/>
  <c r="J1483" i="8"/>
  <c r="E1482" i="8" l="1"/>
  <c r="B1484" i="8"/>
  <c r="C1485" i="8"/>
  <c r="D1484" i="8"/>
  <c r="E1483" i="8" s="1"/>
  <c r="I1485" i="8"/>
  <c r="H1485" i="8" s="1"/>
  <c r="J1484" i="8"/>
  <c r="K1483" i="8" s="1"/>
  <c r="K1482" i="8"/>
  <c r="D1485" i="8" l="1"/>
  <c r="B1485" i="8"/>
  <c r="C1486" i="8"/>
  <c r="I1486" i="8"/>
  <c r="H1486" i="8" s="1"/>
  <c r="J1485" i="8"/>
  <c r="C1487" i="8" l="1"/>
  <c r="D1486" i="8"/>
  <c r="B1486" i="8"/>
  <c r="E1484" i="8"/>
  <c r="K1484" i="8"/>
  <c r="I1487" i="8"/>
  <c r="H1487" i="8" s="1"/>
  <c r="J1486" i="8"/>
  <c r="E1485" i="8" l="1"/>
  <c r="C1488" i="8"/>
  <c r="B1487" i="8"/>
  <c r="D1487" i="8"/>
  <c r="I1488" i="8"/>
  <c r="H1488" i="8" s="1"/>
  <c r="J1487" i="8"/>
  <c r="K1485" i="8"/>
  <c r="E1486" i="8" l="1"/>
  <c r="B1488" i="8"/>
  <c r="C1489" i="8"/>
  <c r="D1488" i="8"/>
  <c r="I1489" i="8"/>
  <c r="H1489" i="8" s="1"/>
  <c r="J1488" i="8"/>
  <c r="K1486" i="8"/>
  <c r="K1487" i="8" l="1"/>
  <c r="E1487" i="8"/>
  <c r="B1489" i="8"/>
  <c r="D1489" i="8"/>
  <c r="C1490" i="8"/>
  <c r="I1490" i="8"/>
  <c r="H1490" i="8" s="1"/>
  <c r="J1489" i="8"/>
  <c r="E1488" i="8" l="1"/>
  <c r="B1490" i="8"/>
  <c r="C1491" i="8"/>
  <c r="D1490" i="8"/>
  <c r="K1488" i="8"/>
  <c r="I1491" i="8"/>
  <c r="H1491" i="8" s="1"/>
  <c r="J1490" i="8"/>
  <c r="C1492" i="8" l="1"/>
  <c r="D1491" i="8"/>
  <c r="B1491" i="8"/>
  <c r="E1489" i="8"/>
  <c r="I1492" i="8"/>
  <c r="H1492" i="8" s="1"/>
  <c r="J1491" i="8"/>
  <c r="K1489" i="8"/>
  <c r="E1490" i="8" l="1"/>
  <c r="D1492" i="8"/>
  <c r="B1492" i="8"/>
  <c r="C1493" i="8"/>
  <c r="I1493" i="8"/>
  <c r="H1493" i="8" s="1"/>
  <c r="J1492" i="8"/>
  <c r="K1490" i="8"/>
  <c r="E1491" i="8" l="1"/>
  <c r="B1493" i="8"/>
  <c r="C1494" i="8"/>
  <c r="D1493" i="8"/>
  <c r="E1492" i="8" s="1"/>
  <c r="I1494" i="8"/>
  <c r="H1494" i="8" s="1"/>
  <c r="J1493" i="8"/>
  <c r="K1491" i="8"/>
  <c r="D1494" i="8" l="1"/>
  <c r="C1495" i="8"/>
  <c r="B1494" i="8"/>
  <c r="K1492" i="8"/>
  <c r="I1495" i="8"/>
  <c r="H1495" i="8" s="1"/>
  <c r="J1494" i="8"/>
  <c r="K1493" i="8" l="1"/>
  <c r="B1495" i="8"/>
  <c r="C1496" i="8"/>
  <c r="D1495" i="8"/>
  <c r="E1493" i="8"/>
  <c r="I1496" i="8"/>
  <c r="H1496" i="8" s="1"/>
  <c r="J1495" i="8"/>
  <c r="K1494" i="8" l="1"/>
  <c r="C1497" i="8"/>
  <c r="B1496" i="8"/>
  <c r="D1496" i="8"/>
  <c r="E1494" i="8"/>
  <c r="I1497" i="8"/>
  <c r="H1497" i="8" s="1"/>
  <c r="J1496" i="8"/>
  <c r="D1497" i="8" l="1"/>
  <c r="B1497" i="8"/>
  <c r="C1498" i="8"/>
  <c r="E1495" i="8"/>
  <c r="I1498" i="8"/>
  <c r="H1498" i="8" s="1"/>
  <c r="J1497" i="8"/>
  <c r="K1495" i="8"/>
  <c r="E1496" i="8" l="1"/>
  <c r="C1499" i="8"/>
  <c r="D1498" i="8"/>
  <c r="B1498" i="8"/>
  <c r="I1499" i="8"/>
  <c r="H1499" i="8" s="1"/>
  <c r="J1498" i="8"/>
  <c r="K1497" i="8" s="1"/>
  <c r="K1496" i="8"/>
  <c r="E1497" i="8" l="1"/>
  <c r="D1499" i="8"/>
  <c r="B1499" i="8"/>
  <c r="C1500" i="8"/>
  <c r="I1500" i="8"/>
  <c r="H1500" i="8" s="1"/>
  <c r="J1499" i="8"/>
  <c r="K1498" i="8" s="1"/>
  <c r="B1500" i="8" l="1"/>
  <c r="C1501" i="8"/>
  <c r="D1500" i="8"/>
  <c r="E1499" i="8" s="1"/>
  <c r="E1498" i="8"/>
  <c r="I1501" i="8"/>
  <c r="H1501" i="8" s="1"/>
  <c r="J1500" i="8"/>
  <c r="B1501" i="8" l="1"/>
  <c r="D1501" i="8"/>
  <c r="C1502" i="8"/>
  <c r="K1499" i="8"/>
  <c r="I1502" i="8"/>
  <c r="H1502" i="8" s="1"/>
  <c r="J1501" i="8"/>
  <c r="K1500" i="8" s="1"/>
  <c r="E1500" i="8" l="1"/>
  <c r="C1503" i="8"/>
  <c r="D1502" i="8"/>
  <c r="B1502" i="8"/>
  <c r="I1503" i="8"/>
  <c r="H1503" i="8" s="1"/>
  <c r="J1502" i="8"/>
  <c r="E1501" i="8" l="1"/>
  <c r="K1501" i="8"/>
  <c r="C1504" i="8"/>
  <c r="B1503" i="8"/>
  <c r="D1503" i="8"/>
  <c r="I1504" i="8"/>
  <c r="H1504" i="8" s="1"/>
  <c r="J1503" i="8"/>
  <c r="B1504" i="8" l="1"/>
  <c r="C1505" i="8"/>
  <c r="D1504" i="8"/>
  <c r="E1502" i="8"/>
  <c r="I1505" i="8"/>
  <c r="H1505" i="8" s="1"/>
  <c r="J1504" i="8"/>
  <c r="K1503" i="8" s="1"/>
  <c r="K1502" i="8"/>
  <c r="E1503" i="8" l="1"/>
  <c r="D1505" i="8"/>
  <c r="C1506" i="8"/>
  <c r="B1505" i="8"/>
  <c r="I1506" i="8"/>
  <c r="H1506" i="8" s="1"/>
  <c r="J1505" i="8"/>
  <c r="E1504" i="8" l="1"/>
  <c r="D1506" i="8"/>
  <c r="C1507" i="8"/>
  <c r="B1506" i="8"/>
  <c r="I1507" i="8"/>
  <c r="H1507" i="8" s="1"/>
  <c r="J1506" i="8"/>
  <c r="K1504" i="8"/>
  <c r="C1508" i="8" l="1"/>
  <c r="B1507" i="8"/>
  <c r="D1507" i="8"/>
  <c r="E1505" i="8"/>
  <c r="I1508" i="8"/>
  <c r="H1508" i="8" s="1"/>
  <c r="J1507" i="8"/>
  <c r="K1505" i="8"/>
  <c r="E1506" i="8" l="1"/>
  <c r="B1508" i="8"/>
  <c r="C1509" i="8"/>
  <c r="D1508" i="8"/>
  <c r="E1507" i="8" s="1"/>
  <c r="I1509" i="8"/>
  <c r="H1509" i="8" s="1"/>
  <c r="J1508" i="8"/>
  <c r="K1506" i="8"/>
  <c r="B1509" i="8" l="1"/>
  <c r="C1510" i="8"/>
  <c r="D1509" i="8"/>
  <c r="I1510" i="8"/>
  <c r="H1510" i="8" s="1"/>
  <c r="J1509" i="8"/>
  <c r="K1507" i="8"/>
  <c r="E1508" i="8" l="1"/>
  <c r="C1511" i="8"/>
  <c r="D1510" i="8"/>
  <c r="B1510" i="8"/>
  <c r="K1508" i="8"/>
  <c r="I1511" i="8"/>
  <c r="H1511" i="8" s="1"/>
  <c r="J1510" i="8"/>
  <c r="E1509" i="8" l="1"/>
  <c r="B1511" i="8"/>
  <c r="C1512" i="8"/>
  <c r="D1511" i="8"/>
  <c r="K1509" i="8"/>
  <c r="I1512" i="8"/>
  <c r="H1512" i="8" s="1"/>
  <c r="J1511" i="8"/>
  <c r="K1510" i="8" l="1"/>
  <c r="B1512" i="8"/>
  <c r="C1513" i="8"/>
  <c r="D1512" i="8"/>
  <c r="E1510" i="8"/>
  <c r="I1513" i="8"/>
  <c r="H1513" i="8" s="1"/>
  <c r="J1512" i="8"/>
  <c r="E1511" i="8" l="1"/>
  <c r="C1514" i="8"/>
  <c r="B1513" i="8"/>
  <c r="D1513" i="8"/>
  <c r="I1514" i="8"/>
  <c r="H1514" i="8" s="1"/>
  <c r="J1513" i="8"/>
  <c r="K1511" i="8"/>
  <c r="C1515" i="8" l="1"/>
  <c r="D1514" i="8"/>
  <c r="B1514" i="8"/>
  <c r="E1512" i="8"/>
  <c r="I1515" i="8"/>
  <c r="H1515" i="8" s="1"/>
  <c r="J1514" i="8"/>
  <c r="K1512" i="8"/>
  <c r="D1515" i="8" l="1"/>
  <c r="C1516" i="8"/>
  <c r="B1515" i="8"/>
  <c r="E1513" i="8"/>
  <c r="I1516" i="8"/>
  <c r="H1516" i="8" s="1"/>
  <c r="J1515" i="8"/>
  <c r="K1514" i="8" s="1"/>
  <c r="K1513" i="8"/>
  <c r="E1514" i="8" l="1"/>
  <c r="D1516" i="8"/>
  <c r="B1516" i="8"/>
  <c r="C1517" i="8"/>
  <c r="I1517" i="8"/>
  <c r="H1517" i="8" s="1"/>
  <c r="J1516" i="8"/>
  <c r="E1515" i="8" l="1"/>
  <c r="C1518" i="8"/>
  <c r="B1517" i="8"/>
  <c r="D1517" i="8"/>
  <c r="I1518" i="8"/>
  <c r="H1518" i="8" s="1"/>
  <c r="J1517" i="8"/>
  <c r="K1515" i="8"/>
  <c r="E1516" i="8" l="1"/>
  <c r="C1519" i="8"/>
  <c r="D1518" i="8"/>
  <c r="B1518" i="8"/>
  <c r="K1516" i="8"/>
  <c r="I1519" i="8"/>
  <c r="H1519" i="8" s="1"/>
  <c r="J1518" i="8"/>
  <c r="B1519" i="8" l="1"/>
  <c r="D1519" i="8"/>
  <c r="C1520" i="8"/>
  <c r="E1517" i="8"/>
  <c r="I1520" i="8"/>
  <c r="H1520" i="8" s="1"/>
  <c r="J1519" i="8"/>
  <c r="K1517" i="8"/>
  <c r="K1518" i="8" l="1"/>
  <c r="E1518" i="8"/>
  <c r="B1520" i="8"/>
  <c r="C1521" i="8"/>
  <c r="D1520" i="8"/>
  <c r="I1521" i="8"/>
  <c r="H1521" i="8" s="1"/>
  <c r="J1520" i="8"/>
  <c r="E1519" i="8" l="1"/>
  <c r="B1521" i="8"/>
  <c r="C1522" i="8"/>
  <c r="D1521" i="8"/>
  <c r="K1519" i="8"/>
  <c r="I1522" i="8"/>
  <c r="H1522" i="8" s="1"/>
  <c r="J1521" i="8"/>
  <c r="B1522" i="8" l="1"/>
  <c r="D1522" i="8"/>
  <c r="C1523" i="8"/>
  <c r="E1520" i="8"/>
  <c r="I1523" i="8"/>
  <c r="H1523" i="8" s="1"/>
  <c r="J1522" i="8"/>
  <c r="K1520" i="8"/>
  <c r="E1521" i="8" l="1"/>
  <c r="D1523" i="8"/>
  <c r="C1524" i="8"/>
  <c r="B1523" i="8"/>
  <c r="I1524" i="8"/>
  <c r="H1524" i="8" s="1"/>
  <c r="J1523" i="8"/>
  <c r="K1521" i="8"/>
  <c r="C1525" i="8" l="1"/>
  <c r="D1524" i="8"/>
  <c r="B1524" i="8"/>
  <c r="E1522" i="8"/>
  <c r="I1525" i="8"/>
  <c r="H1525" i="8" s="1"/>
  <c r="J1524" i="8"/>
  <c r="K1523" i="8" s="1"/>
  <c r="K1522" i="8"/>
  <c r="E1523" i="8" l="1"/>
  <c r="D1525" i="8"/>
  <c r="C1526" i="8"/>
  <c r="B1525" i="8"/>
  <c r="I1526" i="8"/>
  <c r="H1526" i="8" s="1"/>
  <c r="J1525" i="8"/>
  <c r="E1524" i="8" l="1"/>
  <c r="C1527" i="8"/>
  <c r="B1526" i="8"/>
  <c r="D1526" i="8"/>
  <c r="I1527" i="8"/>
  <c r="H1527" i="8" s="1"/>
  <c r="J1526" i="8"/>
  <c r="K1524" i="8"/>
  <c r="E1525" i="8" l="1"/>
  <c r="K1525" i="8"/>
  <c r="C1528" i="8"/>
  <c r="D1527" i="8"/>
  <c r="B1527" i="8"/>
  <c r="I1528" i="8"/>
  <c r="H1528" i="8" s="1"/>
  <c r="J1527" i="8"/>
  <c r="K1526" i="8" s="1"/>
  <c r="B1528" i="8" l="1"/>
  <c r="C1529" i="8"/>
  <c r="D1528" i="8"/>
  <c r="E1526" i="8"/>
  <c r="I1529" i="8"/>
  <c r="H1529" i="8" s="1"/>
  <c r="J1528" i="8"/>
  <c r="E1527" i="8" l="1"/>
  <c r="B1529" i="8"/>
  <c r="C1530" i="8"/>
  <c r="D1529" i="8"/>
  <c r="I1530" i="8"/>
  <c r="H1530" i="8" s="1"/>
  <c r="J1529" i="8"/>
  <c r="K1528" i="8" s="1"/>
  <c r="K1527" i="8"/>
  <c r="E1528" i="8" l="1"/>
  <c r="B1530" i="8"/>
  <c r="D1530" i="8"/>
  <c r="C1531" i="8"/>
  <c r="I1531" i="8"/>
  <c r="H1531" i="8" s="1"/>
  <c r="J1530" i="8"/>
  <c r="B1531" i="8" l="1"/>
  <c r="C1532" i="8"/>
  <c r="D1531" i="8"/>
  <c r="E1530" i="8" s="1"/>
  <c r="E1529" i="8"/>
  <c r="K1529" i="8"/>
  <c r="I1532" i="8"/>
  <c r="H1532" i="8" s="1"/>
  <c r="J1531" i="8"/>
  <c r="D1532" i="8" l="1"/>
  <c r="C1533" i="8"/>
  <c r="B1532" i="8"/>
  <c r="I1533" i="8"/>
  <c r="H1533" i="8" s="1"/>
  <c r="J1532" i="8"/>
  <c r="K1530" i="8"/>
  <c r="D1533" i="8" l="1"/>
  <c r="B1533" i="8"/>
  <c r="C1534" i="8"/>
  <c r="E1531" i="8"/>
  <c r="I1534" i="8"/>
  <c r="H1534" i="8" s="1"/>
  <c r="J1533" i="8"/>
  <c r="K1531" i="8"/>
  <c r="E1532" i="8" l="1"/>
  <c r="C1535" i="8"/>
  <c r="B1534" i="8"/>
  <c r="D1534" i="8"/>
  <c r="I1535" i="8"/>
  <c r="H1535" i="8" s="1"/>
  <c r="J1534" i="8"/>
  <c r="K1532" i="8"/>
  <c r="E1533" i="8" l="1"/>
  <c r="D1535" i="8"/>
  <c r="C1536" i="8"/>
  <c r="B1535" i="8"/>
  <c r="I1536" i="8"/>
  <c r="H1536" i="8" s="1"/>
  <c r="J1535" i="8"/>
  <c r="K1533" i="8"/>
  <c r="D1536" i="8" l="1"/>
  <c r="B1536" i="8"/>
  <c r="C1537" i="8"/>
  <c r="E1534" i="8"/>
  <c r="I1537" i="8"/>
  <c r="H1537" i="8" s="1"/>
  <c r="J1536" i="8"/>
  <c r="K1534" i="8"/>
  <c r="E1535" i="8" l="1"/>
  <c r="B1537" i="8"/>
  <c r="C1538" i="8"/>
  <c r="D1537" i="8"/>
  <c r="E1536" i="8" s="1"/>
  <c r="I1538" i="8"/>
  <c r="H1538" i="8" s="1"/>
  <c r="J1537" i="8"/>
  <c r="K1536" i="8" s="1"/>
  <c r="K1535" i="8"/>
  <c r="C1539" i="8" l="1"/>
  <c r="B1538" i="8"/>
  <c r="D1538" i="8"/>
  <c r="E1537" i="8" s="1"/>
  <c r="I1539" i="8"/>
  <c r="H1539" i="8" s="1"/>
  <c r="J1538" i="8"/>
  <c r="C1540" i="8" l="1"/>
  <c r="D1539" i="8"/>
  <c r="B1539" i="8"/>
  <c r="K1537" i="8"/>
  <c r="I1540" i="8"/>
  <c r="H1540" i="8" s="1"/>
  <c r="J1539" i="8"/>
  <c r="E1538" i="8" l="1"/>
  <c r="C1541" i="8"/>
  <c r="B1540" i="8"/>
  <c r="D1540" i="8"/>
  <c r="I1541" i="8"/>
  <c r="H1541" i="8" s="1"/>
  <c r="J1540" i="8"/>
  <c r="K1539" i="8" s="1"/>
  <c r="K1538" i="8"/>
  <c r="E1539" i="8" l="1"/>
  <c r="C1542" i="8"/>
  <c r="D1541" i="8"/>
  <c r="B1541" i="8"/>
  <c r="I1542" i="8"/>
  <c r="H1542" i="8" s="1"/>
  <c r="J1541" i="8"/>
  <c r="K1540" i="8" s="1"/>
  <c r="E1540" i="8" l="1"/>
  <c r="C1543" i="8"/>
  <c r="D1542" i="8"/>
  <c r="B1542" i="8"/>
  <c r="I1543" i="8"/>
  <c r="H1543" i="8" s="1"/>
  <c r="J1542" i="8"/>
  <c r="E1541" i="8" l="1"/>
  <c r="C1544" i="8"/>
  <c r="B1543" i="8"/>
  <c r="D1543" i="8"/>
  <c r="K1541" i="8"/>
  <c r="I1544" i="8"/>
  <c r="H1544" i="8" s="1"/>
  <c r="J1543" i="8"/>
  <c r="E1542" i="8" l="1"/>
  <c r="D1544" i="8"/>
  <c r="C1545" i="8"/>
  <c r="B1544" i="8"/>
  <c r="K1542" i="8"/>
  <c r="I1545" i="8"/>
  <c r="H1545" i="8" s="1"/>
  <c r="J1544" i="8"/>
  <c r="D1545" i="8" l="1"/>
  <c r="C1546" i="8"/>
  <c r="B1545" i="8"/>
  <c r="E1543" i="8"/>
  <c r="I1546" i="8"/>
  <c r="H1546" i="8" s="1"/>
  <c r="J1545" i="8"/>
  <c r="K1543" i="8"/>
  <c r="C1547" i="8" l="1"/>
  <c r="B1546" i="8"/>
  <c r="D1546" i="8"/>
  <c r="E1544" i="8"/>
  <c r="I1547" i="8"/>
  <c r="H1547" i="8" s="1"/>
  <c r="J1546" i="8"/>
  <c r="K1545" i="8" s="1"/>
  <c r="K1544" i="8"/>
  <c r="E1545" i="8" l="1"/>
  <c r="C1548" i="8"/>
  <c r="D1547" i="8"/>
  <c r="B1547" i="8"/>
  <c r="I1548" i="8"/>
  <c r="H1548" i="8" s="1"/>
  <c r="J1547" i="8"/>
  <c r="E1546" i="8" l="1"/>
  <c r="D1548" i="8"/>
  <c r="B1548" i="8"/>
  <c r="C1549" i="8"/>
  <c r="K1546" i="8"/>
  <c r="I1549" i="8"/>
  <c r="H1549" i="8" s="1"/>
  <c r="J1548" i="8"/>
  <c r="E1547" i="8" l="1"/>
  <c r="B1549" i="8"/>
  <c r="C1550" i="8"/>
  <c r="D1549" i="8"/>
  <c r="I1550" i="8"/>
  <c r="H1550" i="8" s="1"/>
  <c r="J1549" i="8"/>
  <c r="K1548" i="8" s="1"/>
  <c r="K1547" i="8"/>
  <c r="B1550" i="8" l="1"/>
  <c r="D1550" i="8"/>
  <c r="C1551" i="8"/>
  <c r="E1548" i="8"/>
  <c r="I1551" i="8"/>
  <c r="H1551" i="8" s="1"/>
  <c r="J1550" i="8"/>
  <c r="K1549" i="8" s="1"/>
  <c r="E1549" i="8" l="1"/>
  <c r="D1551" i="8"/>
  <c r="B1551" i="8"/>
  <c r="C1552" i="8"/>
  <c r="I1552" i="8"/>
  <c r="H1552" i="8" s="1"/>
  <c r="J1551" i="8"/>
  <c r="K1550" i="8" l="1"/>
  <c r="D1552" i="8"/>
  <c r="B1552" i="8"/>
  <c r="C1553" i="8"/>
  <c r="E1550" i="8"/>
  <c r="I1553" i="8"/>
  <c r="H1553" i="8" s="1"/>
  <c r="J1552" i="8"/>
  <c r="E1551" i="8" l="1"/>
  <c r="K1551" i="8"/>
  <c r="C1554" i="8"/>
  <c r="D1553" i="8"/>
  <c r="B1553" i="8"/>
  <c r="I1554" i="8"/>
  <c r="H1554" i="8" s="1"/>
  <c r="J1553" i="8"/>
  <c r="E1552" i="8" l="1"/>
  <c r="K1552" i="8"/>
  <c r="B1554" i="8"/>
  <c r="C1555" i="8"/>
  <c r="D1554" i="8"/>
  <c r="I1555" i="8"/>
  <c r="H1555" i="8" s="1"/>
  <c r="J1554" i="8"/>
  <c r="K1553" i="8" l="1"/>
  <c r="D1555" i="8"/>
  <c r="C1556" i="8"/>
  <c r="B1555" i="8"/>
  <c r="E1553" i="8"/>
  <c r="I1556" i="8"/>
  <c r="H1556" i="8" s="1"/>
  <c r="J1555" i="8"/>
  <c r="E1554" i="8" l="1"/>
  <c r="B1556" i="8"/>
  <c r="D1556" i="8"/>
  <c r="C1557" i="8"/>
  <c r="I1557" i="8"/>
  <c r="H1557" i="8" s="1"/>
  <c r="J1556" i="8"/>
  <c r="K1554" i="8"/>
  <c r="E1555" i="8" l="1"/>
  <c r="C1558" i="8"/>
  <c r="D1557" i="8"/>
  <c r="B1557" i="8"/>
  <c r="I1558" i="8"/>
  <c r="H1558" i="8" s="1"/>
  <c r="J1557" i="8"/>
  <c r="K1555" i="8"/>
  <c r="C1559" i="8" l="1"/>
  <c r="B1558" i="8"/>
  <c r="D1558" i="8"/>
  <c r="K1556" i="8"/>
  <c r="E1556" i="8"/>
  <c r="I1559" i="8"/>
  <c r="H1559" i="8" s="1"/>
  <c r="J1558" i="8"/>
  <c r="B1559" i="8" l="1"/>
  <c r="C1560" i="8"/>
  <c r="D1559" i="8"/>
  <c r="E1557" i="8"/>
  <c r="K1557" i="8"/>
  <c r="I1560" i="8"/>
  <c r="H1560" i="8" s="1"/>
  <c r="J1559" i="8"/>
  <c r="E1558" i="8" l="1"/>
  <c r="B1560" i="8"/>
  <c r="C1561" i="8"/>
  <c r="D1560" i="8"/>
  <c r="K1558" i="8"/>
  <c r="I1561" i="8"/>
  <c r="H1561" i="8" s="1"/>
  <c r="J1560" i="8"/>
  <c r="K1559" i="8" l="1"/>
  <c r="B1561" i="8"/>
  <c r="D1561" i="8"/>
  <c r="C1562" i="8"/>
  <c r="E1559" i="8"/>
  <c r="I1562" i="8"/>
  <c r="H1562" i="8" s="1"/>
  <c r="J1561" i="8"/>
  <c r="K1560" i="8" l="1"/>
  <c r="D1562" i="8"/>
  <c r="B1562" i="8"/>
  <c r="C1563" i="8"/>
  <c r="E1560" i="8"/>
  <c r="I1563" i="8"/>
  <c r="H1563" i="8" s="1"/>
  <c r="J1562" i="8"/>
  <c r="B1563" i="8" l="1"/>
  <c r="C1564" i="8"/>
  <c r="D1563" i="8"/>
  <c r="E1561" i="8"/>
  <c r="I1564" i="8"/>
  <c r="H1564" i="8" s="1"/>
  <c r="J1563" i="8"/>
  <c r="K1562" i="8" s="1"/>
  <c r="K1561" i="8"/>
  <c r="B1564" i="8" l="1"/>
  <c r="C1565" i="8"/>
  <c r="D1564" i="8"/>
  <c r="E1562" i="8"/>
  <c r="I1565" i="8"/>
  <c r="H1565" i="8" s="1"/>
  <c r="J1564" i="8"/>
  <c r="E1563" i="8" l="1"/>
  <c r="B1565" i="8"/>
  <c r="D1565" i="8"/>
  <c r="C1566" i="8"/>
  <c r="K1563" i="8"/>
  <c r="I1566" i="8"/>
  <c r="H1566" i="8" s="1"/>
  <c r="J1565" i="8"/>
  <c r="K1564" i="8" s="1"/>
  <c r="D1566" i="8" l="1"/>
  <c r="B1566" i="8"/>
  <c r="C1567" i="8"/>
  <c r="E1564" i="8"/>
  <c r="I1567" i="8"/>
  <c r="H1567" i="8" s="1"/>
  <c r="J1566" i="8"/>
  <c r="E1565" i="8" l="1"/>
  <c r="B1567" i="8"/>
  <c r="C1568" i="8"/>
  <c r="D1567" i="8"/>
  <c r="E1566" i="8" s="1"/>
  <c r="I1568" i="8"/>
  <c r="H1568" i="8" s="1"/>
  <c r="J1567" i="8"/>
  <c r="K1565" i="8"/>
  <c r="C1569" i="8" l="1"/>
  <c r="D1568" i="8"/>
  <c r="B1568" i="8"/>
  <c r="K1566" i="8"/>
  <c r="I1569" i="8"/>
  <c r="H1569" i="8" s="1"/>
  <c r="J1568" i="8"/>
  <c r="C1570" i="8" l="1"/>
  <c r="D1569" i="8"/>
  <c r="B1569" i="8"/>
  <c r="E1567" i="8"/>
  <c r="I1570" i="8"/>
  <c r="H1570" i="8" s="1"/>
  <c r="J1569" i="8"/>
  <c r="K1567" i="8"/>
  <c r="B1570" i="8" l="1"/>
  <c r="C1571" i="8"/>
  <c r="D1570" i="8"/>
  <c r="E1568" i="8"/>
  <c r="K1568" i="8"/>
  <c r="I1571" i="8"/>
  <c r="H1571" i="8" s="1"/>
  <c r="J1570" i="8"/>
  <c r="D1571" i="8" l="1"/>
  <c r="C1572" i="8"/>
  <c r="B1571" i="8"/>
  <c r="E1569" i="8"/>
  <c r="I1572" i="8"/>
  <c r="H1572" i="8" s="1"/>
  <c r="J1571" i="8"/>
  <c r="K1569" i="8"/>
  <c r="E1570" i="8" l="1"/>
  <c r="B1572" i="8"/>
  <c r="D1572" i="8"/>
  <c r="C1573" i="8"/>
  <c r="I1573" i="8"/>
  <c r="H1573" i="8" s="1"/>
  <c r="J1572" i="8"/>
  <c r="K1571" i="8" s="1"/>
  <c r="K1570" i="8"/>
  <c r="E1571" i="8" l="1"/>
  <c r="C1574" i="8"/>
  <c r="B1573" i="8"/>
  <c r="D1573" i="8"/>
  <c r="I1574" i="8"/>
  <c r="H1574" i="8" s="1"/>
  <c r="J1573" i="8"/>
  <c r="E1572" i="8" l="1"/>
  <c r="B1574" i="8"/>
  <c r="C1575" i="8"/>
  <c r="D1574" i="8"/>
  <c r="K1572" i="8"/>
  <c r="I1575" i="8"/>
  <c r="H1575" i="8" s="1"/>
  <c r="J1574" i="8"/>
  <c r="K1573" i="8" s="1"/>
  <c r="E1573" i="8" l="1"/>
  <c r="B1575" i="8"/>
  <c r="D1575" i="8"/>
  <c r="C1576" i="8"/>
  <c r="I1576" i="8"/>
  <c r="H1576" i="8" s="1"/>
  <c r="J1575" i="8"/>
  <c r="K1574" i="8" s="1"/>
  <c r="E1574" i="8" l="1"/>
  <c r="D1576" i="8"/>
  <c r="C1577" i="8"/>
  <c r="B1576" i="8"/>
  <c r="I1577" i="8"/>
  <c r="H1577" i="8" s="1"/>
  <c r="J1576" i="8"/>
  <c r="B1577" i="8" l="1"/>
  <c r="D1577" i="8"/>
  <c r="C1578" i="8"/>
  <c r="E1575" i="8"/>
  <c r="I1578" i="8"/>
  <c r="H1578" i="8" s="1"/>
  <c r="J1577" i="8"/>
  <c r="K1576" i="8" s="1"/>
  <c r="K1575" i="8"/>
  <c r="C1579" i="8" l="1"/>
  <c r="D1578" i="8"/>
  <c r="B1578" i="8"/>
  <c r="E1576" i="8"/>
  <c r="I1579" i="8"/>
  <c r="H1579" i="8" s="1"/>
  <c r="J1578" i="8"/>
  <c r="E1577" i="8" l="1"/>
  <c r="C1580" i="8"/>
  <c r="B1579" i="8"/>
  <c r="D1579" i="8"/>
  <c r="I1580" i="8"/>
  <c r="H1580" i="8" s="1"/>
  <c r="J1579" i="8"/>
  <c r="K1577" i="8"/>
  <c r="C1581" i="8" l="1"/>
  <c r="D1580" i="8"/>
  <c r="B1580" i="8"/>
  <c r="E1578" i="8"/>
  <c r="I1581" i="8"/>
  <c r="H1581" i="8" s="1"/>
  <c r="J1580" i="8"/>
  <c r="K1579" i="8" s="1"/>
  <c r="K1578" i="8"/>
  <c r="C1582" i="8" l="1"/>
  <c r="B1581" i="8"/>
  <c r="D1581" i="8"/>
  <c r="E1579" i="8"/>
  <c r="I1582" i="8"/>
  <c r="H1582" i="8" s="1"/>
  <c r="J1581" i="8"/>
  <c r="E1580" i="8" l="1"/>
  <c r="K1580" i="8"/>
  <c r="B1582" i="8"/>
  <c r="D1582" i="8"/>
  <c r="C1583" i="8"/>
  <c r="I1583" i="8"/>
  <c r="H1583" i="8" s="1"/>
  <c r="J1582" i="8"/>
  <c r="K1581" i="8" s="1"/>
  <c r="C1584" i="8" l="1"/>
  <c r="D1583" i="8"/>
  <c r="B1583" i="8"/>
  <c r="E1581" i="8"/>
  <c r="I1584" i="8"/>
  <c r="H1584" i="8" s="1"/>
  <c r="J1583" i="8"/>
  <c r="E1582" i="8" l="1"/>
  <c r="B1584" i="8"/>
  <c r="C1585" i="8"/>
  <c r="D1584" i="8"/>
  <c r="I1585" i="8"/>
  <c r="H1585" i="8" s="1"/>
  <c r="J1584" i="8"/>
  <c r="K1582" i="8"/>
  <c r="C1586" i="8" l="1"/>
  <c r="B1585" i="8"/>
  <c r="D1585" i="8"/>
  <c r="E1583" i="8"/>
  <c r="I1586" i="8"/>
  <c r="H1586" i="8" s="1"/>
  <c r="J1585" i="8"/>
  <c r="K1584" i="8" s="1"/>
  <c r="K1583" i="8"/>
  <c r="E1584" i="8" l="1"/>
  <c r="C1587" i="8"/>
  <c r="D1586" i="8"/>
  <c r="B1586" i="8"/>
  <c r="I1587" i="8"/>
  <c r="H1587" i="8" s="1"/>
  <c r="J1586" i="8"/>
  <c r="K1585" i="8" s="1"/>
  <c r="E1585" i="8" l="1"/>
  <c r="D1587" i="8"/>
  <c r="B1587" i="8"/>
  <c r="C1588" i="8"/>
  <c r="I1588" i="8"/>
  <c r="H1588" i="8" s="1"/>
  <c r="J1587" i="8"/>
  <c r="E1586" i="8" l="1"/>
  <c r="B1588" i="8"/>
  <c r="C1589" i="8"/>
  <c r="D1588" i="8"/>
  <c r="I1589" i="8"/>
  <c r="H1589" i="8" s="1"/>
  <c r="J1588" i="8"/>
  <c r="K1586" i="8"/>
  <c r="B1589" i="8" l="1"/>
  <c r="C1590" i="8"/>
  <c r="D1589" i="8"/>
  <c r="E1587" i="8"/>
  <c r="I1590" i="8"/>
  <c r="H1590" i="8" s="1"/>
  <c r="J1589" i="8"/>
  <c r="K1587" i="8"/>
  <c r="D1590" i="8" l="1"/>
  <c r="C1591" i="8"/>
  <c r="B1590" i="8"/>
  <c r="E1588" i="8"/>
  <c r="I1591" i="8"/>
  <c r="H1591" i="8" s="1"/>
  <c r="J1590" i="8"/>
  <c r="K1588" i="8"/>
  <c r="E1589" i="8" l="1"/>
  <c r="C1592" i="8"/>
  <c r="D1591" i="8"/>
  <c r="B1591" i="8"/>
  <c r="K1589" i="8"/>
  <c r="I1592" i="8"/>
  <c r="H1592" i="8" s="1"/>
  <c r="J1591" i="8"/>
  <c r="E1590" i="8" l="1"/>
  <c r="D1592" i="8"/>
  <c r="B1592" i="8"/>
  <c r="C1593" i="8"/>
  <c r="I1593" i="8"/>
  <c r="H1593" i="8" s="1"/>
  <c r="J1592" i="8"/>
  <c r="K1590" i="8"/>
  <c r="C1594" i="8" l="1"/>
  <c r="B1593" i="8"/>
  <c r="D1593" i="8"/>
  <c r="E1591" i="8"/>
  <c r="I1594" i="8"/>
  <c r="H1594" i="8" s="1"/>
  <c r="J1593" i="8"/>
  <c r="K1591" i="8"/>
  <c r="E1592" i="8" l="1"/>
  <c r="B1594" i="8"/>
  <c r="C1595" i="8"/>
  <c r="D1594" i="8"/>
  <c r="I1595" i="8"/>
  <c r="H1595" i="8" s="1"/>
  <c r="J1594" i="8"/>
  <c r="K1592" i="8"/>
  <c r="B1595" i="8" l="1"/>
  <c r="C1596" i="8"/>
  <c r="D1595" i="8"/>
  <c r="E1594" i="8" s="1"/>
  <c r="E1593" i="8"/>
  <c r="I1596" i="8"/>
  <c r="H1596" i="8" s="1"/>
  <c r="J1595" i="8"/>
  <c r="K1593" i="8"/>
  <c r="B1596" i="8" l="1"/>
  <c r="D1596" i="8"/>
  <c r="C1597" i="8"/>
  <c r="I1597" i="8"/>
  <c r="H1597" i="8" s="1"/>
  <c r="J1596" i="8"/>
  <c r="K1594" i="8"/>
  <c r="E1595" i="8" l="1"/>
  <c r="B1597" i="8"/>
  <c r="D1597" i="8"/>
  <c r="C1598" i="8"/>
  <c r="K1595" i="8"/>
  <c r="I1598" i="8"/>
  <c r="H1598" i="8" s="1"/>
  <c r="J1597" i="8"/>
  <c r="D1598" i="8" l="1"/>
  <c r="B1598" i="8"/>
  <c r="C1599" i="8"/>
  <c r="E1596" i="8"/>
  <c r="I1599" i="8"/>
  <c r="H1599" i="8" s="1"/>
  <c r="J1598" i="8"/>
  <c r="K1597" i="8" s="1"/>
  <c r="K1596" i="8"/>
  <c r="E1597" i="8" l="1"/>
  <c r="D1599" i="8"/>
  <c r="B1599" i="8"/>
  <c r="C1600" i="8"/>
  <c r="I1600" i="8"/>
  <c r="H1600" i="8" s="1"/>
  <c r="J1599" i="8"/>
  <c r="K1598" i="8" l="1"/>
  <c r="E1598" i="8"/>
  <c r="C1601" i="8"/>
  <c r="D1600" i="8"/>
  <c r="B1600" i="8"/>
  <c r="I1601" i="8"/>
  <c r="H1601" i="8" s="1"/>
  <c r="J1600" i="8"/>
  <c r="K1599" i="8" s="1"/>
  <c r="E1599" i="8" l="1"/>
  <c r="B1601" i="8"/>
  <c r="D1601" i="8"/>
  <c r="C1602" i="8"/>
  <c r="I1602" i="8"/>
  <c r="H1602" i="8" s="1"/>
  <c r="J1601" i="8"/>
  <c r="K1600" i="8" s="1"/>
  <c r="E1600" i="8" l="1"/>
  <c r="B1602" i="8"/>
  <c r="D1602" i="8"/>
  <c r="C1603" i="8"/>
  <c r="I1603" i="8"/>
  <c r="H1603" i="8" s="1"/>
  <c r="J1602" i="8"/>
  <c r="E1601" i="8" l="1"/>
  <c r="B1603" i="8"/>
  <c r="C1604" i="8"/>
  <c r="D1603" i="8"/>
  <c r="I1604" i="8"/>
  <c r="H1604" i="8" s="1"/>
  <c r="J1603" i="8"/>
  <c r="K1602" i="8" s="1"/>
  <c r="K1601" i="8"/>
  <c r="E1602" i="8" l="1"/>
  <c r="D1604" i="8"/>
  <c r="C1605" i="8"/>
  <c r="B1604" i="8"/>
  <c r="I1605" i="8"/>
  <c r="H1605" i="8" s="1"/>
  <c r="J1604" i="8"/>
  <c r="E1603" i="8" l="1"/>
  <c r="B1605" i="8"/>
  <c r="D1605" i="8"/>
  <c r="C1606" i="8"/>
  <c r="I1606" i="8"/>
  <c r="H1606" i="8" s="1"/>
  <c r="J1605" i="8"/>
  <c r="K1604" i="8" s="1"/>
  <c r="K1603" i="8"/>
  <c r="B1606" i="8" l="1"/>
  <c r="C1607" i="8"/>
  <c r="D1606" i="8"/>
  <c r="E1604" i="8"/>
  <c r="I1607" i="8"/>
  <c r="H1607" i="8" s="1"/>
  <c r="J1606" i="8"/>
  <c r="K1605" i="8" s="1"/>
  <c r="D1607" i="8" l="1"/>
  <c r="B1607" i="8"/>
  <c r="C1608" i="8"/>
  <c r="E1605" i="8"/>
  <c r="I1608" i="8"/>
  <c r="H1608" i="8" s="1"/>
  <c r="J1607" i="8"/>
  <c r="E1606" i="8" l="1"/>
  <c r="C1609" i="8"/>
  <c r="D1608" i="8"/>
  <c r="B1608" i="8"/>
  <c r="I1609" i="8"/>
  <c r="H1609" i="8" s="1"/>
  <c r="J1608" i="8"/>
  <c r="K1606" i="8"/>
  <c r="K1607" i="8" l="1"/>
  <c r="E1607" i="8"/>
  <c r="D1609" i="8"/>
  <c r="B1609" i="8"/>
  <c r="C1610" i="8"/>
  <c r="I1610" i="8"/>
  <c r="H1610" i="8" s="1"/>
  <c r="J1609" i="8"/>
  <c r="K1608" i="8" s="1"/>
  <c r="E1608" i="8" l="1"/>
  <c r="D1610" i="8"/>
  <c r="B1610" i="8"/>
  <c r="C1611" i="8"/>
  <c r="I1611" i="8"/>
  <c r="H1611" i="8" s="1"/>
  <c r="J1610" i="8"/>
  <c r="K1609" i="8" s="1"/>
  <c r="E1609" i="8" l="1"/>
  <c r="B1611" i="8"/>
  <c r="C1612" i="8"/>
  <c r="D1611" i="8"/>
  <c r="I1612" i="8"/>
  <c r="H1612" i="8" s="1"/>
  <c r="J1611" i="8"/>
  <c r="C1613" i="8" l="1"/>
  <c r="D1612" i="8"/>
  <c r="B1612" i="8"/>
  <c r="E1610" i="8"/>
  <c r="I1613" i="8"/>
  <c r="H1613" i="8" s="1"/>
  <c r="J1612" i="8"/>
  <c r="K1610" i="8"/>
  <c r="E1611" i="8" l="1"/>
  <c r="C1614" i="8"/>
  <c r="B1613" i="8"/>
  <c r="D1613" i="8"/>
  <c r="K1611" i="8"/>
  <c r="I1614" i="8"/>
  <c r="H1614" i="8" s="1"/>
  <c r="J1613" i="8"/>
  <c r="E1612" i="8" l="1"/>
  <c r="K1612" i="8"/>
  <c r="D1614" i="8"/>
  <c r="C1615" i="8"/>
  <c r="B1614" i="8"/>
  <c r="I1615" i="8"/>
  <c r="H1615" i="8" s="1"/>
  <c r="J1614" i="8"/>
  <c r="C1616" i="8" l="1"/>
  <c r="B1615" i="8"/>
  <c r="D1615" i="8"/>
  <c r="E1613" i="8"/>
  <c r="K1613" i="8"/>
  <c r="I1616" i="8"/>
  <c r="H1616" i="8" s="1"/>
  <c r="J1615" i="8"/>
  <c r="E1614" i="8" l="1"/>
  <c r="B1616" i="8"/>
  <c r="C1617" i="8"/>
  <c r="D1616" i="8"/>
  <c r="K1614" i="8"/>
  <c r="I1617" i="8"/>
  <c r="H1617" i="8" s="1"/>
  <c r="J1616" i="8"/>
  <c r="D1617" i="8" l="1"/>
  <c r="C1618" i="8"/>
  <c r="B1617" i="8"/>
  <c r="E1615" i="8"/>
  <c r="I1618" i="8"/>
  <c r="H1618" i="8" s="1"/>
  <c r="J1617" i="8"/>
  <c r="K1615" i="8"/>
  <c r="E1616" i="8" l="1"/>
  <c r="C1619" i="8"/>
  <c r="D1618" i="8"/>
  <c r="B1618" i="8"/>
  <c r="I1619" i="8"/>
  <c r="H1619" i="8" s="1"/>
  <c r="J1618" i="8"/>
  <c r="K1616" i="8"/>
  <c r="E1617" i="8" l="1"/>
  <c r="B1619" i="8"/>
  <c r="C1620" i="8"/>
  <c r="D1619" i="8"/>
  <c r="I1620" i="8"/>
  <c r="H1620" i="8" s="1"/>
  <c r="J1619" i="8"/>
  <c r="K1617" i="8"/>
  <c r="C1621" i="8" l="1"/>
  <c r="D1620" i="8"/>
  <c r="B1620" i="8"/>
  <c r="E1618" i="8"/>
  <c r="K1618" i="8"/>
  <c r="I1621" i="8"/>
  <c r="H1621" i="8" s="1"/>
  <c r="J1620" i="8"/>
  <c r="E1619" i="8" l="1"/>
  <c r="C1622" i="8"/>
  <c r="B1621" i="8"/>
  <c r="D1621" i="8"/>
  <c r="E1620" i="8" s="1"/>
  <c r="K1619" i="8"/>
  <c r="I1622" i="8"/>
  <c r="H1622" i="8" s="1"/>
  <c r="J1621" i="8"/>
  <c r="C1623" i="8" l="1"/>
  <c r="D1622" i="8"/>
  <c r="B1622" i="8"/>
  <c r="I1623" i="8"/>
  <c r="H1623" i="8" s="1"/>
  <c r="J1622" i="8"/>
  <c r="K1621" i="8" s="1"/>
  <c r="K1620" i="8"/>
  <c r="E1621" i="8" l="1"/>
  <c r="B1623" i="8"/>
  <c r="C1624" i="8"/>
  <c r="D1623" i="8"/>
  <c r="E1622" i="8" s="1"/>
  <c r="I1624" i="8"/>
  <c r="H1624" i="8" s="1"/>
  <c r="J1623" i="8"/>
  <c r="C1625" i="8" l="1"/>
  <c r="B1624" i="8"/>
  <c r="D1624" i="8"/>
  <c r="I1625" i="8"/>
  <c r="H1625" i="8" s="1"/>
  <c r="J1624" i="8"/>
  <c r="K1622" i="8"/>
  <c r="E1623" i="8" l="1"/>
  <c r="K1623" i="8"/>
  <c r="B1625" i="8"/>
  <c r="D1625" i="8"/>
  <c r="E1624" i="8" s="1"/>
  <c r="C1626" i="8"/>
  <c r="I1626" i="8"/>
  <c r="H1626" i="8" s="1"/>
  <c r="J1625" i="8"/>
  <c r="K1624" i="8" l="1"/>
  <c r="B1626" i="8"/>
  <c r="C1627" i="8"/>
  <c r="D1626" i="8"/>
  <c r="I1627" i="8"/>
  <c r="H1627" i="8" s="1"/>
  <c r="J1626" i="8"/>
  <c r="D1627" i="8" l="1"/>
  <c r="B1627" i="8"/>
  <c r="C1628" i="8"/>
  <c r="K1625" i="8"/>
  <c r="E1625" i="8"/>
  <c r="I1628" i="8"/>
  <c r="H1628" i="8" s="1"/>
  <c r="J1627" i="8"/>
  <c r="C1629" i="8" l="1"/>
  <c r="D1628" i="8"/>
  <c r="B1628" i="8"/>
  <c r="E1626" i="8"/>
  <c r="K1626" i="8"/>
  <c r="I1629" i="8"/>
  <c r="H1629" i="8" s="1"/>
  <c r="J1628" i="8"/>
  <c r="K1627" i="8" s="1"/>
  <c r="E1627" i="8" l="1"/>
  <c r="B1629" i="8"/>
  <c r="D1629" i="8"/>
  <c r="C1630" i="8"/>
  <c r="I1630" i="8"/>
  <c r="H1630" i="8" s="1"/>
  <c r="J1629" i="8"/>
  <c r="K1628" i="8" s="1"/>
  <c r="D1630" i="8" l="1"/>
  <c r="C1631" i="8"/>
  <c r="B1630" i="8"/>
  <c r="E1628" i="8"/>
  <c r="I1631" i="8"/>
  <c r="H1631" i="8" s="1"/>
  <c r="J1630" i="8"/>
  <c r="E1629" i="8" l="1"/>
  <c r="D1631" i="8"/>
  <c r="B1631" i="8"/>
  <c r="C1632" i="8"/>
  <c r="I1632" i="8"/>
  <c r="H1632" i="8" s="1"/>
  <c r="J1631" i="8"/>
  <c r="K1629" i="8"/>
  <c r="D1632" i="8" l="1"/>
  <c r="B1632" i="8"/>
  <c r="C1633" i="8"/>
  <c r="E1630" i="8"/>
  <c r="I1633" i="8"/>
  <c r="H1633" i="8" s="1"/>
  <c r="J1632" i="8"/>
  <c r="K1631" i="8" s="1"/>
  <c r="K1630" i="8"/>
  <c r="E1631" i="8" l="1"/>
  <c r="C1634" i="8"/>
  <c r="D1633" i="8"/>
  <c r="B1633" i="8"/>
  <c r="I1634" i="8"/>
  <c r="H1634" i="8" s="1"/>
  <c r="J1633" i="8"/>
  <c r="E1632" i="8" l="1"/>
  <c r="C1635" i="8"/>
  <c r="B1634" i="8"/>
  <c r="D1634" i="8"/>
  <c r="I1635" i="8"/>
  <c r="H1635" i="8" s="1"/>
  <c r="J1634" i="8"/>
  <c r="K1633" i="8" s="1"/>
  <c r="K1632" i="8"/>
  <c r="E1633" i="8" l="1"/>
  <c r="B1635" i="8"/>
  <c r="C1636" i="8"/>
  <c r="D1635" i="8"/>
  <c r="I1636" i="8"/>
  <c r="H1636" i="8" s="1"/>
  <c r="J1635" i="8"/>
  <c r="K1634" i="8" l="1"/>
  <c r="B1636" i="8"/>
  <c r="C1637" i="8"/>
  <c r="D1636" i="8"/>
  <c r="E1634" i="8"/>
  <c r="I1637" i="8"/>
  <c r="H1637" i="8" s="1"/>
  <c r="J1636" i="8"/>
  <c r="E1635" i="8" l="1"/>
  <c r="B1637" i="8"/>
  <c r="C1638" i="8"/>
  <c r="D1637" i="8"/>
  <c r="K1635" i="8"/>
  <c r="I1638" i="8"/>
  <c r="H1638" i="8" s="1"/>
  <c r="J1637" i="8"/>
  <c r="K1636" i="8" s="1"/>
  <c r="E1636" i="8" l="1"/>
  <c r="D1638" i="8"/>
  <c r="B1638" i="8"/>
  <c r="C1639" i="8"/>
  <c r="I1639" i="8"/>
  <c r="H1639" i="8" s="1"/>
  <c r="J1638" i="8"/>
  <c r="E1637" i="8" l="1"/>
  <c r="B1639" i="8"/>
  <c r="C1640" i="8"/>
  <c r="D1639" i="8"/>
  <c r="K1637" i="8"/>
  <c r="I1640" i="8"/>
  <c r="H1640" i="8" s="1"/>
  <c r="J1639" i="8"/>
  <c r="E1638" i="8" l="1"/>
  <c r="C1641" i="8"/>
  <c r="D1640" i="8"/>
  <c r="B1640" i="8"/>
  <c r="I1641" i="8"/>
  <c r="H1641" i="8" s="1"/>
  <c r="J1640" i="8"/>
  <c r="K1639" i="8" s="1"/>
  <c r="K1638" i="8"/>
  <c r="C1642" i="8" l="1"/>
  <c r="D1641" i="8"/>
  <c r="B1641" i="8"/>
  <c r="E1639" i="8"/>
  <c r="I1642" i="8"/>
  <c r="H1642" i="8" s="1"/>
  <c r="J1641" i="8"/>
  <c r="B1642" i="8" l="1"/>
  <c r="C1643" i="8"/>
  <c r="D1642" i="8"/>
  <c r="K1640" i="8"/>
  <c r="E1640" i="8"/>
  <c r="I1643" i="8"/>
  <c r="H1643" i="8" s="1"/>
  <c r="J1642" i="8"/>
  <c r="K1641" i="8" s="1"/>
  <c r="E1641" i="8" l="1"/>
  <c r="C1644" i="8"/>
  <c r="D1643" i="8"/>
  <c r="B1643" i="8"/>
  <c r="I1644" i="8"/>
  <c r="H1644" i="8" s="1"/>
  <c r="J1643" i="8"/>
  <c r="E1642" i="8" l="1"/>
  <c r="B1644" i="8"/>
  <c r="C1645" i="8"/>
  <c r="D1644" i="8"/>
  <c r="I1645" i="8"/>
  <c r="H1645" i="8" s="1"/>
  <c r="J1644" i="8"/>
  <c r="K1643" i="8" s="1"/>
  <c r="K1642" i="8"/>
  <c r="E1643" i="8" l="1"/>
  <c r="D1645" i="8"/>
  <c r="C1646" i="8"/>
  <c r="B1645" i="8"/>
  <c r="I1646" i="8"/>
  <c r="H1646" i="8" s="1"/>
  <c r="J1645" i="8"/>
  <c r="B1646" i="8" l="1"/>
  <c r="C1647" i="8"/>
  <c r="D1646" i="8"/>
  <c r="E1644" i="8"/>
  <c r="I1647" i="8"/>
  <c r="H1647" i="8" s="1"/>
  <c r="J1646" i="8"/>
  <c r="K1645" i="8" s="1"/>
  <c r="K1644" i="8"/>
  <c r="E1645" i="8" l="1"/>
  <c r="B1647" i="8"/>
  <c r="C1648" i="8"/>
  <c r="D1647" i="8"/>
  <c r="I1648" i="8"/>
  <c r="H1648" i="8" s="1"/>
  <c r="J1647" i="8"/>
  <c r="K1646" i="8" s="1"/>
  <c r="E1646" i="8" l="1"/>
  <c r="D1648" i="8"/>
  <c r="C1649" i="8"/>
  <c r="B1648" i="8"/>
  <c r="I1649" i="8"/>
  <c r="H1649" i="8" s="1"/>
  <c r="J1648" i="8"/>
  <c r="E1647" i="8" l="1"/>
  <c r="D1649" i="8"/>
  <c r="B1649" i="8"/>
  <c r="C1650" i="8"/>
  <c r="I1650" i="8"/>
  <c r="H1650" i="8" s="1"/>
  <c r="J1649" i="8"/>
  <c r="K1647" i="8"/>
  <c r="C1651" i="8" l="1"/>
  <c r="D1650" i="8"/>
  <c r="B1650" i="8"/>
  <c r="E1648" i="8"/>
  <c r="K1648" i="8"/>
  <c r="I1651" i="8"/>
  <c r="H1651" i="8" s="1"/>
  <c r="J1650" i="8"/>
  <c r="E1649" i="8" l="1"/>
  <c r="K1649" i="8"/>
  <c r="C1652" i="8"/>
  <c r="B1651" i="8"/>
  <c r="D1651" i="8"/>
  <c r="I1652" i="8"/>
  <c r="H1652" i="8" s="1"/>
  <c r="J1651" i="8"/>
  <c r="D1652" i="8" l="1"/>
  <c r="C1653" i="8"/>
  <c r="B1652" i="8"/>
  <c r="E1650" i="8"/>
  <c r="K1650" i="8"/>
  <c r="I1653" i="8"/>
  <c r="H1653" i="8" s="1"/>
  <c r="J1652" i="8"/>
  <c r="E1651" i="8" l="1"/>
  <c r="B1653" i="8"/>
  <c r="D1653" i="8"/>
  <c r="C1654" i="8"/>
  <c r="K1651" i="8"/>
  <c r="I1654" i="8"/>
  <c r="H1654" i="8" s="1"/>
  <c r="J1653" i="8"/>
  <c r="B1654" i="8" l="1"/>
  <c r="D1654" i="8"/>
  <c r="C1655" i="8"/>
  <c r="E1652" i="8"/>
  <c r="I1655" i="8"/>
  <c r="H1655" i="8" s="1"/>
  <c r="J1654" i="8"/>
  <c r="K1652" i="8"/>
  <c r="K1653" i="8" l="1"/>
  <c r="E1653" i="8"/>
  <c r="B1655" i="8"/>
  <c r="C1656" i="8"/>
  <c r="D1655" i="8"/>
  <c r="I1656" i="8"/>
  <c r="H1656" i="8" s="1"/>
  <c r="J1655" i="8"/>
  <c r="C1657" i="8" l="1"/>
  <c r="B1656" i="8"/>
  <c r="D1656" i="8"/>
  <c r="E1654" i="8"/>
  <c r="K1654" i="8"/>
  <c r="I1657" i="8"/>
  <c r="H1657" i="8" s="1"/>
  <c r="J1656" i="8"/>
  <c r="C1658" i="8" l="1"/>
  <c r="D1657" i="8"/>
  <c r="B1657" i="8"/>
  <c r="E1655" i="8"/>
  <c r="I1658" i="8"/>
  <c r="H1658" i="8" s="1"/>
  <c r="J1657" i="8"/>
  <c r="K1655" i="8"/>
  <c r="B1658" i="8" l="1"/>
  <c r="C1659" i="8"/>
  <c r="D1658" i="8"/>
  <c r="E1656" i="8"/>
  <c r="I1659" i="8"/>
  <c r="H1659" i="8" s="1"/>
  <c r="J1658" i="8"/>
  <c r="K1656" i="8"/>
  <c r="E1657" i="8" l="1"/>
  <c r="C1660" i="8"/>
  <c r="D1659" i="8"/>
  <c r="B1659" i="8"/>
  <c r="I1660" i="8"/>
  <c r="H1660" i="8" s="1"/>
  <c r="J1659" i="8"/>
  <c r="K1657" i="8"/>
  <c r="E1658" i="8" l="1"/>
  <c r="C1661" i="8"/>
  <c r="B1660" i="8"/>
  <c r="D1660" i="8"/>
  <c r="I1661" i="8"/>
  <c r="H1661" i="8" s="1"/>
  <c r="J1660" i="8"/>
  <c r="K1658" i="8"/>
  <c r="E1659" i="8" l="1"/>
  <c r="B1661" i="8"/>
  <c r="C1662" i="8"/>
  <c r="D1661" i="8"/>
  <c r="I1662" i="8"/>
  <c r="H1662" i="8" s="1"/>
  <c r="J1661" i="8"/>
  <c r="K1659" i="8"/>
  <c r="E1660" i="8" l="1"/>
  <c r="B1662" i="8"/>
  <c r="D1662" i="8"/>
  <c r="C1663" i="8"/>
  <c r="I1663" i="8"/>
  <c r="H1663" i="8" s="1"/>
  <c r="J1662" i="8"/>
  <c r="K1660" i="8"/>
  <c r="K1661" i="8" l="1"/>
  <c r="B1663" i="8"/>
  <c r="C1664" i="8"/>
  <c r="D1663" i="8"/>
  <c r="E1661" i="8"/>
  <c r="I1664" i="8"/>
  <c r="H1664" i="8" s="1"/>
  <c r="J1663" i="8"/>
  <c r="E1662" i="8" l="1"/>
  <c r="C1665" i="8"/>
  <c r="D1664" i="8"/>
  <c r="B1664" i="8"/>
  <c r="I1665" i="8"/>
  <c r="H1665" i="8" s="1"/>
  <c r="J1664" i="8"/>
  <c r="K1663" i="8" s="1"/>
  <c r="K1662" i="8"/>
  <c r="E1663" i="8" l="1"/>
  <c r="B1665" i="8"/>
  <c r="D1665" i="8"/>
  <c r="E1664" i="8" s="1"/>
  <c r="C1666" i="8"/>
  <c r="I1666" i="8"/>
  <c r="H1666" i="8" s="1"/>
  <c r="J1665" i="8"/>
  <c r="C1667" i="8" l="1"/>
  <c r="B1666" i="8"/>
  <c r="D1666" i="8"/>
  <c r="I1667" i="8"/>
  <c r="H1667" i="8" s="1"/>
  <c r="J1666" i="8"/>
  <c r="K1664" i="8"/>
  <c r="E1665" i="8" l="1"/>
  <c r="B1667" i="8"/>
  <c r="C1668" i="8"/>
  <c r="D1667" i="8"/>
  <c r="I1668" i="8"/>
  <c r="H1668" i="8" s="1"/>
  <c r="J1667" i="8"/>
  <c r="K1665" i="8"/>
  <c r="E1666" i="8" l="1"/>
  <c r="D1668" i="8"/>
  <c r="B1668" i="8"/>
  <c r="C1669" i="8"/>
  <c r="I1669" i="8"/>
  <c r="H1669" i="8" s="1"/>
  <c r="J1668" i="8"/>
  <c r="K1666" i="8"/>
  <c r="E1667" i="8" l="1"/>
  <c r="B1669" i="8"/>
  <c r="C1670" i="8"/>
  <c r="D1669" i="8"/>
  <c r="K1667" i="8"/>
  <c r="I1670" i="8"/>
  <c r="H1670" i="8" s="1"/>
  <c r="J1669" i="8"/>
  <c r="E1668" i="8" l="1"/>
  <c r="C1671" i="8"/>
  <c r="D1670" i="8"/>
  <c r="B1670" i="8"/>
  <c r="I1671" i="8"/>
  <c r="H1671" i="8" s="1"/>
  <c r="J1670" i="8"/>
  <c r="K1668" i="8"/>
  <c r="E1669" i="8" l="1"/>
  <c r="D1671" i="8"/>
  <c r="B1671" i="8"/>
  <c r="C1672" i="8"/>
  <c r="I1672" i="8"/>
  <c r="H1672" i="8" s="1"/>
  <c r="J1671" i="8"/>
  <c r="K1669" i="8"/>
  <c r="E1670" i="8" l="1"/>
  <c r="B1672" i="8"/>
  <c r="C1673" i="8"/>
  <c r="D1672" i="8"/>
  <c r="I1673" i="8"/>
  <c r="H1673" i="8" s="1"/>
  <c r="J1672" i="8"/>
  <c r="K1670" i="8"/>
  <c r="C1674" i="8" l="1"/>
  <c r="D1673" i="8"/>
  <c r="B1673" i="8"/>
  <c r="E1671" i="8"/>
  <c r="I1674" i="8"/>
  <c r="H1674" i="8" s="1"/>
  <c r="J1673" i="8"/>
  <c r="K1671" i="8"/>
  <c r="E1672" i="8" l="1"/>
  <c r="B1674" i="8"/>
  <c r="D1674" i="8"/>
  <c r="C1675" i="8"/>
  <c r="I1675" i="8"/>
  <c r="H1675" i="8" s="1"/>
  <c r="J1674" i="8"/>
  <c r="K1672" i="8"/>
  <c r="D1675" i="8" l="1"/>
  <c r="B1675" i="8"/>
  <c r="C1676" i="8"/>
  <c r="E1673" i="8"/>
  <c r="I1676" i="8"/>
  <c r="H1676" i="8" s="1"/>
  <c r="J1675" i="8"/>
  <c r="K1673" i="8"/>
  <c r="E1674" i="8" l="1"/>
  <c r="B1676" i="8"/>
  <c r="C1677" i="8"/>
  <c r="D1676" i="8"/>
  <c r="I1677" i="8"/>
  <c r="H1677" i="8" s="1"/>
  <c r="J1676" i="8"/>
  <c r="K1674" i="8"/>
  <c r="E1675" i="8" l="1"/>
  <c r="B1677" i="8"/>
  <c r="C1678" i="8"/>
  <c r="D1677" i="8"/>
  <c r="K1675" i="8"/>
  <c r="I1678" i="8"/>
  <c r="H1678" i="8" s="1"/>
  <c r="J1677" i="8"/>
  <c r="D1678" i="8" l="1"/>
  <c r="C1679" i="8"/>
  <c r="B1678" i="8"/>
  <c r="K1676" i="8"/>
  <c r="E1676" i="8"/>
  <c r="I1679" i="8"/>
  <c r="H1679" i="8" s="1"/>
  <c r="J1678" i="8"/>
  <c r="E1677" i="8" l="1"/>
  <c r="D1679" i="8"/>
  <c r="B1679" i="8"/>
  <c r="C1680" i="8"/>
  <c r="K1677" i="8"/>
  <c r="I1680" i="8"/>
  <c r="H1680" i="8" s="1"/>
  <c r="J1679" i="8"/>
  <c r="C1681" i="8" l="1"/>
  <c r="D1680" i="8"/>
  <c r="B1680" i="8"/>
  <c r="E1678" i="8"/>
  <c r="I1681" i="8"/>
  <c r="H1681" i="8" s="1"/>
  <c r="J1680" i="8"/>
  <c r="K1678" i="8"/>
  <c r="E1679" i="8" l="1"/>
  <c r="D1681" i="8"/>
  <c r="B1681" i="8"/>
  <c r="C1682" i="8"/>
  <c r="I1682" i="8"/>
  <c r="H1682" i="8" s="1"/>
  <c r="J1681" i="8"/>
  <c r="K1679" i="8"/>
  <c r="D1682" i="8" l="1"/>
  <c r="C1683" i="8"/>
  <c r="B1682" i="8"/>
  <c r="E1680" i="8"/>
  <c r="I1683" i="8"/>
  <c r="H1683" i="8" s="1"/>
  <c r="J1682" i="8"/>
  <c r="K1681" i="8" s="1"/>
  <c r="K1680" i="8"/>
  <c r="C1684" i="8" l="1"/>
  <c r="B1683" i="8"/>
  <c r="D1683" i="8"/>
  <c r="E1681" i="8"/>
  <c r="I1684" i="8"/>
  <c r="H1684" i="8" s="1"/>
  <c r="J1683" i="8"/>
  <c r="E1682" i="8" l="1"/>
  <c r="B1684" i="8"/>
  <c r="C1685" i="8"/>
  <c r="D1684" i="8"/>
  <c r="I1685" i="8"/>
  <c r="H1685" i="8" s="1"/>
  <c r="J1684" i="8"/>
  <c r="K1682" i="8"/>
  <c r="C1686" i="8" l="1"/>
  <c r="D1685" i="8"/>
  <c r="B1685" i="8"/>
  <c r="E1683" i="8"/>
  <c r="K1683" i="8"/>
  <c r="I1686" i="8"/>
  <c r="H1686" i="8" s="1"/>
  <c r="J1685" i="8"/>
  <c r="E1684" i="8" l="1"/>
  <c r="B1686" i="8"/>
  <c r="C1687" i="8"/>
  <c r="D1686" i="8"/>
  <c r="I1687" i="8"/>
  <c r="H1687" i="8" s="1"/>
  <c r="J1686" i="8"/>
  <c r="K1685" i="8" s="1"/>
  <c r="K1684" i="8"/>
  <c r="C1688" i="8" l="1"/>
  <c r="D1687" i="8"/>
  <c r="B1687" i="8"/>
  <c r="E1685" i="8"/>
  <c r="I1688" i="8"/>
  <c r="H1688" i="8" s="1"/>
  <c r="J1687" i="8"/>
  <c r="E1686" i="8" l="1"/>
  <c r="B1688" i="8"/>
  <c r="D1688" i="8"/>
  <c r="C1689" i="8"/>
  <c r="I1689" i="8"/>
  <c r="H1689" i="8" s="1"/>
  <c r="J1688" i="8"/>
  <c r="K1687" i="8" s="1"/>
  <c r="K1686" i="8"/>
  <c r="D1689" i="8" l="1"/>
  <c r="C1690" i="8"/>
  <c r="B1689" i="8"/>
  <c r="E1687" i="8"/>
  <c r="I1690" i="8"/>
  <c r="H1690" i="8" s="1"/>
  <c r="J1689" i="8"/>
  <c r="E1688" i="8" l="1"/>
  <c r="C1691" i="8"/>
  <c r="D1690" i="8"/>
  <c r="B1690" i="8"/>
  <c r="K1688" i="8"/>
  <c r="I1691" i="8"/>
  <c r="H1691" i="8" s="1"/>
  <c r="J1690" i="8"/>
  <c r="E1689" i="8" l="1"/>
  <c r="B1691" i="8"/>
  <c r="C1692" i="8"/>
  <c r="D1691" i="8"/>
  <c r="E1690" i="8" s="1"/>
  <c r="I1692" i="8"/>
  <c r="H1692" i="8" s="1"/>
  <c r="J1691" i="8"/>
  <c r="K1689" i="8"/>
  <c r="B1692" i="8" l="1"/>
  <c r="C1693" i="8"/>
  <c r="D1692" i="8"/>
  <c r="I1693" i="8"/>
  <c r="H1693" i="8" s="1"/>
  <c r="J1692" i="8"/>
  <c r="K1690" i="8"/>
  <c r="B1693" i="8" l="1"/>
  <c r="C1694" i="8"/>
  <c r="D1693" i="8"/>
  <c r="E1691" i="8"/>
  <c r="I1694" i="8"/>
  <c r="H1694" i="8" s="1"/>
  <c r="J1693" i="8"/>
  <c r="K1691" i="8"/>
  <c r="B1694" i="8" l="1"/>
  <c r="D1694" i="8"/>
  <c r="C1695" i="8"/>
  <c r="E1692" i="8"/>
  <c r="K1692" i="8"/>
  <c r="I1695" i="8"/>
  <c r="H1695" i="8" s="1"/>
  <c r="J1694" i="8"/>
  <c r="E1693" i="8" l="1"/>
  <c r="K1693" i="8"/>
  <c r="C1696" i="8"/>
  <c r="D1695" i="8"/>
  <c r="B1695" i="8"/>
  <c r="I1696" i="8"/>
  <c r="H1696" i="8" s="1"/>
  <c r="J1695" i="8"/>
  <c r="K1694" i="8" s="1"/>
  <c r="E1694" i="8" l="1"/>
  <c r="D1696" i="8"/>
  <c r="C1697" i="8"/>
  <c r="B1696" i="8"/>
  <c r="I1697" i="8"/>
  <c r="H1697" i="8" s="1"/>
  <c r="J1696" i="8"/>
  <c r="C1698" i="8" l="1"/>
  <c r="B1697" i="8"/>
  <c r="D1697" i="8"/>
  <c r="K1695" i="8"/>
  <c r="E1695" i="8"/>
  <c r="I1698" i="8"/>
  <c r="H1698" i="8" s="1"/>
  <c r="J1697" i="8"/>
  <c r="E1696" i="8" l="1"/>
  <c r="D1698" i="8"/>
  <c r="C1699" i="8"/>
  <c r="B1698" i="8"/>
  <c r="K1696" i="8"/>
  <c r="I1699" i="8"/>
  <c r="H1699" i="8" s="1"/>
  <c r="J1698" i="8"/>
  <c r="D1699" i="8" l="1"/>
  <c r="C1700" i="8"/>
  <c r="B1699" i="8"/>
  <c r="K1697" i="8"/>
  <c r="E1697" i="8"/>
  <c r="I1700" i="8"/>
  <c r="H1700" i="8" s="1"/>
  <c r="J1699" i="8"/>
  <c r="E1698" i="8" l="1"/>
  <c r="C1701" i="8"/>
  <c r="D1700" i="8"/>
  <c r="B1700" i="8"/>
  <c r="I1701" i="8"/>
  <c r="H1701" i="8" s="1"/>
  <c r="J1700" i="8"/>
  <c r="K1698" i="8"/>
  <c r="E1699" i="8" l="1"/>
  <c r="B1701" i="8"/>
  <c r="C1702" i="8"/>
  <c r="D1701" i="8"/>
  <c r="I1702" i="8"/>
  <c r="H1702" i="8" s="1"/>
  <c r="J1701" i="8"/>
  <c r="K1699" i="8"/>
  <c r="K1700" i="8" l="1"/>
  <c r="C1703" i="8"/>
  <c r="B1702" i="8"/>
  <c r="D1702" i="8"/>
  <c r="E1700" i="8"/>
  <c r="I1703" i="8"/>
  <c r="H1703" i="8" s="1"/>
  <c r="J1702" i="8"/>
  <c r="D1703" i="8" l="1"/>
  <c r="B1703" i="8"/>
  <c r="C1704" i="8"/>
  <c r="E1701" i="8"/>
  <c r="K1701" i="8"/>
  <c r="I1704" i="8"/>
  <c r="H1704" i="8" s="1"/>
  <c r="J1703" i="8"/>
  <c r="K1702" i="8" s="1"/>
  <c r="E1702" i="8" l="1"/>
  <c r="B1704" i="8"/>
  <c r="C1705" i="8"/>
  <c r="D1704" i="8"/>
  <c r="I1705" i="8"/>
  <c r="H1705" i="8" s="1"/>
  <c r="J1704" i="8"/>
  <c r="B1705" i="8" l="1"/>
  <c r="D1705" i="8"/>
  <c r="C1706" i="8"/>
  <c r="E1703" i="8"/>
  <c r="I1706" i="8"/>
  <c r="H1706" i="8" s="1"/>
  <c r="J1705" i="8"/>
  <c r="K1703" i="8"/>
  <c r="B1706" i="8" l="1"/>
  <c r="C1707" i="8"/>
  <c r="D1706" i="8"/>
  <c r="E1704" i="8"/>
  <c r="I1707" i="8"/>
  <c r="H1707" i="8" s="1"/>
  <c r="J1706" i="8"/>
  <c r="K1704" i="8"/>
  <c r="C1708" i="8" l="1"/>
  <c r="D1707" i="8"/>
  <c r="B1707" i="8"/>
  <c r="E1705" i="8"/>
  <c r="I1708" i="8"/>
  <c r="H1708" i="8" s="1"/>
  <c r="J1707" i="8"/>
  <c r="K1705" i="8"/>
  <c r="E1706" i="8" l="1"/>
  <c r="B1708" i="8"/>
  <c r="D1708" i="8"/>
  <c r="C1709" i="8"/>
  <c r="I1709" i="8"/>
  <c r="H1709" i="8" s="1"/>
  <c r="J1708" i="8"/>
  <c r="K1706" i="8"/>
  <c r="B1709" i="8" l="1"/>
  <c r="C1710" i="8"/>
  <c r="D1709" i="8"/>
  <c r="E1707" i="8"/>
  <c r="I1710" i="8"/>
  <c r="H1710" i="8" s="1"/>
  <c r="J1709" i="8"/>
  <c r="K1707" i="8"/>
  <c r="E1708" i="8" l="1"/>
  <c r="K1708" i="8"/>
  <c r="B1710" i="8"/>
  <c r="C1711" i="8"/>
  <c r="D1710" i="8"/>
  <c r="E1709" i="8" s="1"/>
  <c r="I1711" i="8"/>
  <c r="H1711" i="8" s="1"/>
  <c r="J1710" i="8"/>
  <c r="K1709" i="8" s="1"/>
  <c r="B1711" i="8" l="1"/>
  <c r="D1711" i="8"/>
  <c r="C1712" i="8"/>
  <c r="I1712" i="8"/>
  <c r="H1712" i="8" s="1"/>
  <c r="J1711" i="8"/>
  <c r="E1710" i="8" l="1"/>
  <c r="B1712" i="8"/>
  <c r="D1712" i="8"/>
  <c r="E1711" i="8" s="1"/>
  <c r="C1713" i="8"/>
  <c r="K1710" i="8"/>
  <c r="I1713" i="8"/>
  <c r="H1713" i="8" s="1"/>
  <c r="J1712" i="8"/>
  <c r="B1713" i="8" l="1"/>
  <c r="D1713" i="8"/>
  <c r="C1714" i="8"/>
  <c r="I1714" i="8"/>
  <c r="H1714" i="8" s="1"/>
  <c r="J1713" i="8"/>
  <c r="K1711" i="8"/>
  <c r="E1712" i="8" l="1"/>
  <c r="C1715" i="8"/>
  <c r="D1714" i="8"/>
  <c r="B1714" i="8"/>
  <c r="I1715" i="8"/>
  <c r="H1715" i="8" s="1"/>
  <c r="J1714" i="8"/>
  <c r="K1712" i="8"/>
  <c r="E1713" i="8" l="1"/>
  <c r="K1713" i="8"/>
  <c r="D1715" i="8"/>
  <c r="B1715" i="8"/>
  <c r="C1716" i="8"/>
  <c r="I1716" i="8"/>
  <c r="H1716" i="8" s="1"/>
  <c r="J1715" i="8"/>
  <c r="K1714" i="8" s="1"/>
  <c r="E1714" i="8" l="1"/>
  <c r="B1716" i="8"/>
  <c r="D1716" i="8"/>
  <c r="C1717" i="8"/>
  <c r="I1717" i="8"/>
  <c r="H1717" i="8" s="1"/>
  <c r="J1716" i="8"/>
  <c r="C1718" i="8" l="1"/>
  <c r="D1717" i="8"/>
  <c r="B1717" i="8"/>
  <c r="K1715" i="8"/>
  <c r="E1715" i="8"/>
  <c r="I1718" i="8"/>
  <c r="H1718" i="8" s="1"/>
  <c r="J1717" i="8"/>
  <c r="E1716" i="8" l="1"/>
  <c r="C1719" i="8"/>
  <c r="B1718" i="8"/>
  <c r="D1718" i="8"/>
  <c r="K1716" i="8"/>
  <c r="I1719" i="8"/>
  <c r="H1719" i="8" s="1"/>
  <c r="J1718" i="8"/>
  <c r="K1717" i="8" l="1"/>
  <c r="E1717" i="8"/>
  <c r="B1719" i="8"/>
  <c r="C1720" i="8"/>
  <c r="D1719" i="8"/>
  <c r="I1720" i="8"/>
  <c r="H1720" i="8" s="1"/>
  <c r="J1719" i="8"/>
  <c r="K1718" i="8" l="1"/>
  <c r="D1720" i="8"/>
  <c r="C1721" i="8"/>
  <c r="B1720" i="8"/>
  <c r="E1718" i="8"/>
  <c r="I1721" i="8"/>
  <c r="H1721" i="8" s="1"/>
  <c r="J1720" i="8"/>
  <c r="E1719" i="8" l="1"/>
  <c r="K1719" i="8"/>
  <c r="B1721" i="8"/>
  <c r="C1722" i="8"/>
  <c r="D1721" i="8"/>
  <c r="I1722" i="8"/>
  <c r="H1722" i="8" s="1"/>
  <c r="J1721" i="8"/>
  <c r="D1722" i="8" l="1"/>
  <c r="B1722" i="8"/>
  <c r="C1723" i="8"/>
  <c r="E1720" i="8"/>
  <c r="I1723" i="8"/>
  <c r="H1723" i="8" s="1"/>
  <c r="J1722" i="8"/>
  <c r="K1721" i="8" s="1"/>
  <c r="K1720" i="8"/>
  <c r="E1721" i="8" l="1"/>
  <c r="C1724" i="8"/>
  <c r="D1723" i="8"/>
  <c r="B1723" i="8"/>
  <c r="I1724" i="8"/>
  <c r="H1724" i="8" s="1"/>
  <c r="J1723" i="8"/>
  <c r="K1722" i="8" s="1"/>
  <c r="E1722" i="8" l="1"/>
  <c r="B1724" i="8"/>
  <c r="D1724" i="8"/>
  <c r="C1725" i="8"/>
  <c r="I1725" i="8"/>
  <c r="H1725" i="8" s="1"/>
  <c r="J1724" i="8"/>
  <c r="E1723" i="8" l="1"/>
  <c r="B1725" i="8"/>
  <c r="C1726" i="8"/>
  <c r="D1725" i="8"/>
  <c r="K1723" i="8"/>
  <c r="I1726" i="8"/>
  <c r="H1726" i="8" s="1"/>
  <c r="J1725" i="8"/>
  <c r="B1726" i="8" l="1"/>
  <c r="D1726" i="8"/>
  <c r="C1727" i="8"/>
  <c r="E1724" i="8"/>
  <c r="I1727" i="8"/>
  <c r="H1727" i="8" s="1"/>
  <c r="J1726" i="8"/>
  <c r="K1724" i="8"/>
  <c r="E1725" i="8" l="1"/>
  <c r="K1725" i="8"/>
  <c r="B1727" i="8"/>
  <c r="C1728" i="8"/>
  <c r="D1727" i="8"/>
  <c r="I1728" i="8"/>
  <c r="H1728" i="8" s="1"/>
  <c r="J1727" i="8"/>
  <c r="K1726" i="8" s="1"/>
  <c r="C1729" i="8" l="1"/>
  <c r="B1728" i="8"/>
  <c r="D1728" i="8"/>
  <c r="E1726" i="8"/>
  <c r="I1729" i="8"/>
  <c r="H1729" i="8" s="1"/>
  <c r="J1728" i="8"/>
  <c r="C1730" i="8" l="1"/>
  <c r="B1729" i="8"/>
  <c r="D1729" i="8"/>
  <c r="K1727" i="8"/>
  <c r="E1727" i="8"/>
  <c r="I1730" i="8"/>
  <c r="H1730" i="8" s="1"/>
  <c r="J1729" i="8"/>
  <c r="K1728" i="8" l="1"/>
  <c r="C1731" i="8"/>
  <c r="B1730" i="8"/>
  <c r="D1730" i="8"/>
  <c r="E1728" i="8"/>
  <c r="I1731" i="8"/>
  <c r="H1731" i="8" s="1"/>
  <c r="J1730" i="8"/>
  <c r="C1732" i="8" l="1"/>
  <c r="D1731" i="8"/>
  <c r="B1731" i="8"/>
  <c r="E1729" i="8"/>
  <c r="K1729" i="8"/>
  <c r="I1732" i="8"/>
  <c r="H1732" i="8" s="1"/>
  <c r="J1731" i="8"/>
  <c r="E1730" i="8" l="1"/>
  <c r="D1732" i="8"/>
  <c r="B1732" i="8"/>
  <c r="C1733" i="8"/>
  <c r="I1733" i="8"/>
  <c r="H1733" i="8" s="1"/>
  <c r="J1732" i="8"/>
  <c r="K1731" i="8" s="1"/>
  <c r="K1730" i="8"/>
  <c r="C1734" i="8" l="1"/>
  <c r="D1733" i="8"/>
  <c r="B1733" i="8"/>
  <c r="E1731" i="8"/>
  <c r="I1734" i="8"/>
  <c r="H1734" i="8" s="1"/>
  <c r="J1733" i="8"/>
  <c r="E1732" i="8" l="1"/>
  <c r="D1734" i="8"/>
  <c r="C1735" i="8"/>
  <c r="B1734" i="8"/>
  <c r="I1735" i="8"/>
  <c r="H1735" i="8" s="1"/>
  <c r="J1734" i="8"/>
  <c r="K1732" i="8"/>
  <c r="E1733" i="8" l="1"/>
  <c r="C1736" i="8"/>
  <c r="B1735" i="8"/>
  <c r="D1735" i="8"/>
  <c r="K1733" i="8"/>
  <c r="I1736" i="8"/>
  <c r="H1736" i="8" s="1"/>
  <c r="J1735" i="8"/>
  <c r="K1734" i="8" l="1"/>
  <c r="E1734" i="8"/>
  <c r="C1737" i="8"/>
  <c r="D1736" i="8"/>
  <c r="B1736" i="8"/>
  <c r="I1737" i="8"/>
  <c r="H1737" i="8" s="1"/>
  <c r="J1736" i="8"/>
  <c r="K1735" i="8" s="1"/>
  <c r="E1735" i="8" l="1"/>
  <c r="B1737" i="8"/>
  <c r="D1737" i="8"/>
  <c r="C1738" i="8"/>
  <c r="I1738" i="8"/>
  <c r="H1738" i="8" s="1"/>
  <c r="J1737" i="8"/>
  <c r="E1736" i="8" l="1"/>
  <c r="B1738" i="8"/>
  <c r="D1738" i="8"/>
  <c r="C1739" i="8"/>
  <c r="K1736" i="8"/>
  <c r="I1739" i="8"/>
  <c r="H1739" i="8" s="1"/>
  <c r="J1738" i="8"/>
  <c r="E1737" i="8" l="1"/>
  <c r="B1739" i="8"/>
  <c r="C1740" i="8"/>
  <c r="D1739" i="8"/>
  <c r="I1740" i="8"/>
  <c r="H1740" i="8" s="1"/>
  <c r="J1739" i="8"/>
  <c r="K1737" i="8"/>
  <c r="E1738" i="8" l="1"/>
  <c r="B1740" i="8"/>
  <c r="C1741" i="8"/>
  <c r="D1740" i="8"/>
  <c r="I1741" i="8"/>
  <c r="H1741" i="8" s="1"/>
  <c r="J1740" i="8"/>
  <c r="K1739" i="8" s="1"/>
  <c r="K1738" i="8"/>
  <c r="E1739" i="8" l="1"/>
  <c r="C1742" i="8"/>
  <c r="B1741" i="8"/>
  <c r="D1741" i="8"/>
  <c r="I1742" i="8"/>
  <c r="H1742" i="8" s="1"/>
  <c r="J1741" i="8"/>
  <c r="K1740" i="8" s="1"/>
  <c r="B1742" i="8" l="1"/>
  <c r="C1743" i="8"/>
  <c r="D1742" i="8"/>
  <c r="E1740" i="8"/>
  <c r="I1743" i="8"/>
  <c r="H1743" i="8" s="1"/>
  <c r="J1742" i="8"/>
  <c r="E1741" i="8" l="1"/>
  <c r="C1744" i="8"/>
  <c r="D1743" i="8"/>
  <c r="B1743" i="8"/>
  <c r="I1744" i="8"/>
  <c r="H1744" i="8" s="1"/>
  <c r="J1743" i="8"/>
  <c r="K1741" i="8"/>
  <c r="E1742" i="8" l="1"/>
  <c r="C1745" i="8"/>
  <c r="D1744" i="8"/>
  <c r="B1744" i="8"/>
  <c r="I1745" i="8"/>
  <c r="H1745" i="8" s="1"/>
  <c r="J1744" i="8"/>
  <c r="K1742" i="8"/>
  <c r="E1743" i="8" l="1"/>
  <c r="C1746" i="8"/>
  <c r="D1745" i="8"/>
  <c r="B1745" i="8"/>
  <c r="K1743" i="8"/>
  <c r="I1746" i="8"/>
  <c r="H1746" i="8" s="1"/>
  <c r="J1745" i="8"/>
  <c r="B1746" i="8" l="1"/>
  <c r="D1746" i="8"/>
  <c r="C1747" i="8"/>
  <c r="E1744" i="8"/>
  <c r="I1747" i="8"/>
  <c r="H1747" i="8" s="1"/>
  <c r="J1746" i="8"/>
  <c r="K1744" i="8"/>
  <c r="E1745" i="8" l="1"/>
  <c r="D1747" i="8"/>
  <c r="B1747" i="8"/>
  <c r="C1748" i="8"/>
  <c r="I1748" i="8"/>
  <c r="H1748" i="8" s="1"/>
  <c r="J1747" i="8"/>
  <c r="K1745" i="8"/>
  <c r="E1746" i="8" l="1"/>
  <c r="D1748" i="8"/>
  <c r="C1749" i="8"/>
  <c r="B1748" i="8"/>
  <c r="K1746" i="8"/>
  <c r="I1749" i="8"/>
  <c r="H1749" i="8" s="1"/>
  <c r="J1748" i="8"/>
  <c r="E1747" i="8" l="1"/>
  <c r="D1749" i="8"/>
  <c r="C1750" i="8"/>
  <c r="B1749" i="8"/>
  <c r="K1747" i="8"/>
  <c r="I1750" i="8"/>
  <c r="H1750" i="8" s="1"/>
  <c r="J1749" i="8"/>
  <c r="K1748" i="8" s="1"/>
  <c r="B1750" i="8" l="1"/>
  <c r="C1751" i="8"/>
  <c r="D1750" i="8"/>
  <c r="E1748" i="8"/>
  <c r="I1751" i="8"/>
  <c r="H1751" i="8" s="1"/>
  <c r="J1750" i="8"/>
  <c r="E1749" i="8" l="1"/>
  <c r="B1751" i="8"/>
  <c r="C1752" i="8"/>
  <c r="D1751" i="8"/>
  <c r="I1752" i="8"/>
  <c r="H1752" i="8" s="1"/>
  <c r="J1751" i="8"/>
  <c r="K1749" i="8"/>
  <c r="E1750" i="8" l="1"/>
  <c r="C1753" i="8"/>
  <c r="B1752" i="8"/>
  <c r="D1752" i="8"/>
  <c r="K1750" i="8"/>
  <c r="I1753" i="8"/>
  <c r="H1753" i="8" s="1"/>
  <c r="J1752" i="8"/>
  <c r="C1754" i="8" l="1"/>
  <c r="B1753" i="8"/>
  <c r="D1753" i="8"/>
  <c r="E1751" i="8"/>
  <c r="K1751" i="8"/>
  <c r="I1754" i="8"/>
  <c r="H1754" i="8" s="1"/>
  <c r="J1753" i="8"/>
  <c r="K1752" i="8" l="1"/>
  <c r="D1754" i="8"/>
  <c r="B1754" i="8"/>
  <c r="C1755" i="8"/>
  <c r="E1752" i="8"/>
  <c r="I1755" i="8"/>
  <c r="H1755" i="8" s="1"/>
  <c r="J1754" i="8"/>
  <c r="C1756" i="8" l="1"/>
  <c r="D1755" i="8"/>
  <c r="B1755" i="8"/>
  <c r="E1753" i="8"/>
  <c r="I1756" i="8"/>
  <c r="H1756" i="8" s="1"/>
  <c r="J1755" i="8"/>
  <c r="K1753" i="8"/>
  <c r="C1757" i="8" l="1"/>
  <c r="D1756" i="8"/>
  <c r="B1756" i="8"/>
  <c r="E1754" i="8"/>
  <c r="K1754" i="8"/>
  <c r="I1757" i="8"/>
  <c r="H1757" i="8" s="1"/>
  <c r="J1756" i="8"/>
  <c r="E1755" i="8" l="1"/>
  <c r="K1755" i="8"/>
  <c r="B1757" i="8"/>
  <c r="D1757" i="8"/>
  <c r="C1758" i="8"/>
  <c r="I1758" i="8"/>
  <c r="H1758" i="8" s="1"/>
  <c r="J1757" i="8"/>
  <c r="E1756" i="8" l="1"/>
  <c r="C1759" i="8"/>
  <c r="B1758" i="8"/>
  <c r="D1758" i="8"/>
  <c r="I1759" i="8"/>
  <c r="H1759" i="8" s="1"/>
  <c r="J1758" i="8"/>
  <c r="K1757" i="8" s="1"/>
  <c r="K1756" i="8"/>
  <c r="E1757" i="8" l="1"/>
  <c r="B1759" i="8"/>
  <c r="C1760" i="8"/>
  <c r="D1759" i="8"/>
  <c r="I1760" i="8"/>
  <c r="H1760" i="8" s="1"/>
  <c r="J1759" i="8"/>
  <c r="K1758" i="8" s="1"/>
  <c r="E1758" i="8" l="1"/>
  <c r="D1760" i="8"/>
  <c r="C1761" i="8"/>
  <c r="B1760" i="8"/>
  <c r="I1761" i="8"/>
  <c r="H1761" i="8" s="1"/>
  <c r="J1760" i="8"/>
  <c r="B1761" i="8" l="1"/>
  <c r="D1761" i="8"/>
  <c r="C1762" i="8"/>
  <c r="E1759" i="8"/>
  <c r="I1762" i="8"/>
  <c r="H1762" i="8" s="1"/>
  <c r="J1761" i="8"/>
  <c r="K1760" i="8" s="1"/>
  <c r="K1759" i="8"/>
  <c r="E1760" i="8" l="1"/>
  <c r="D1762" i="8"/>
  <c r="B1762" i="8"/>
  <c r="C1763" i="8"/>
  <c r="I1763" i="8"/>
  <c r="H1763" i="8" s="1"/>
  <c r="J1762" i="8"/>
  <c r="C1764" i="8" l="1"/>
  <c r="D1763" i="8"/>
  <c r="B1763" i="8"/>
  <c r="E1761" i="8"/>
  <c r="K1761" i="8"/>
  <c r="I1764" i="8"/>
  <c r="H1764" i="8" s="1"/>
  <c r="J1763" i="8"/>
  <c r="E1762" i="8" l="1"/>
  <c r="C1765" i="8"/>
  <c r="D1764" i="8"/>
  <c r="B1764" i="8"/>
  <c r="K1762" i="8"/>
  <c r="I1765" i="8"/>
  <c r="H1765" i="8" s="1"/>
  <c r="J1764" i="8"/>
  <c r="E1763" i="8" l="1"/>
  <c r="B1765" i="8"/>
  <c r="C1766" i="8"/>
  <c r="D1765" i="8"/>
  <c r="I1766" i="8"/>
  <c r="H1766" i="8" s="1"/>
  <c r="J1765" i="8"/>
  <c r="K1763" i="8"/>
  <c r="K1764" i="8" l="1"/>
  <c r="E1764" i="8"/>
  <c r="C1767" i="8"/>
  <c r="B1766" i="8"/>
  <c r="D1766" i="8"/>
  <c r="E1765" i="8" s="1"/>
  <c r="I1767" i="8"/>
  <c r="H1767" i="8" s="1"/>
  <c r="J1766" i="8"/>
  <c r="K1765" i="8" s="1"/>
  <c r="C1768" i="8" l="1"/>
  <c r="D1767" i="8"/>
  <c r="B1767" i="8"/>
  <c r="I1768" i="8"/>
  <c r="H1768" i="8" s="1"/>
  <c r="J1767" i="8"/>
  <c r="E1766" i="8" l="1"/>
  <c r="C1769" i="8"/>
  <c r="D1768" i="8"/>
  <c r="B1768" i="8"/>
  <c r="I1769" i="8"/>
  <c r="H1769" i="8" s="1"/>
  <c r="J1768" i="8"/>
  <c r="K1766" i="8"/>
  <c r="E1767" i="8" l="1"/>
  <c r="B1769" i="8"/>
  <c r="D1769" i="8"/>
  <c r="C1770" i="8"/>
  <c r="K1767" i="8"/>
  <c r="I1770" i="8"/>
  <c r="H1770" i="8" s="1"/>
  <c r="J1769" i="8"/>
  <c r="C1771" i="8" l="1"/>
  <c r="B1770" i="8"/>
  <c r="D1770" i="8"/>
  <c r="E1768" i="8"/>
  <c r="I1771" i="8"/>
  <c r="H1771" i="8" s="1"/>
  <c r="J1770" i="8"/>
  <c r="K1768" i="8"/>
  <c r="E1769" i="8" l="1"/>
  <c r="C1772" i="8"/>
  <c r="D1771" i="8"/>
  <c r="B1771" i="8"/>
  <c r="I1772" i="8"/>
  <c r="H1772" i="8" s="1"/>
  <c r="J1771" i="8"/>
  <c r="K1769" i="8"/>
  <c r="C1773" i="8" l="1"/>
  <c r="B1772" i="8"/>
  <c r="D1772" i="8"/>
  <c r="E1770" i="8"/>
  <c r="I1773" i="8"/>
  <c r="H1773" i="8" s="1"/>
  <c r="J1772" i="8"/>
  <c r="K1770" i="8"/>
  <c r="E1771" i="8" l="1"/>
  <c r="B1773" i="8"/>
  <c r="D1773" i="8"/>
  <c r="C1774" i="8"/>
  <c r="K1771" i="8"/>
  <c r="I1774" i="8"/>
  <c r="H1774" i="8" s="1"/>
  <c r="J1773" i="8"/>
  <c r="B1774" i="8" l="1"/>
  <c r="C1775" i="8"/>
  <c r="D1774" i="8"/>
  <c r="K1772" i="8"/>
  <c r="E1772" i="8"/>
  <c r="I1775" i="8"/>
  <c r="H1775" i="8" s="1"/>
  <c r="J1774" i="8"/>
  <c r="K1773" i="8" s="1"/>
  <c r="E1773" i="8" l="1"/>
  <c r="B1775" i="8"/>
  <c r="C1776" i="8"/>
  <c r="D1775" i="8"/>
  <c r="I1776" i="8"/>
  <c r="H1776" i="8" s="1"/>
  <c r="J1775" i="8"/>
  <c r="E1774" i="8" l="1"/>
  <c r="B1776" i="8"/>
  <c r="D1776" i="8"/>
  <c r="C1777" i="8"/>
  <c r="I1777" i="8"/>
  <c r="H1777" i="8" s="1"/>
  <c r="J1776" i="8"/>
  <c r="K1774" i="8"/>
  <c r="E1775" i="8" l="1"/>
  <c r="B1777" i="8"/>
  <c r="D1777" i="8"/>
  <c r="E1776" i="8" s="1"/>
  <c r="C1778" i="8"/>
  <c r="I1778" i="8"/>
  <c r="H1778" i="8" s="1"/>
  <c r="J1777" i="8"/>
  <c r="K1775" i="8"/>
  <c r="D1778" i="8" l="1"/>
  <c r="B1778" i="8"/>
  <c r="C1779" i="8"/>
  <c r="I1779" i="8"/>
  <c r="H1779" i="8" s="1"/>
  <c r="J1778" i="8"/>
  <c r="K1776" i="8"/>
  <c r="E1777" i="8" l="1"/>
  <c r="D1779" i="8"/>
  <c r="B1779" i="8"/>
  <c r="C1780" i="8"/>
  <c r="K1777" i="8"/>
  <c r="I1780" i="8"/>
  <c r="H1780" i="8" s="1"/>
  <c r="J1779" i="8"/>
  <c r="C1781" i="8" l="1"/>
  <c r="B1780" i="8"/>
  <c r="D1780" i="8"/>
  <c r="E1779" i="8" s="1"/>
  <c r="K1778" i="8"/>
  <c r="E1778" i="8"/>
  <c r="I1781" i="8"/>
  <c r="H1781" i="8" s="1"/>
  <c r="J1780" i="8"/>
  <c r="D1781" i="8" l="1"/>
  <c r="C1782" i="8"/>
  <c r="B1781" i="8"/>
  <c r="I1782" i="8"/>
  <c r="H1782" i="8" s="1"/>
  <c r="J1781" i="8"/>
  <c r="K1779" i="8"/>
  <c r="C1783" i="8" l="1"/>
  <c r="D1782" i="8"/>
  <c r="B1782" i="8"/>
  <c r="E1780" i="8"/>
  <c r="I1783" i="8"/>
  <c r="H1783" i="8" s="1"/>
  <c r="J1782" i="8"/>
  <c r="K1780" i="8"/>
  <c r="E1781" i="8" l="1"/>
  <c r="B1783" i="8"/>
  <c r="C1784" i="8"/>
  <c r="D1783" i="8"/>
  <c r="I1784" i="8"/>
  <c r="H1784" i="8" s="1"/>
  <c r="J1783" i="8"/>
  <c r="K1781" i="8"/>
  <c r="K1782" i="8" l="1"/>
  <c r="E1782" i="8"/>
  <c r="D1784" i="8"/>
  <c r="B1784" i="8"/>
  <c r="C1785" i="8"/>
  <c r="I1785" i="8"/>
  <c r="H1785" i="8" s="1"/>
  <c r="J1784" i="8"/>
  <c r="E1783" i="8" l="1"/>
  <c r="B1785" i="8"/>
  <c r="D1785" i="8"/>
  <c r="C1786" i="8"/>
  <c r="I1786" i="8"/>
  <c r="H1786" i="8" s="1"/>
  <c r="J1785" i="8"/>
  <c r="K1783" i="8"/>
  <c r="B1786" i="8" l="1"/>
  <c r="C1787" i="8"/>
  <c r="D1786" i="8"/>
  <c r="E1784" i="8"/>
  <c r="K1784" i="8"/>
  <c r="I1787" i="8"/>
  <c r="H1787" i="8" s="1"/>
  <c r="J1786" i="8"/>
  <c r="E1785" i="8" l="1"/>
  <c r="B1787" i="8"/>
  <c r="C1788" i="8"/>
  <c r="D1787" i="8"/>
  <c r="K1785" i="8"/>
  <c r="I1788" i="8"/>
  <c r="H1788" i="8" s="1"/>
  <c r="J1787" i="8"/>
  <c r="K1786" i="8" s="1"/>
  <c r="E1786" i="8" l="1"/>
  <c r="B1788" i="8"/>
  <c r="C1789" i="8"/>
  <c r="D1788" i="8"/>
  <c r="I1789" i="8"/>
  <c r="H1789" i="8" s="1"/>
  <c r="J1788" i="8"/>
  <c r="E1787" i="8" l="1"/>
  <c r="C1790" i="8"/>
  <c r="B1789" i="8"/>
  <c r="D1789" i="8"/>
  <c r="I1790" i="8"/>
  <c r="H1790" i="8" s="1"/>
  <c r="J1789" i="8"/>
  <c r="K1787" i="8"/>
  <c r="E1788" i="8" l="1"/>
  <c r="B1790" i="8"/>
  <c r="D1790" i="8"/>
  <c r="E1789" i="8" s="1"/>
  <c r="C1791" i="8"/>
  <c r="I1791" i="8"/>
  <c r="H1791" i="8" s="1"/>
  <c r="J1790" i="8"/>
  <c r="K1789" i="8" s="1"/>
  <c r="K1788" i="8"/>
  <c r="D1791" i="8" l="1"/>
  <c r="B1791" i="8"/>
  <c r="C1792" i="8"/>
  <c r="I1792" i="8"/>
  <c r="H1792" i="8" s="1"/>
  <c r="J1791" i="8"/>
  <c r="B1792" i="8" l="1"/>
  <c r="C1793" i="8"/>
  <c r="D1792" i="8"/>
  <c r="E1790" i="8"/>
  <c r="K1790" i="8"/>
  <c r="I1793" i="8"/>
  <c r="H1793" i="8" s="1"/>
  <c r="J1792" i="8"/>
  <c r="E1791" i="8" l="1"/>
  <c r="B1793" i="8"/>
  <c r="C1794" i="8"/>
  <c r="D1793" i="8"/>
  <c r="I1794" i="8"/>
  <c r="H1794" i="8" s="1"/>
  <c r="J1793" i="8"/>
  <c r="K1791" i="8"/>
  <c r="K1792" i="8" l="1"/>
  <c r="B1794" i="8"/>
  <c r="C1795" i="8"/>
  <c r="D1794" i="8"/>
  <c r="E1792" i="8"/>
  <c r="I1795" i="8"/>
  <c r="H1795" i="8" s="1"/>
  <c r="J1794" i="8"/>
  <c r="C1796" i="8" l="1"/>
  <c r="D1795" i="8"/>
  <c r="B1795" i="8"/>
  <c r="E1793" i="8"/>
  <c r="I1796" i="8"/>
  <c r="H1796" i="8" s="1"/>
  <c r="J1795" i="8"/>
  <c r="K1793" i="8"/>
  <c r="B1796" i="8" l="1"/>
  <c r="D1796" i="8"/>
  <c r="C1797" i="8"/>
  <c r="E1794" i="8"/>
  <c r="I1797" i="8"/>
  <c r="H1797" i="8" s="1"/>
  <c r="J1796" i="8"/>
  <c r="K1795" i="8" s="1"/>
  <c r="K1794" i="8"/>
  <c r="E1795" i="8" l="1"/>
  <c r="D1797" i="8"/>
  <c r="B1797" i="8"/>
  <c r="C1798" i="8"/>
  <c r="I1798" i="8"/>
  <c r="H1798" i="8" s="1"/>
  <c r="J1797" i="8"/>
  <c r="B1798" i="8" l="1"/>
  <c r="C1799" i="8"/>
  <c r="D1798" i="8"/>
  <c r="E1796" i="8"/>
  <c r="I1799" i="8"/>
  <c r="H1799" i="8" s="1"/>
  <c r="J1798" i="8"/>
  <c r="K1797" i="8" s="1"/>
  <c r="K1796" i="8"/>
  <c r="E1797" i="8" l="1"/>
  <c r="B1799" i="8"/>
  <c r="C1800" i="8"/>
  <c r="D1799" i="8"/>
  <c r="I1800" i="8"/>
  <c r="H1800" i="8" s="1"/>
  <c r="J1799" i="8"/>
  <c r="E1798" i="8" l="1"/>
  <c r="B1800" i="8"/>
  <c r="C1801" i="8"/>
  <c r="D1800" i="8"/>
  <c r="I1801" i="8"/>
  <c r="H1801" i="8" s="1"/>
  <c r="J1800" i="8"/>
  <c r="K1798" i="8"/>
  <c r="C1802" i="8" l="1"/>
  <c r="B1801" i="8"/>
  <c r="D1801" i="8"/>
  <c r="E1800" i="8" s="1"/>
  <c r="E1799" i="8"/>
  <c r="I1802" i="8"/>
  <c r="H1802" i="8" s="1"/>
  <c r="J1801" i="8"/>
  <c r="K1800" i="8" s="1"/>
  <c r="K1799" i="8"/>
  <c r="B1802" i="8" l="1"/>
  <c r="C1803" i="8"/>
  <c r="D1802" i="8"/>
  <c r="I1803" i="8"/>
  <c r="H1803" i="8" s="1"/>
  <c r="J1802" i="8"/>
  <c r="B1803" i="8" l="1"/>
  <c r="C1804" i="8"/>
  <c r="D1803" i="8"/>
  <c r="E1802" i="8" s="1"/>
  <c r="E1801" i="8"/>
  <c r="K1801" i="8"/>
  <c r="I1804" i="8"/>
  <c r="H1804" i="8" s="1"/>
  <c r="J1803" i="8"/>
  <c r="B1804" i="8" l="1"/>
  <c r="D1804" i="8"/>
  <c r="C1805" i="8"/>
  <c r="I1805" i="8"/>
  <c r="H1805" i="8" s="1"/>
  <c r="J1804" i="8"/>
  <c r="K1803" i="8" s="1"/>
  <c r="K1802" i="8"/>
  <c r="E1803" i="8" l="1"/>
  <c r="B1805" i="8"/>
  <c r="C1806" i="8"/>
  <c r="D1805" i="8"/>
  <c r="I1806" i="8"/>
  <c r="H1806" i="8" s="1"/>
  <c r="J1805" i="8"/>
  <c r="E1804" i="8" l="1"/>
  <c r="B1806" i="8"/>
  <c r="C1807" i="8"/>
  <c r="D1806" i="8"/>
  <c r="I1807" i="8"/>
  <c r="H1807" i="8" s="1"/>
  <c r="J1806" i="8"/>
  <c r="K1804" i="8"/>
  <c r="E1805" i="8" l="1"/>
  <c r="K1805" i="8"/>
  <c r="D1807" i="8"/>
  <c r="B1807" i="8"/>
  <c r="C1808" i="8"/>
  <c r="I1808" i="8"/>
  <c r="H1808" i="8" s="1"/>
  <c r="J1807" i="8"/>
  <c r="C1809" i="8" l="1"/>
  <c r="D1808" i="8"/>
  <c r="B1808" i="8"/>
  <c r="E1806" i="8"/>
  <c r="K1806" i="8"/>
  <c r="I1809" i="8"/>
  <c r="H1809" i="8" s="1"/>
  <c r="J1808" i="8"/>
  <c r="E1807" i="8" l="1"/>
  <c r="D1809" i="8"/>
  <c r="C1810" i="8"/>
  <c r="B1809" i="8"/>
  <c r="I1810" i="8"/>
  <c r="H1810" i="8" s="1"/>
  <c r="J1809" i="8"/>
  <c r="K1808" i="8" s="1"/>
  <c r="K1807" i="8"/>
  <c r="E1808" i="8" l="1"/>
  <c r="B1810" i="8"/>
  <c r="C1811" i="8"/>
  <c r="D1810" i="8"/>
  <c r="I1811" i="8"/>
  <c r="H1811" i="8" s="1"/>
  <c r="J1810" i="8"/>
  <c r="E1809" i="8" l="1"/>
  <c r="B1811" i="8"/>
  <c r="D1811" i="8"/>
  <c r="C1812" i="8"/>
  <c r="I1812" i="8"/>
  <c r="H1812" i="8" s="1"/>
  <c r="J1811" i="8"/>
  <c r="K1810" i="8" s="1"/>
  <c r="K1809" i="8"/>
  <c r="E1810" i="8" l="1"/>
  <c r="B1812" i="8"/>
  <c r="C1813" i="8"/>
  <c r="D1812" i="8"/>
  <c r="I1813" i="8"/>
  <c r="H1813" i="8" s="1"/>
  <c r="J1812" i="8"/>
  <c r="B1813" i="8" l="1"/>
  <c r="C1814" i="8"/>
  <c r="D1813" i="8"/>
  <c r="E1811" i="8"/>
  <c r="I1814" i="8"/>
  <c r="H1814" i="8" s="1"/>
  <c r="J1813" i="8"/>
  <c r="K1812" i="8" s="1"/>
  <c r="K1811" i="8"/>
  <c r="B1814" i="8" l="1"/>
  <c r="D1814" i="8"/>
  <c r="C1815" i="8"/>
  <c r="E1812" i="8"/>
  <c r="I1815" i="8"/>
  <c r="H1815" i="8" s="1"/>
  <c r="J1814" i="8"/>
  <c r="E1813" i="8" l="1"/>
  <c r="B1815" i="8"/>
  <c r="C1816" i="8"/>
  <c r="D1815" i="8"/>
  <c r="E1814" i="8" s="1"/>
  <c r="K1813" i="8"/>
  <c r="I1816" i="8"/>
  <c r="H1816" i="8" s="1"/>
  <c r="J1815" i="8"/>
  <c r="B1816" i="8" l="1"/>
  <c r="D1816" i="8"/>
  <c r="C1817" i="8"/>
  <c r="I1817" i="8"/>
  <c r="H1817" i="8" s="1"/>
  <c r="J1816" i="8"/>
  <c r="K1814" i="8"/>
  <c r="C1818" i="8" l="1"/>
  <c r="B1817" i="8"/>
  <c r="D1817" i="8"/>
  <c r="E1815" i="8"/>
  <c r="I1818" i="8"/>
  <c r="H1818" i="8" s="1"/>
  <c r="J1817" i="8"/>
  <c r="K1816" i="8" s="1"/>
  <c r="K1815" i="8"/>
  <c r="E1816" i="8" l="1"/>
  <c r="D1818" i="8"/>
  <c r="C1819" i="8"/>
  <c r="B1818" i="8"/>
  <c r="I1819" i="8"/>
  <c r="H1819" i="8" s="1"/>
  <c r="J1818" i="8"/>
  <c r="B1819" i="8" l="1"/>
  <c r="C1820" i="8"/>
  <c r="D1819" i="8"/>
  <c r="K1817" i="8"/>
  <c r="E1817" i="8"/>
  <c r="I1820" i="8"/>
  <c r="H1820" i="8" s="1"/>
  <c r="J1819" i="8"/>
  <c r="E1818" i="8" l="1"/>
  <c r="B1820" i="8"/>
  <c r="C1821" i="8"/>
  <c r="D1820" i="8"/>
  <c r="I1821" i="8"/>
  <c r="H1821" i="8" s="1"/>
  <c r="J1820" i="8"/>
  <c r="K1818" i="8"/>
  <c r="E1819" i="8" l="1"/>
  <c r="B1821" i="8"/>
  <c r="C1822" i="8"/>
  <c r="D1821" i="8"/>
  <c r="I1822" i="8"/>
  <c r="H1822" i="8" s="1"/>
  <c r="J1821" i="8"/>
  <c r="K1819" i="8"/>
  <c r="K1820" i="8" l="1"/>
  <c r="D1822" i="8"/>
  <c r="C1823" i="8"/>
  <c r="B1822" i="8"/>
  <c r="E1820" i="8"/>
  <c r="I1823" i="8"/>
  <c r="H1823" i="8" s="1"/>
  <c r="J1822" i="8"/>
  <c r="K1821" i="8" s="1"/>
  <c r="D1823" i="8" l="1"/>
  <c r="C1824" i="8"/>
  <c r="B1823" i="8"/>
  <c r="E1821" i="8"/>
  <c r="I1824" i="8"/>
  <c r="H1824" i="8" s="1"/>
  <c r="J1823" i="8"/>
  <c r="E1822" i="8" l="1"/>
  <c r="D1824" i="8"/>
  <c r="C1825" i="8"/>
  <c r="B1824" i="8"/>
  <c r="K1822" i="8"/>
  <c r="I1825" i="8"/>
  <c r="H1825" i="8" s="1"/>
  <c r="J1824" i="8"/>
  <c r="E1823" i="8" l="1"/>
  <c r="K1823" i="8"/>
  <c r="B1825" i="8"/>
  <c r="D1825" i="8"/>
  <c r="C1826" i="8"/>
  <c r="I1826" i="8"/>
  <c r="H1826" i="8" s="1"/>
  <c r="J1825" i="8"/>
  <c r="K1824" i="8" s="1"/>
  <c r="E1824" i="8" l="1"/>
  <c r="B1826" i="8"/>
  <c r="C1827" i="8"/>
  <c r="D1826" i="8"/>
  <c r="I1827" i="8"/>
  <c r="H1827" i="8" s="1"/>
  <c r="J1826" i="8"/>
  <c r="E1825" i="8" l="1"/>
  <c r="B1827" i="8"/>
  <c r="D1827" i="8"/>
  <c r="E1826" i="8" s="1"/>
  <c r="C1828" i="8"/>
  <c r="I1828" i="8"/>
  <c r="H1828" i="8" s="1"/>
  <c r="J1827" i="8"/>
  <c r="K1826" i="8" s="1"/>
  <c r="K1825" i="8"/>
  <c r="B1828" i="8" l="1"/>
  <c r="C1829" i="8"/>
  <c r="D1828" i="8"/>
  <c r="I1829" i="8"/>
  <c r="H1829" i="8" s="1"/>
  <c r="J1828" i="8"/>
  <c r="E1827" i="8" l="1"/>
  <c r="C1830" i="8"/>
  <c r="D1829" i="8"/>
  <c r="B1829" i="8"/>
  <c r="K1827" i="8"/>
  <c r="I1830" i="8"/>
  <c r="H1830" i="8" s="1"/>
  <c r="J1829" i="8"/>
  <c r="K1828" i="8" s="1"/>
  <c r="E1828" i="8" l="1"/>
  <c r="D1830" i="8"/>
  <c r="C1831" i="8"/>
  <c r="B1830" i="8"/>
  <c r="I1831" i="8"/>
  <c r="H1831" i="8" s="1"/>
  <c r="J1830" i="8"/>
  <c r="E1829" i="8" l="1"/>
  <c r="C1832" i="8"/>
  <c r="D1831" i="8"/>
  <c r="B1831" i="8"/>
  <c r="K1829" i="8"/>
  <c r="I1832" i="8"/>
  <c r="H1832" i="8" s="1"/>
  <c r="J1831" i="8"/>
  <c r="E1830" i="8" l="1"/>
  <c r="C1833" i="8"/>
  <c r="D1832" i="8"/>
  <c r="B1832" i="8"/>
  <c r="I1833" i="8"/>
  <c r="H1833" i="8" s="1"/>
  <c r="J1832" i="8"/>
  <c r="K1830" i="8"/>
  <c r="K1831" i="8" l="1"/>
  <c r="E1831" i="8"/>
  <c r="C1834" i="8"/>
  <c r="D1833" i="8"/>
  <c r="B1833" i="8"/>
  <c r="I1834" i="8"/>
  <c r="H1834" i="8" s="1"/>
  <c r="J1833" i="8"/>
  <c r="E1832" i="8" l="1"/>
  <c r="C1835" i="8"/>
  <c r="B1834" i="8"/>
  <c r="D1834" i="8"/>
  <c r="K1832" i="8"/>
  <c r="I1835" i="8"/>
  <c r="H1835" i="8" s="1"/>
  <c r="J1834" i="8"/>
  <c r="C1836" i="8" l="1"/>
  <c r="D1835" i="8"/>
  <c r="B1835" i="8"/>
  <c r="E1833" i="8"/>
  <c r="K1833" i="8"/>
  <c r="I1836" i="8"/>
  <c r="H1836" i="8" s="1"/>
  <c r="J1835" i="8"/>
  <c r="E1834" i="8" l="1"/>
  <c r="K1834" i="8"/>
  <c r="B1836" i="8"/>
  <c r="C1837" i="8"/>
  <c r="D1836" i="8"/>
  <c r="E1835" i="8" s="1"/>
  <c r="I1837" i="8"/>
  <c r="H1837" i="8" s="1"/>
  <c r="J1836" i="8"/>
  <c r="K1835" i="8" s="1"/>
  <c r="B1837" i="8" l="1"/>
  <c r="C1838" i="8"/>
  <c r="D1837" i="8"/>
  <c r="I1838" i="8"/>
  <c r="H1838" i="8" s="1"/>
  <c r="J1837" i="8"/>
  <c r="K1836" i="8" s="1"/>
  <c r="E1836" i="8" l="1"/>
  <c r="C1839" i="8"/>
  <c r="B1838" i="8"/>
  <c r="D1838" i="8"/>
  <c r="E1837" i="8" s="1"/>
  <c r="I1839" i="8"/>
  <c r="H1839" i="8" s="1"/>
  <c r="J1838" i="8"/>
  <c r="D1839" i="8" l="1"/>
  <c r="B1839" i="8"/>
  <c r="C1840" i="8"/>
  <c r="K1837" i="8"/>
  <c r="I1840" i="8"/>
  <c r="H1840" i="8" s="1"/>
  <c r="J1839" i="8"/>
  <c r="D1840" i="8" l="1"/>
  <c r="B1840" i="8"/>
  <c r="C1841" i="8"/>
  <c r="E1838" i="8"/>
  <c r="I1841" i="8"/>
  <c r="H1841" i="8" s="1"/>
  <c r="J1840" i="8"/>
  <c r="K1838" i="8"/>
  <c r="E1839" i="8" l="1"/>
  <c r="D1841" i="8"/>
  <c r="B1841" i="8"/>
  <c r="C1842" i="8"/>
  <c r="I1842" i="8"/>
  <c r="H1842" i="8" s="1"/>
  <c r="J1841" i="8"/>
  <c r="K1839" i="8"/>
  <c r="B1842" i="8" l="1"/>
  <c r="C1843" i="8"/>
  <c r="D1842" i="8"/>
  <c r="E1841" i="8" s="1"/>
  <c r="E1840" i="8"/>
  <c r="I1843" i="8"/>
  <c r="H1843" i="8" s="1"/>
  <c r="J1842" i="8"/>
  <c r="K1840" i="8"/>
  <c r="B1843" i="8" l="1"/>
  <c r="C1844" i="8"/>
  <c r="D1843" i="8"/>
  <c r="I1844" i="8"/>
  <c r="H1844" i="8" s="1"/>
  <c r="J1843" i="8"/>
  <c r="K1841" i="8"/>
  <c r="D1844" i="8" l="1"/>
  <c r="C1845" i="8"/>
  <c r="B1844" i="8"/>
  <c r="E1842" i="8"/>
  <c r="K1842" i="8"/>
  <c r="I1845" i="8"/>
  <c r="H1845" i="8" s="1"/>
  <c r="J1844" i="8"/>
  <c r="E1843" i="8" l="1"/>
  <c r="D1845" i="8"/>
  <c r="C1846" i="8"/>
  <c r="B1845" i="8"/>
  <c r="K1843" i="8"/>
  <c r="I1846" i="8"/>
  <c r="H1846" i="8" s="1"/>
  <c r="J1845" i="8"/>
  <c r="D1846" i="8" l="1"/>
  <c r="C1847" i="8"/>
  <c r="B1846" i="8"/>
  <c r="E1844" i="8"/>
  <c r="I1847" i="8"/>
  <c r="H1847" i="8" s="1"/>
  <c r="J1846" i="8"/>
  <c r="K1844" i="8"/>
  <c r="E1845" i="8" l="1"/>
  <c r="D1847" i="8"/>
  <c r="C1848" i="8"/>
  <c r="B1847" i="8"/>
  <c r="I1848" i="8"/>
  <c r="H1848" i="8" s="1"/>
  <c r="J1847" i="8"/>
  <c r="K1846" i="8" s="1"/>
  <c r="K1845" i="8"/>
  <c r="E1846" i="8" l="1"/>
  <c r="B1848" i="8"/>
  <c r="C1849" i="8"/>
  <c r="D1848" i="8"/>
  <c r="E1847" i="8" s="1"/>
  <c r="I1849" i="8"/>
  <c r="H1849" i="8" s="1"/>
  <c r="J1848" i="8"/>
  <c r="K1847" i="8" s="1"/>
  <c r="B1849" i="8" l="1"/>
  <c r="D1849" i="8"/>
  <c r="C1850" i="8"/>
  <c r="I1850" i="8"/>
  <c r="H1850" i="8" s="1"/>
  <c r="J1849" i="8"/>
  <c r="K1848" i="8" l="1"/>
  <c r="D1850" i="8"/>
  <c r="B1850" i="8"/>
  <c r="C1851" i="8"/>
  <c r="E1848" i="8"/>
  <c r="I1851" i="8"/>
  <c r="H1851" i="8" s="1"/>
  <c r="J1850" i="8"/>
  <c r="E1849" i="8" l="1"/>
  <c r="C1852" i="8"/>
  <c r="D1851" i="8"/>
  <c r="B1851" i="8"/>
  <c r="I1852" i="8"/>
  <c r="H1852" i="8" s="1"/>
  <c r="J1851" i="8"/>
  <c r="K1849" i="8"/>
  <c r="E1850" i="8" l="1"/>
  <c r="K1850" i="8"/>
  <c r="B1852" i="8"/>
  <c r="D1852" i="8"/>
  <c r="C1853" i="8"/>
  <c r="I1853" i="8"/>
  <c r="H1853" i="8" s="1"/>
  <c r="J1852" i="8"/>
  <c r="D1853" i="8" l="1"/>
  <c r="C1854" i="8"/>
  <c r="B1853" i="8"/>
  <c r="E1851" i="8"/>
  <c r="K1851" i="8"/>
  <c r="I1854" i="8"/>
  <c r="H1854" i="8" s="1"/>
  <c r="J1853" i="8"/>
  <c r="E1852" i="8" l="1"/>
  <c r="K1852" i="8"/>
  <c r="B1854" i="8"/>
  <c r="C1855" i="8"/>
  <c r="D1854" i="8"/>
  <c r="I1855" i="8"/>
  <c r="H1855" i="8" s="1"/>
  <c r="J1854" i="8"/>
  <c r="B1855" i="8" l="1"/>
  <c r="C1856" i="8"/>
  <c r="D1855" i="8"/>
  <c r="E1853" i="8"/>
  <c r="K1853" i="8"/>
  <c r="I1856" i="8"/>
  <c r="H1856" i="8" s="1"/>
  <c r="J1855" i="8"/>
  <c r="K1854" i="8" s="1"/>
  <c r="B1856" i="8" l="1"/>
  <c r="C1857" i="8"/>
  <c r="D1856" i="8"/>
  <c r="E1854" i="8"/>
  <c r="I1857" i="8"/>
  <c r="H1857" i="8" s="1"/>
  <c r="J1856" i="8"/>
  <c r="D1857" i="8" l="1"/>
  <c r="C1858" i="8"/>
  <c r="B1857" i="8"/>
  <c r="E1855" i="8"/>
  <c r="K1855" i="8"/>
  <c r="I1858" i="8"/>
  <c r="H1858" i="8" s="1"/>
  <c r="J1857" i="8"/>
  <c r="B1858" i="8" l="1"/>
  <c r="C1859" i="8"/>
  <c r="D1858" i="8"/>
  <c r="E1856" i="8"/>
  <c r="I1859" i="8"/>
  <c r="H1859" i="8" s="1"/>
  <c r="J1858" i="8"/>
  <c r="K1856" i="8"/>
  <c r="E1857" i="8" l="1"/>
  <c r="K1857" i="8"/>
  <c r="D1859" i="8"/>
  <c r="C1860" i="8"/>
  <c r="B1859" i="8"/>
  <c r="I1860" i="8"/>
  <c r="H1860" i="8" s="1"/>
  <c r="J1859" i="8"/>
  <c r="C1861" i="8" l="1"/>
  <c r="B1860" i="8"/>
  <c r="D1860" i="8"/>
  <c r="E1858" i="8"/>
  <c r="K1858" i="8"/>
  <c r="I1861" i="8"/>
  <c r="H1861" i="8" s="1"/>
  <c r="J1860" i="8"/>
  <c r="E1859" i="8" l="1"/>
  <c r="K1859" i="8"/>
  <c r="D1861" i="8"/>
  <c r="B1861" i="8"/>
  <c r="C1862" i="8"/>
  <c r="I1862" i="8"/>
  <c r="H1862" i="8" s="1"/>
  <c r="J1861" i="8"/>
  <c r="K1860" i="8" s="1"/>
  <c r="B1862" i="8" l="1"/>
  <c r="C1863" i="8"/>
  <c r="D1862" i="8"/>
  <c r="E1860" i="8"/>
  <c r="I1863" i="8"/>
  <c r="H1863" i="8" s="1"/>
  <c r="J1862" i="8"/>
  <c r="E1861" i="8" l="1"/>
  <c r="C1864" i="8"/>
  <c r="D1863" i="8"/>
  <c r="B1863" i="8"/>
  <c r="K1861" i="8"/>
  <c r="I1864" i="8"/>
  <c r="H1864" i="8" s="1"/>
  <c r="J1863" i="8"/>
  <c r="E1862" i="8" l="1"/>
  <c r="K1862" i="8"/>
  <c r="B1864" i="8"/>
  <c r="D1864" i="8"/>
  <c r="C1865" i="8"/>
  <c r="I1865" i="8"/>
  <c r="H1865" i="8" s="1"/>
  <c r="J1864" i="8"/>
  <c r="E1863" i="8" l="1"/>
  <c r="C1866" i="8"/>
  <c r="D1865" i="8"/>
  <c r="B1865" i="8"/>
  <c r="K1863" i="8"/>
  <c r="I1866" i="8"/>
  <c r="H1866" i="8" s="1"/>
  <c r="J1865" i="8"/>
  <c r="K1864" i="8" s="1"/>
  <c r="D1866" i="8" l="1"/>
  <c r="B1866" i="8"/>
  <c r="C1867" i="8"/>
  <c r="E1864" i="8"/>
  <c r="I1867" i="8"/>
  <c r="H1867" i="8" s="1"/>
  <c r="J1866" i="8"/>
  <c r="E1865" i="8" l="1"/>
  <c r="C1868" i="8"/>
  <c r="B1867" i="8"/>
  <c r="D1867" i="8"/>
  <c r="K1865" i="8"/>
  <c r="I1868" i="8"/>
  <c r="H1868" i="8" s="1"/>
  <c r="J1867" i="8"/>
  <c r="K1866" i="8" s="1"/>
  <c r="E1866" i="8" l="1"/>
  <c r="C1869" i="8"/>
  <c r="D1868" i="8"/>
  <c r="B1868" i="8"/>
  <c r="I1869" i="8"/>
  <c r="H1869" i="8" s="1"/>
  <c r="J1868" i="8"/>
  <c r="K1867" i="8" s="1"/>
  <c r="B1869" i="8" l="1"/>
  <c r="D1869" i="8"/>
  <c r="C1870" i="8"/>
  <c r="E1867" i="8"/>
  <c r="I1870" i="8"/>
  <c r="H1870" i="8" s="1"/>
  <c r="J1869" i="8"/>
  <c r="D1870" i="8" l="1"/>
  <c r="C1871" i="8"/>
  <c r="B1870" i="8"/>
  <c r="E1868" i="8"/>
  <c r="K1868" i="8"/>
  <c r="I1871" i="8"/>
  <c r="H1871" i="8" s="1"/>
  <c r="J1870" i="8"/>
  <c r="E1869" i="8" l="1"/>
  <c r="D1871" i="8"/>
  <c r="B1871" i="8"/>
  <c r="C1872" i="8"/>
  <c r="I1872" i="8"/>
  <c r="H1872" i="8" s="1"/>
  <c r="J1871" i="8"/>
  <c r="K1869" i="8"/>
  <c r="E1870" i="8" l="1"/>
  <c r="B1872" i="8"/>
  <c r="C1873" i="8"/>
  <c r="D1872" i="8"/>
  <c r="E1871" i="8" s="1"/>
  <c r="K1870" i="8"/>
  <c r="I1873" i="8"/>
  <c r="H1873" i="8" s="1"/>
  <c r="J1872" i="8"/>
  <c r="K1871" i="8" l="1"/>
  <c r="C1874" i="8"/>
  <c r="D1873" i="8"/>
  <c r="B1873" i="8"/>
  <c r="I1874" i="8"/>
  <c r="H1874" i="8" s="1"/>
  <c r="J1873" i="8"/>
  <c r="E1872" i="8" l="1"/>
  <c r="B1874" i="8"/>
  <c r="C1875" i="8"/>
  <c r="D1874" i="8"/>
  <c r="K1872" i="8"/>
  <c r="I1875" i="8"/>
  <c r="H1875" i="8" s="1"/>
  <c r="J1874" i="8"/>
  <c r="D1875" i="8" l="1"/>
  <c r="B1875" i="8"/>
  <c r="C1876" i="8"/>
  <c r="E1873" i="8"/>
  <c r="I1876" i="8"/>
  <c r="H1876" i="8" s="1"/>
  <c r="J1875" i="8"/>
  <c r="K1873" i="8"/>
  <c r="E1874" i="8" l="1"/>
  <c r="B1876" i="8"/>
  <c r="C1877" i="8"/>
  <c r="D1876" i="8"/>
  <c r="K1874" i="8"/>
  <c r="I1877" i="8"/>
  <c r="H1877" i="8" s="1"/>
  <c r="J1876" i="8"/>
  <c r="K1875" i="8" s="1"/>
  <c r="E1875" i="8" l="1"/>
  <c r="D1877" i="8"/>
  <c r="B1877" i="8"/>
  <c r="C1878" i="8"/>
  <c r="I1878" i="8"/>
  <c r="H1878" i="8" s="1"/>
  <c r="J1877" i="8"/>
  <c r="C1879" i="8" l="1"/>
  <c r="B1878" i="8"/>
  <c r="D1878" i="8"/>
  <c r="E1876" i="8"/>
  <c r="I1879" i="8"/>
  <c r="H1879" i="8" s="1"/>
  <c r="J1878" i="8"/>
  <c r="K1877" i="8" s="1"/>
  <c r="K1876" i="8"/>
  <c r="E1877" i="8" l="1"/>
  <c r="D1879" i="8"/>
  <c r="C1880" i="8"/>
  <c r="B1879" i="8"/>
  <c r="I1880" i="8"/>
  <c r="H1880" i="8" s="1"/>
  <c r="J1879" i="8"/>
  <c r="E1878" i="8" l="1"/>
  <c r="B1880" i="8"/>
  <c r="C1881" i="8"/>
  <c r="D1880" i="8"/>
  <c r="E1879" i="8" s="1"/>
  <c r="I1881" i="8"/>
  <c r="H1881" i="8" s="1"/>
  <c r="J1880" i="8"/>
  <c r="K1879" i="8" s="1"/>
  <c r="K1878" i="8"/>
  <c r="D1881" i="8" l="1"/>
  <c r="C1882" i="8"/>
  <c r="B1881" i="8"/>
  <c r="I1882" i="8"/>
  <c r="H1882" i="8" s="1"/>
  <c r="J1881" i="8"/>
  <c r="C1883" i="8" l="1"/>
  <c r="D1882" i="8"/>
  <c r="B1882" i="8"/>
  <c r="E1880" i="8"/>
  <c r="I1883" i="8"/>
  <c r="H1883" i="8" s="1"/>
  <c r="J1882" i="8"/>
  <c r="K1881" i="8" s="1"/>
  <c r="K1880" i="8"/>
  <c r="E1881" i="8" l="1"/>
  <c r="B1883" i="8"/>
  <c r="D1883" i="8"/>
  <c r="E1882" i="8" s="1"/>
  <c r="C1884" i="8"/>
  <c r="I1884" i="8"/>
  <c r="H1884" i="8" s="1"/>
  <c r="J1883" i="8"/>
  <c r="B1884" i="8" l="1"/>
  <c r="C1885" i="8"/>
  <c r="D1884" i="8"/>
  <c r="I1885" i="8"/>
  <c r="H1885" i="8" s="1"/>
  <c r="J1884" i="8"/>
  <c r="K1882" i="8"/>
  <c r="D1885" i="8" l="1"/>
  <c r="B1885" i="8"/>
  <c r="C1886" i="8"/>
  <c r="E1883" i="8"/>
  <c r="I1886" i="8"/>
  <c r="H1886" i="8" s="1"/>
  <c r="J1885" i="8"/>
  <c r="K1883" i="8"/>
  <c r="B1886" i="8" l="1"/>
  <c r="C1887" i="8"/>
  <c r="D1886" i="8"/>
  <c r="E1884" i="8"/>
  <c r="I1887" i="8"/>
  <c r="H1887" i="8" s="1"/>
  <c r="J1886" i="8"/>
  <c r="K1885" i="8" s="1"/>
  <c r="K1884" i="8"/>
  <c r="E1885" i="8" l="1"/>
  <c r="C1888" i="8"/>
  <c r="D1887" i="8"/>
  <c r="B1887" i="8"/>
  <c r="I1888" i="8"/>
  <c r="H1888" i="8" s="1"/>
  <c r="J1887" i="8"/>
  <c r="E1886" i="8" l="1"/>
  <c r="B1888" i="8"/>
  <c r="C1889" i="8"/>
  <c r="D1888" i="8"/>
  <c r="E1887" i="8" s="1"/>
  <c r="I1889" i="8"/>
  <c r="H1889" i="8" s="1"/>
  <c r="J1888" i="8"/>
  <c r="K1887" i="8" s="1"/>
  <c r="K1886" i="8"/>
  <c r="B1889" i="8" l="1"/>
  <c r="C1890" i="8"/>
  <c r="D1889" i="8"/>
  <c r="I1890" i="8"/>
  <c r="H1890" i="8" s="1"/>
  <c r="J1889" i="8"/>
  <c r="B1890" i="8" l="1"/>
  <c r="C1891" i="8"/>
  <c r="D1890" i="8"/>
  <c r="E1888" i="8"/>
  <c r="I1891" i="8"/>
  <c r="H1891" i="8" s="1"/>
  <c r="J1890" i="8"/>
  <c r="K1888" i="8"/>
  <c r="C1892" i="8" l="1"/>
  <c r="B1891" i="8"/>
  <c r="D1891" i="8"/>
  <c r="E1890" i="8" s="1"/>
  <c r="E1889" i="8"/>
  <c r="I1892" i="8"/>
  <c r="H1892" i="8" s="1"/>
  <c r="J1891" i="8"/>
  <c r="K1890" i="8" s="1"/>
  <c r="K1889" i="8"/>
  <c r="B1892" i="8" l="1"/>
  <c r="D1892" i="8"/>
  <c r="C1893" i="8"/>
  <c r="I1893" i="8"/>
  <c r="H1893" i="8" s="1"/>
  <c r="J1892" i="8"/>
  <c r="C1894" i="8" l="1"/>
  <c r="B1893" i="8"/>
  <c r="D1893" i="8"/>
  <c r="E1891" i="8"/>
  <c r="I1894" i="8"/>
  <c r="H1894" i="8" s="1"/>
  <c r="J1893" i="8"/>
  <c r="K1891" i="8"/>
  <c r="B1894" i="8" l="1"/>
  <c r="C1895" i="8"/>
  <c r="D1894" i="8"/>
  <c r="E1892" i="8"/>
  <c r="I1895" i="8"/>
  <c r="H1895" i="8" s="1"/>
  <c r="J1894" i="8"/>
  <c r="K1892" i="8"/>
  <c r="E1893" i="8" l="1"/>
  <c r="C1896" i="8"/>
  <c r="B1895" i="8"/>
  <c r="D1895" i="8"/>
  <c r="I1896" i="8"/>
  <c r="H1896" i="8" s="1"/>
  <c r="J1895" i="8"/>
  <c r="K1894" i="8" s="1"/>
  <c r="K1893" i="8"/>
  <c r="E1894" i="8" l="1"/>
  <c r="B1896" i="8"/>
  <c r="D1896" i="8"/>
  <c r="C1897" i="8"/>
  <c r="I1897" i="8"/>
  <c r="H1897" i="8" s="1"/>
  <c r="J1896" i="8"/>
  <c r="E1895" i="8" l="1"/>
  <c r="B1897" i="8"/>
  <c r="C1898" i="8"/>
  <c r="D1897" i="8"/>
  <c r="K1895" i="8"/>
  <c r="I1898" i="8"/>
  <c r="H1898" i="8" s="1"/>
  <c r="J1897" i="8"/>
  <c r="E1896" i="8" l="1"/>
  <c r="K1896" i="8"/>
  <c r="B1898" i="8"/>
  <c r="C1899" i="8"/>
  <c r="D1898" i="8"/>
  <c r="I1899" i="8"/>
  <c r="H1899" i="8" s="1"/>
  <c r="J1898" i="8"/>
  <c r="D1899" i="8" l="1"/>
  <c r="B1899" i="8"/>
  <c r="C1900" i="8"/>
  <c r="E1897" i="8"/>
  <c r="K1897" i="8"/>
  <c r="I1900" i="8"/>
  <c r="H1900" i="8" s="1"/>
  <c r="J1899" i="8"/>
  <c r="E1898" i="8" l="1"/>
  <c r="D1900" i="8"/>
  <c r="B1900" i="8"/>
  <c r="C1901" i="8"/>
  <c r="K1898" i="8"/>
  <c r="I1901" i="8"/>
  <c r="H1901" i="8" s="1"/>
  <c r="J1900" i="8"/>
  <c r="E1899" i="8" l="1"/>
  <c r="K1899" i="8"/>
  <c r="D1901" i="8"/>
  <c r="C1902" i="8"/>
  <c r="B1901" i="8"/>
  <c r="I1902" i="8"/>
  <c r="H1902" i="8" s="1"/>
  <c r="J1901" i="8"/>
  <c r="K1900" i="8" s="1"/>
  <c r="E1900" i="8" l="1"/>
  <c r="C1903" i="8"/>
  <c r="D1902" i="8"/>
  <c r="B1902" i="8"/>
  <c r="I1903" i="8"/>
  <c r="H1903" i="8" s="1"/>
  <c r="J1902" i="8"/>
  <c r="E1901" i="8" l="1"/>
  <c r="D1903" i="8"/>
  <c r="B1903" i="8"/>
  <c r="C1904" i="8"/>
  <c r="I1904" i="8"/>
  <c r="H1904" i="8" s="1"/>
  <c r="J1903" i="8"/>
  <c r="K1902" i="8" s="1"/>
  <c r="K1901" i="8"/>
  <c r="E1902" i="8" l="1"/>
  <c r="B1904" i="8"/>
  <c r="D1904" i="8"/>
  <c r="C1905" i="8"/>
  <c r="I1905" i="8"/>
  <c r="H1905" i="8" s="1"/>
  <c r="J1904" i="8"/>
  <c r="E1903" i="8" l="1"/>
  <c r="B1905" i="8"/>
  <c r="D1905" i="8"/>
  <c r="C1906" i="8"/>
  <c r="I1906" i="8"/>
  <c r="H1906" i="8" s="1"/>
  <c r="J1905" i="8"/>
  <c r="K1903" i="8"/>
  <c r="B1906" i="8" l="1"/>
  <c r="D1906" i="8"/>
  <c r="C1907" i="8"/>
  <c r="E1904" i="8"/>
  <c r="I1907" i="8"/>
  <c r="H1907" i="8" s="1"/>
  <c r="J1906" i="8"/>
  <c r="K1904" i="8"/>
  <c r="E1905" i="8" l="1"/>
  <c r="B1907" i="8"/>
  <c r="D1907" i="8"/>
  <c r="C1908" i="8"/>
  <c r="I1908" i="8"/>
  <c r="H1908" i="8" s="1"/>
  <c r="J1907" i="8"/>
  <c r="K1906" i="8" s="1"/>
  <c r="K1905" i="8"/>
  <c r="B1908" i="8" l="1"/>
  <c r="D1908" i="8"/>
  <c r="C1909" i="8"/>
  <c r="E1906" i="8"/>
  <c r="I1909" i="8"/>
  <c r="H1909" i="8" s="1"/>
  <c r="J1908" i="8"/>
  <c r="E1907" i="8" l="1"/>
  <c r="B1909" i="8"/>
  <c r="D1909" i="8"/>
  <c r="C1910" i="8"/>
  <c r="I1910" i="8"/>
  <c r="H1910" i="8" s="1"/>
  <c r="J1909" i="8"/>
  <c r="K1907" i="8"/>
  <c r="B1910" i="8" l="1"/>
  <c r="D1910" i="8"/>
  <c r="E1909" i="8" s="1"/>
  <c r="C1911" i="8"/>
  <c r="E1908" i="8"/>
  <c r="K1908" i="8"/>
  <c r="I1911" i="8"/>
  <c r="H1911" i="8" s="1"/>
  <c r="J1910" i="8"/>
  <c r="K1909" i="8" l="1"/>
  <c r="D1911" i="8"/>
  <c r="B1911" i="8"/>
  <c r="C1912" i="8"/>
  <c r="I1912" i="8"/>
  <c r="H1912" i="8" s="1"/>
  <c r="J1911" i="8"/>
  <c r="E1910" i="8" l="1"/>
  <c r="C1913" i="8"/>
  <c r="B1912" i="8"/>
  <c r="D1912" i="8"/>
  <c r="K1910" i="8"/>
  <c r="I1913" i="8"/>
  <c r="H1913" i="8" s="1"/>
  <c r="J1912" i="8"/>
  <c r="E1911" i="8" l="1"/>
  <c r="C1914" i="8"/>
  <c r="D1913" i="8"/>
  <c r="B1913" i="8"/>
  <c r="K1911" i="8"/>
  <c r="I1914" i="8"/>
  <c r="H1914" i="8" s="1"/>
  <c r="J1913" i="8"/>
  <c r="K1912" i="8" s="1"/>
  <c r="D1914" i="8" l="1"/>
  <c r="C1915" i="8"/>
  <c r="B1914" i="8"/>
  <c r="E1912" i="8"/>
  <c r="I1915" i="8"/>
  <c r="H1915" i="8" s="1"/>
  <c r="J1914" i="8"/>
  <c r="D1915" i="8" l="1"/>
  <c r="B1915" i="8"/>
  <c r="C1916" i="8"/>
  <c r="E1913" i="8"/>
  <c r="I1916" i="8"/>
  <c r="H1916" i="8" s="1"/>
  <c r="J1915" i="8"/>
  <c r="K1913" i="8"/>
  <c r="K1914" i="8" l="1"/>
  <c r="E1914" i="8"/>
  <c r="B1916" i="8"/>
  <c r="C1917" i="8"/>
  <c r="D1916" i="8"/>
  <c r="I1917" i="8"/>
  <c r="H1917" i="8" s="1"/>
  <c r="J1916" i="8"/>
  <c r="E1915" i="8" l="1"/>
  <c r="C1918" i="8"/>
  <c r="B1917" i="8"/>
  <c r="D1917" i="8"/>
  <c r="I1918" i="8"/>
  <c r="H1918" i="8" s="1"/>
  <c r="J1917" i="8"/>
  <c r="K1915" i="8"/>
  <c r="E1916" i="8" l="1"/>
  <c r="D1918" i="8"/>
  <c r="C1919" i="8"/>
  <c r="B1918" i="8"/>
  <c r="I1919" i="8"/>
  <c r="H1919" i="8" s="1"/>
  <c r="J1918" i="8"/>
  <c r="K1917" i="8" s="1"/>
  <c r="K1916" i="8"/>
  <c r="E1917" i="8" l="1"/>
  <c r="B1919" i="8"/>
  <c r="C1920" i="8"/>
  <c r="D1919" i="8"/>
  <c r="E1918" i="8" s="1"/>
  <c r="I1920" i="8"/>
  <c r="H1920" i="8" s="1"/>
  <c r="J1919" i="8"/>
  <c r="C1921" i="8" l="1"/>
  <c r="D1920" i="8"/>
  <c r="B1920" i="8"/>
  <c r="I1921" i="8"/>
  <c r="H1921" i="8" s="1"/>
  <c r="J1920" i="8"/>
  <c r="K1918" i="8"/>
  <c r="E1919" i="8" l="1"/>
  <c r="B1921" i="8"/>
  <c r="D1921" i="8"/>
  <c r="C1922" i="8"/>
  <c r="K1919" i="8"/>
  <c r="I1922" i="8"/>
  <c r="H1922" i="8" s="1"/>
  <c r="J1921" i="8"/>
  <c r="E1920" i="8" l="1"/>
  <c r="D1922" i="8"/>
  <c r="B1922" i="8"/>
  <c r="C1923" i="8"/>
  <c r="I1923" i="8"/>
  <c r="H1923" i="8" s="1"/>
  <c r="J1922" i="8"/>
  <c r="K1921" i="8" s="1"/>
  <c r="K1920" i="8"/>
  <c r="E1921" i="8" l="1"/>
  <c r="C1924" i="8"/>
  <c r="D1923" i="8"/>
  <c r="B1923" i="8"/>
  <c r="I1924" i="8"/>
  <c r="H1924" i="8" s="1"/>
  <c r="J1923" i="8"/>
  <c r="E1922" i="8" l="1"/>
  <c r="D1924" i="8"/>
  <c r="B1924" i="8"/>
  <c r="C1925" i="8"/>
  <c r="K1922" i="8"/>
  <c r="I1925" i="8"/>
  <c r="H1925" i="8" s="1"/>
  <c r="J1924" i="8"/>
  <c r="D1925" i="8" l="1"/>
  <c r="B1925" i="8"/>
  <c r="C1926" i="8"/>
  <c r="E1923" i="8"/>
  <c r="I1926" i="8"/>
  <c r="H1926" i="8" s="1"/>
  <c r="J1925" i="8"/>
  <c r="K1923" i="8"/>
  <c r="E1924" i="8" l="1"/>
  <c r="C1927" i="8"/>
  <c r="D1926" i="8"/>
  <c r="B1926" i="8"/>
  <c r="I1927" i="8"/>
  <c r="H1927" i="8" s="1"/>
  <c r="J1926" i="8"/>
  <c r="K1925" i="8" s="1"/>
  <c r="K1924" i="8"/>
  <c r="E1925" i="8" l="1"/>
  <c r="D1927" i="8"/>
  <c r="C1928" i="8"/>
  <c r="B1927" i="8"/>
  <c r="I1928" i="8"/>
  <c r="H1928" i="8" s="1"/>
  <c r="J1927" i="8"/>
  <c r="K1926" i="8" s="1"/>
  <c r="C1929" i="8" l="1"/>
  <c r="D1928" i="8"/>
  <c r="B1928" i="8"/>
  <c r="E1926" i="8"/>
  <c r="I1929" i="8"/>
  <c r="H1929" i="8" s="1"/>
  <c r="J1928" i="8"/>
  <c r="K1927" i="8" s="1"/>
  <c r="E1927" i="8" l="1"/>
  <c r="B1929" i="8"/>
  <c r="D1929" i="8"/>
  <c r="C1930" i="8"/>
  <c r="I1930" i="8"/>
  <c r="H1930" i="8" s="1"/>
  <c r="J1929" i="8"/>
  <c r="C1931" i="8" l="1"/>
  <c r="D1930" i="8"/>
  <c r="B1930" i="8"/>
  <c r="E1928" i="8"/>
  <c r="I1931" i="8"/>
  <c r="H1931" i="8" s="1"/>
  <c r="J1930" i="8"/>
  <c r="K1929" i="8" s="1"/>
  <c r="K1928" i="8"/>
  <c r="E1929" i="8" l="1"/>
  <c r="B1931" i="8"/>
  <c r="C1932" i="8"/>
  <c r="D1931" i="8"/>
  <c r="I1932" i="8"/>
  <c r="H1932" i="8" s="1"/>
  <c r="J1931" i="8"/>
  <c r="B1932" i="8" l="1"/>
  <c r="C1933" i="8"/>
  <c r="D1932" i="8"/>
  <c r="E1930" i="8"/>
  <c r="I1933" i="8"/>
  <c r="H1933" i="8" s="1"/>
  <c r="J1932" i="8"/>
  <c r="K1930" i="8"/>
  <c r="B1933" i="8" l="1"/>
  <c r="C1934" i="8"/>
  <c r="D1933" i="8"/>
  <c r="E1931" i="8"/>
  <c r="K1931" i="8"/>
  <c r="I1934" i="8"/>
  <c r="H1934" i="8" s="1"/>
  <c r="J1933" i="8"/>
  <c r="B1934" i="8" l="1"/>
  <c r="D1934" i="8"/>
  <c r="C1935" i="8"/>
  <c r="E1932" i="8"/>
  <c r="I1935" i="8"/>
  <c r="H1935" i="8" s="1"/>
  <c r="J1934" i="8"/>
  <c r="K1933" i="8" s="1"/>
  <c r="K1932" i="8"/>
  <c r="E1933" i="8" l="1"/>
  <c r="B1935" i="8"/>
  <c r="C1936" i="8"/>
  <c r="D1935" i="8"/>
  <c r="E1934" i="8" s="1"/>
  <c r="I1936" i="8"/>
  <c r="H1936" i="8" s="1"/>
  <c r="J1935" i="8"/>
  <c r="K1934" i="8" l="1"/>
  <c r="C1937" i="8"/>
  <c r="B1936" i="8"/>
  <c r="D1936" i="8"/>
  <c r="I1937" i="8"/>
  <c r="H1937" i="8" s="1"/>
  <c r="J1936" i="8"/>
  <c r="C1938" i="8" l="1"/>
  <c r="B1937" i="8"/>
  <c r="D1937" i="8"/>
  <c r="E1935" i="8"/>
  <c r="I1938" i="8"/>
  <c r="H1938" i="8" s="1"/>
  <c r="J1937" i="8"/>
  <c r="K1936" i="8" s="1"/>
  <c r="K1935" i="8"/>
  <c r="E1936" i="8" l="1"/>
  <c r="D1938" i="8"/>
  <c r="C1939" i="8"/>
  <c r="B1938" i="8"/>
  <c r="I1939" i="8"/>
  <c r="H1939" i="8" s="1"/>
  <c r="J1938" i="8"/>
  <c r="C1940" i="8" l="1"/>
  <c r="D1939" i="8"/>
  <c r="B1939" i="8"/>
  <c r="E1937" i="8"/>
  <c r="I1940" i="8"/>
  <c r="H1940" i="8" s="1"/>
  <c r="J1939" i="8"/>
  <c r="K1937" i="8"/>
  <c r="E1938" i="8" l="1"/>
  <c r="D1940" i="8"/>
  <c r="B1940" i="8"/>
  <c r="C1941" i="8"/>
  <c r="I1941" i="8"/>
  <c r="H1941" i="8" s="1"/>
  <c r="J1940" i="8"/>
  <c r="K1939" i="8" s="1"/>
  <c r="K1938" i="8"/>
  <c r="D1941" i="8" l="1"/>
  <c r="B1941" i="8"/>
  <c r="C1942" i="8"/>
  <c r="E1939" i="8"/>
  <c r="I1942" i="8"/>
  <c r="H1942" i="8" s="1"/>
  <c r="J1941" i="8"/>
  <c r="E1940" i="8" l="1"/>
  <c r="D1942" i="8"/>
  <c r="B1942" i="8"/>
  <c r="C1943" i="8"/>
  <c r="K1940" i="8"/>
  <c r="I1943" i="8"/>
  <c r="H1943" i="8" s="1"/>
  <c r="J1942" i="8"/>
  <c r="K1941" i="8" s="1"/>
  <c r="B1943" i="8" l="1"/>
  <c r="C1944" i="8"/>
  <c r="D1943" i="8"/>
  <c r="E1941" i="8"/>
  <c r="I1944" i="8"/>
  <c r="H1944" i="8" s="1"/>
  <c r="J1943" i="8"/>
  <c r="E1942" i="8" l="1"/>
  <c r="B1944" i="8"/>
  <c r="C1945" i="8"/>
  <c r="D1944" i="8"/>
  <c r="I1945" i="8"/>
  <c r="H1945" i="8" s="1"/>
  <c r="J1944" i="8"/>
  <c r="K1942" i="8"/>
  <c r="C1946" i="8" l="1"/>
  <c r="D1945" i="8"/>
  <c r="B1945" i="8"/>
  <c r="E1943" i="8"/>
  <c r="K1943" i="8"/>
  <c r="I1946" i="8"/>
  <c r="H1946" i="8" s="1"/>
  <c r="J1945" i="8"/>
  <c r="K1944" i="8" s="1"/>
  <c r="E1944" i="8" l="1"/>
  <c r="B1946" i="8"/>
  <c r="C1947" i="8"/>
  <c r="D1946" i="8"/>
  <c r="I1947" i="8"/>
  <c r="H1947" i="8" s="1"/>
  <c r="J1946" i="8"/>
  <c r="B1947" i="8" l="1"/>
  <c r="C1948" i="8"/>
  <c r="D1947" i="8"/>
  <c r="E1945" i="8"/>
  <c r="I1948" i="8"/>
  <c r="H1948" i="8" s="1"/>
  <c r="J1947" i="8"/>
  <c r="K1946" i="8" s="1"/>
  <c r="K1945" i="8"/>
  <c r="C1949" i="8" l="1"/>
  <c r="D1948" i="8"/>
  <c r="B1948" i="8"/>
  <c r="E1946" i="8"/>
  <c r="I1949" i="8"/>
  <c r="H1949" i="8" s="1"/>
  <c r="J1948" i="8"/>
  <c r="K1947" i="8" s="1"/>
  <c r="D1949" i="8" l="1"/>
  <c r="C1950" i="8"/>
  <c r="B1949" i="8"/>
  <c r="E1947" i="8"/>
  <c r="I1950" i="8"/>
  <c r="H1950" i="8" s="1"/>
  <c r="J1949" i="8"/>
  <c r="E1948" i="8" l="1"/>
  <c r="D1950" i="8"/>
  <c r="C1951" i="8"/>
  <c r="B1950" i="8"/>
  <c r="K1948" i="8"/>
  <c r="I1951" i="8"/>
  <c r="H1951" i="8" s="1"/>
  <c r="J1950" i="8"/>
  <c r="D1951" i="8" l="1"/>
  <c r="C1952" i="8"/>
  <c r="B1951" i="8"/>
  <c r="E1949" i="8"/>
  <c r="I1952" i="8"/>
  <c r="H1952" i="8" s="1"/>
  <c r="J1951" i="8"/>
  <c r="K1950" i="8" s="1"/>
  <c r="K1949" i="8"/>
  <c r="E1950" i="8" l="1"/>
  <c r="C1953" i="8"/>
  <c r="B1952" i="8"/>
  <c r="D1952" i="8"/>
  <c r="I1953" i="8"/>
  <c r="H1953" i="8" s="1"/>
  <c r="J1952" i="8"/>
  <c r="E1951" i="8" l="1"/>
  <c r="D1953" i="8"/>
  <c r="B1953" i="8"/>
  <c r="C1954" i="8"/>
  <c r="K1951" i="8"/>
  <c r="I1954" i="8"/>
  <c r="H1954" i="8" s="1"/>
  <c r="J1953" i="8"/>
  <c r="E1952" i="8" l="1"/>
  <c r="B1954" i="8"/>
  <c r="D1954" i="8"/>
  <c r="C1955" i="8"/>
  <c r="K1952" i="8"/>
  <c r="I1955" i="8"/>
  <c r="H1955" i="8" s="1"/>
  <c r="J1954" i="8"/>
  <c r="B1955" i="8" l="1"/>
  <c r="C1956" i="8"/>
  <c r="D1955" i="8"/>
  <c r="E1953" i="8"/>
  <c r="K1953" i="8"/>
  <c r="I1956" i="8"/>
  <c r="H1956" i="8" s="1"/>
  <c r="J1955" i="8"/>
  <c r="E1954" i="8" l="1"/>
  <c r="D1956" i="8"/>
  <c r="B1956" i="8"/>
  <c r="C1957" i="8"/>
  <c r="K1954" i="8"/>
  <c r="I1957" i="8"/>
  <c r="H1957" i="8" s="1"/>
  <c r="J1956" i="8"/>
  <c r="K1955" i="8" s="1"/>
  <c r="E1955" i="8" l="1"/>
  <c r="C1958" i="8"/>
  <c r="B1957" i="8"/>
  <c r="D1957" i="8"/>
  <c r="I1958" i="8"/>
  <c r="H1958" i="8" s="1"/>
  <c r="J1957" i="8"/>
  <c r="E1956" i="8" l="1"/>
  <c r="B1958" i="8"/>
  <c r="D1958" i="8"/>
  <c r="C1959" i="8"/>
  <c r="I1959" i="8"/>
  <c r="H1959" i="8" s="1"/>
  <c r="J1958" i="8"/>
  <c r="K1957" i="8" s="1"/>
  <c r="K1956" i="8"/>
  <c r="C1960" i="8" l="1"/>
  <c r="B1959" i="8"/>
  <c r="D1959" i="8"/>
  <c r="E1957" i="8"/>
  <c r="I1960" i="8"/>
  <c r="H1960" i="8" s="1"/>
  <c r="J1959" i="8"/>
  <c r="K1958" i="8" s="1"/>
  <c r="E1958" i="8" l="1"/>
  <c r="C1961" i="8"/>
  <c r="D1960" i="8"/>
  <c r="B1960" i="8"/>
  <c r="I1961" i="8"/>
  <c r="H1961" i="8" s="1"/>
  <c r="J1960" i="8"/>
  <c r="C1962" i="8" l="1"/>
  <c r="D1961" i="8"/>
  <c r="B1961" i="8"/>
  <c r="K1959" i="8"/>
  <c r="E1959" i="8"/>
  <c r="I1962" i="8"/>
  <c r="H1962" i="8" s="1"/>
  <c r="J1961" i="8"/>
  <c r="E1960" i="8" l="1"/>
  <c r="K1960" i="8"/>
  <c r="D1962" i="8"/>
  <c r="B1962" i="8"/>
  <c r="C1963" i="8"/>
  <c r="I1963" i="8"/>
  <c r="H1963" i="8" s="1"/>
  <c r="J1962" i="8"/>
  <c r="B1963" i="8" l="1"/>
  <c r="C1964" i="8"/>
  <c r="D1963" i="8"/>
  <c r="E1961" i="8"/>
  <c r="K1961" i="8"/>
  <c r="I1964" i="8"/>
  <c r="H1964" i="8" s="1"/>
  <c r="J1963" i="8"/>
  <c r="E1962" i="8" l="1"/>
  <c r="C1965" i="8"/>
  <c r="B1964" i="8"/>
  <c r="D1964" i="8"/>
  <c r="E1963" i="8" s="1"/>
  <c r="I1965" i="8"/>
  <c r="H1965" i="8" s="1"/>
  <c r="J1964" i="8"/>
  <c r="K1962" i="8"/>
  <c r="C1966" i="8" l="1"/>
  <c r="B1965" i="8"/>
  <c r="D1965" i="8"/>
  <c r="K1963" i="8"/>
  <c r="I1966" i="8"/>
  <c r="H1966" i="8" s="1"/>
  <c r="J1965" i="8"/>
  <c r="E1964" i="8" l="1"/>
  <c r="D1966" i="8"/>
  <c r="B1966" i="8"/>
  <c r="C1967" i="8"/>
  <c r="I1967" i="8"/>
  <c r="H1967" i="8" s="1"/>
  <c r="J1966" i="8"/>
  <c r="K1964" i="8"/>
  <c r="D1967" i="8" l="1"/>
  <c r="C1968" i="8"/>
  <c r="B1967" i="8"/>
  <c r="E1965" i="8"/>
  <c r="K1965" i="8"/>
  <c r="I1968" i="8"/>
  <c r="H1968" i="8" s="1"/>
  <c r="J1967" i="8"/>
  <c r="E1966" i="8" l="1"/>
  <c r="B1968" i="8"/>
  <c r="D1968" i="8"/>
  <c r="C1969" i="8"/>
  <c r="I1969" i="8"/>
  <c r="H1969" i="8" s="1"/>
  <c r="J1968" i="8"/>
  <c r="K1966" i="8"/>
  <c r="E1967" i="8" l="1"/>
  <c r="C1970" i="8"/>
  <c r="D1969" i="8"/>
  <c r="B1969" i="8"/>
  <c r="I1970" i="8"/>
  <c r="H1970" i="8" s="1"/>
  <c r="J1969" i="8"/>
  <c r="K1967" i="8"/>
  <c r="E1968" i="8" l="1"/>
  <c r="K1968" i="8"/>
  <c r="C1971" i="8"/>
  <c r="D1970" i="8"/>
  <c r="B1970" i="8"/>
  <c r="I1971" i="8"/>
  <c r="H1971" i="8" s="1"/>
  <c r="J1970" i="8"/>
  <c r="E1969" i="8" l="1"/>
  <c r="D1971" i="8"/>
  <c r="B1971" i="8"/>
  <c r="C1972" i="8"/>
  <c r="I1972" i="8"/>
  <c r="H1972" i="8" s="1"/>
  <c r="J1971" i="8"/>
  <c r="K1969" i="8"/>
  <c r="D1972" i="8" l="1"/>
  <c r="B1972" i="8"/>
  <c r="C1973" i="8"/>
  <c r="E1970" i="8"/>
  <c r="I1973" i="8"/>
  <c r="H1973" i="8" s="1"/>
  <c r="J1972" i="8"/>
  <c r="K1970" i="8"/>
  <c r="D1973" i="8" l="1"/>
  <c r="B1973" i="8"/>
  <c r="C1974" i="8"/>
  <c r="E1971" i="8"/>
  <c r="I1974" i="8"/>
  <c r="H1974" i="8" s="1"/>
  <c r="J1973" i="8"/>
  <c r="K1971" i="8"/>
  <c r="E1972" i="8" l="1"/>
  <c r="D1974" i="8"/>
  <c r="B1974" i="8"/>
  <c r="C1975" i="8"/>
  <c r="I1975" i="8"/>
  <c r="H1975" i="8" s="1"/>
  <c r="J1974" i="8"/>
  <c r="K1972" i="8"/>
  <c r="E1973" i="8" l="1"/>
  <c r="D1975" i="8"/>
  <c r="B1975" i="8"/>
  <c r="C1976" i="8"/>
  <c r="K1973" i="8"/>
  <c r="I1976" i="8"/>
  <c r="H1976" i="8" s="1"/>
  <c r="J1975" i="8"/>
  <c r="C1977" i="8" l="1"/>
  <c r="B1976" i="8"/>
  <c r="D1976" i="8"/>
  <c r="K1974" i="8"/>
  <c r="E1974" i="8"/>
  <c r="I1977" i="8"/>
  <c r="H1977" i="8" s="1"/>
  <c r="J1976" i="8"/>
  <c r="K1975" i="8" s="1"/>
  <c r="E1975" i="8" l="1"/>
  <c r="B1977" i="8"/>
  <c r="D1977" i="8"/>
  <c r="C1978" i="8"/>
  <c r="I1978" i="8"/>
  <c r="H1978" i="8" s="1"/>
  <c r="J1977" i="8"/>
  <c r="E1976" i="8" l="1"/>
  <c r="C1979" i="8"/>
  <c r="B1978" i="8"/>
  <c r="D1978" i="8"/>
  <c r="K1976" i="8"/>
  <c r="I1979" i="8"/>
  <c r="H1979" i="8" s="1"/>
  <c r="J1978" i="8"/>
  <c r="E1977" i="8" l="1"/>
  <c r="D1979" i="8"/>
  <c r="C1980" i="8"/>
  <c r="B1979" i="8"/>
  <c r="K1977" i="8"/>
  <c r="I1980" i="8"/>
  <c r="H1980" i="8" s="1"/>
  <c r="J1979" i="8"/>
  <c r="K1978" i="8" l="1"/>
  <c r="E1978" i="8"/>
  <c r="B1980" i="8"/>
  <c r="D1980" i="8"/>
  <c r="E1979" i="8" s="1"/>
  <c r="C1981" i="8"/>
  <c r="I1981" i="8"/>
  <c r="H1981" i="8" s="1"/>
  <c r="J1980" i="8"/>
  <c r="D1981" i="8" l="1"/>
  <c r="B1981" i="8"/>
  <c r="C1982" i="8"/>
  <c r="I1982" i="8"/>
  <c r="H1982" i="8" s="1"/>
  <c r="J1981" i="8"/>
  <c r="K1980" i="8" s="1"/>
  <c r="K1979" i="8"/>
  <c r="E1980" i="8" l="1"/>
  <c r="C1983" i="8"/>
  <c r="B1982" i="8"/>
  <c r="D1982" i="8"/>
  <c r="I1983" i="8"/>
  <c r="H1983" i="8" s="1"/>
  <c r="J1982" i="8"/>
  <c r="E1981" i="8" l="1"/>
  <c r="B1983" i="8"/>
  <c r="C1984" i="8"/>
  <c r="D1983" i="8"/>
  <c r="K1981" i="8"/>
  <c r="I1984" i="8"/>
  <c r="H1984" i="8" s="1"/>
  <c r="J1983" i="8"/>
  <c r="K1982" i="8" s="1"/>
  <c r="D1984" i="8" l="1"/>
  <c r="C1985" i="8"/>
  <c r="B1984" i="8"/>
  <c r="E1982" i="8"/>
  <c r="I1985" i="8"/>
  <c r="H1985" i="8" s="1"/>
  <c r="J1984" i="8"/>
  <c r="K1983" i="8" s="1"/>
  <c r="E1983" i="8" l="1"/>
  <c r="B1985" i="8"/>
  <c r="D1985" i="8"/>
  <c r="C1986" i="8"/>
  <c r="I1986" i="8"/>
  <c r="H1986" i="8" s="1"/>
  <c r="J1985" i="8"/>
  <c r="D1986" i="8" l="1"/>
  <c r="B1986" i="8"/>
  <c r="C1987" i="8"/>
  <c r="E1984" i="8"/>
  <c r="I1987" i="8"/>
  <c r="H1987" i="8" s="1"/>
  <c r="J1986" i="8"/>
  <c r="K1985" i="8" s="1"/>
  <c r="K1984" i="8"/>
  <c r="E1985" i="8" l="1"/>
  <c r="B1987" i="8"/>
  <c r="C1988" i="8"/>
  <c r="D1987" i="8"/>
  <c r="I1988" i="8"/>
  <c r="H1988" i="8" s="1"/>
  <c r="J1987" i="8"/>
  <c r="B1988" i="8" l="1"/>
  <c r="D1988" i="8"/>
  <c r="C1989" i="8"/>
  <c r="E1986" i="8"/>
  <c r="K1986" i="8"/>
  <c r="I1989" i="8"/>
  <c r="H1989" i="8" s="1"/>
  <c r="J1988" i="8"/>
  <c r="E1987" i="8" l="1"/>
  <c r="B1989" i="8"/>
  <c r="D1989" i="8"/>
  <c r="C1990" i="8"/>
  <c r="I1990" i="8"/>
  <c r="H1990" i="8" s="1"/>
  <c r="J1989" i="8"/>
  <c r="K1987" i="8"/>
  <c r="B1990" i="8" l="1"/>
  <c r="D1990" i="8"/>
  <c r="C1991" i="8"/>
  <c r="E1988" i="8"/>
  <c r="K1988" i="8"/>
  <c r="I1991" i="8"/>
  <c r="H1991" i="8" s="1"/>
  <c r="J1990" i="8"/>
  <c r="E1989" i="8" l="1"/>
  <c r="C1992" i="8"/>
  <c r="D1991" i="8"/>
  <c r="B1991" i="8"/>
  <c r="I1992" i="8"/>
  <c r="H1992" i="8" s="1"/>
  <c r="J1991" i="8"/>
  <c r="K1989" i="8"/>
  <c r="E1990" i="8" l="1"/>
  <c r="B1992" i="8"/>
  <c r="C1993" i="8"/>
  <c r="D1992" i="8"/>
  <c r="K1990" i="8"/>
  <c r="I1993" i="8"/>
  <c r="H1993" i="8" s="1"/>
  <c r="J1992" i="8"/>
  <c r="K1991" i="8" s="1"/>
  <c r="B1993" i="8" l="1"/>
  <c r="C1994" i="8"/>
  <c r="D1993" i="8"/>
  <c r="E1991" i="8"/>
  <c r="I1994" i="8"/>
  <c r="H1994" i="8" s="1"/>
  <c r="J1993" i="8"/>
  <c r="E1992" i="8" l="1"/>
  <c r="B1994" i="8"/>
  <c r="C1995" i="8"/>
  <c r="D1994" i="8"/>
  <c r="I1995" i="8"/>
  <c r="H1995" i="8" s="1"/>
  <c r="J1994" i="8"/>
  <c r="K1992" i="8"/>
  <c r="E1993" i="8" l="1"/>
  <c r="C1996" i="8"/>
  <c r="D1995" i="8"/>
  <c r="B1995" i="8"/>
  <c r="K1993" i="8"/>
  <c r="I1996" i="8"/>
  <c r="H1996" i="8" s="1"/>
  <c r="J1995" i="8"/>
  <c r="C1997" i="8" l="1"/>
  <c r="B1996" i="8"/>
  <c r="D1996" i="8"/>
  <c r="E1994" i="8"/>
  <c r="I1997" i="8"/>
  <c r="H1997" i="8" s="1"/>
  <c r="J1996" i="8"/>
  <c r="K1995" i="8" s="1"/>
  <c r="K1994" i="8"/>
  <c r="D1997" i="8" l="1"/>
  <c r="C1998" i="8"/>
  <c r="B1997" i="8"/>
  <c r="E1995" i="8"/>
  <c r="I1998" i="8"/>
  <c r="H1998" i="8" s="1"/>
  <c r="J1997" i="8"/>
  <c r="E1996" i="8" l="1"/>
  <c r="C1999" i="8"/>
  <c r="D1998" i="8"/>
  <c r="B1998" i="8"/>
  <c r="I1999" i="8"/>
  <c r="H1999" i="8" s="1"/>
  <c r="J1998" i="8"/>
  <c r="K1996" i="8"/>
  <c r="E1997" i="8" l="1"/>
  <c r="D1999" i="8"/>
  <c r="B1999" i="8"/>
  <c r="C2000" i="8"/>
  <c r="I2000" i="8"/>
  <c r="H2000" i="8" s="1"/>
  <c r="J1999" i="8"/>
  <c r="K1997" i="8"/>
  <c r="B2000" i="8" l="1"/>
  <c r="C2001" i="8"/>
  <c r="D2000" i="8"/>
  <c r="E1999" i="8" s="1"/>
  <c r="E1998" i="8"/>
  <c r="I2001" i="8"/>
  <c r="H2001" i="8" s="1"/>
  <c r="J2000" i="8"/>
  <c r="K1998" i="8"/>
  <c r="B2001" i="8" l="1"/>
  <c r="C2002" i="8"/>
  <c r="D2001" i="8"/>
  <c r="I2002" i="8"/>
  <c r="H2002" i="8" s="1"/>
  <c r="J2001" i="8"/>
  <c r="K1999" i="8"/>
  <c r="E2000" i="8" l="1"/>
  <c r="B2002" i="8"/>
  <c r="C2003" i="8"/>
  <c r="D2002" i="8"/>
  <c r="K2000" i="8"/>
  <c r="I2003" i="8"/>
  <c r="H2003" i="8" s="1"/>
  <c r="J2002" i="8"/>
  <c r="E2001" i="8" l="1"/>
  <c r="D2003" i="8"/>
  <c r="B2003" i="8"/>
  <c r="C2004" i="8"/>
  <c r="I2004" i="8"/>
  <c r="H2004" i="8" s="1"/>
  <c r="J2003" i="8"/>
  <c r="K2001" i="8"/>
  <c r="B2004" i="8" l="1"/>
  <c r="C2005" i="8"/>
  <c r="D2004" i="8"/>
  <c r="E2002" i="8"/>
  <c r="I2005" i="8"/>
  <c r="H2005" i="8" s="1"/>
  <c r="J2004" i="8"/>
  <c r="K2002" i="8"/>
  <c r="C2006" i="8" l="1"/>
  <c r="D2005" i="8"/>
  <c r="B2005" i="8"/>
  <c r="E2003" i="8"/>
  <c r="I2006" i="8"/>
  <c r="H2006" i="8" s="1"/>
  <c r="J2005" i="8"/>
  <c r="K2004" i="8" s="1"/>
  <c r="K2003" i="8"/>
  <c r="B2006" i="8" l="1"/>
  <c r="C2007" i="8"/>
  <c r="D2006" i="8"/>
  <c r="E2004" i="8"/>
  <c r="I2007" i="8"/>
  <c r="H2007" i="8" s="1"/>
  <c r="J2006" i="8"/>
  <c r="E2005" i="8" l="1"/>
  <c r="B2007" i="8"/>
  <c r="C2008" i="8"/>
  <c r="D2007" i="8"/>
  <c r="E2006" i="8" s="1"/>
  <c r="I2008" i="8"/>
  <c r="H2008" i="8" s="1"/>
  <c r="J2007" i="8"/>
  <c r="K2005" i="8"/>
  <c r="B2008" i="8" l="1"/>
  <c r="C2009" i="8"/>
  <c r="D2008" i="8"/>
  <c r="K2006" i="8"/>
  <c r="I2009" i="8"/>
  <c r="H2009" i="8" s="1"/>
  <c r="J2008" i="8"/>
  <c r="K2007" i="8" s="1"/>
  <c r="E2007" i="8" l="1"/>
  <c r="C2010" i="8"/>
  <c r="B2009" i="8"/>
  <c r="D2009" i="8"/>
  <c r="I2010" i="8"/>
  <c r="H2010" i="8" s="1"/>
  <c r="J2009" i="8"/>
  <c r="E2008" i="8" l="1"/>
  <c r="B2010" i="8"/>
  <c r="C2011" i="8"/>
  <c r="D2010" i="8"/>
  <c r="I2011" i="8"/>
  <c r="H2011" i="8" s="1"/>
  <c r="J2010" i="8"/>
  <c r="K2008" i="8"/>
  <c r="C2012" i="8" l="1"/>
  <c r="D2011" i="8"/>
  <c r="B2011" i="8"/>
  <c r="E2009" i="8"/>
  <c r="I2012" i="8"/>
  <c r="H2012" i="8" s="1"/>
  <c r="J2011" i="8"/>
  <c r="K2009" i="8"/>
  <c r="E2010" i="8" l="1"/>
  <c r="C2013" i="8"/>
  <c r="D2012" i="8"/>
  <c r="B2012" i="8"/>
  <c r="I2013" i="8"/>
  <c r="H2013" i="8" s="1"/>
  <c r="J2012" i="8"/>
  <c r="K2010" i="8"/>
  <c r="B2013" i="8" l="1"/>
  <c r="C2014" i="8"/>
  <c r="D2013" i="8"/>
  <c r="E2011" i="8"/>
  <c r="I2014" i="8"/>
  <c r="H2014" i="8" s="1"/>
  <c r="J2013" i="8"/>
  <c r="K2011" i="8"/>
  <c r="E2012" i="8" l="1"/>
  <c r="B2014" i="8"/>
  <c r="D2014" i="8"/>
  <c r="C2015" i="8"/>
  <c r="K2012" i="8"/>
  <c r="I2015" i="8"/>
  <c r="H2015" i="8" s="1"/>
  <c r="J2014" i="8"/>
  <c r="B2015" i="8" l="1"/>
  <c r="D2015" i="8"/>
  <c r="C2016" i="8"/>
  <c r="E2013" i="8"/>
  <c r="I2016" i="8"/>
  <c r="H2016" i="8" s="1"/>
  <c r="J2015" i="8"/>
  <c r="K2013" i="8"/>
  <c r="B2016" i="8" l="1"/>
  <c r="C2017" i="8"/>
  <c r="D2016" i="8"/>
  <c r="E2014" i="8"/>
  <c r="I2017" i="8"/>
  <c r="H2017" i="8" s="1"/>
  <c r="J2016" i="8"/>
  <c r="K2014" i="8"/>
  <c r="K2015" i="8" l="1"/>
  <c r="E2015" i="8"/>
  <c r="B2017" i="8"/>
  <c r="D2017" i="8"/>
  <c r="C2018" i="8"/>
  <c r="I2018" i="8"/>
  <c r="H2018" i="8" s="1"/>
  <c r="J2017" i="8"/>
  <c r="K2016" i="8" s="1"/>
  <c r="E2016" i="8" l="1"/>
  <c r="C2019" i="8"/>
  <c r="D2018" i="8"/>
  <c r="B2018" i="8"/>
  <c r="I2019" i="8"/>
  <c r="H2019" i="8" s="1"/>
  <c r="J2018" i="8"/>
  <c r="E2017" i="8" l="1"/>
  <c r="D2019" i="8"/>
  <c r="C2020" i="8"/>
  <c r="B2019" i="8"/>
  <c r="K2017" i="8"/>
  <c r="I2020" i="8"/>
  <c r="H2020" i="8" s="1"/>
  <c r="J2019" i="8"/>
  <c r="C2021" i="8" l="1"/>
  <c r="B2020" i="8"/>
  <c r="D2020" i="8"/>
  <c r="E2018" i="8"/>
  <c r="I2021" i="8"/>
  <c r="H2021" i="8" s="1"/>
  <c r="J2020" i="8"/>
  <c r="K2018" i="8"/>
  <c r="E2019" i="8" l="1"/>
  <c r="K2019" i="8"/>
  <c r="B2021" i="8"/>
  <c r="D2021" i="8"/>
  <c r="C2022" i="8"/>
  <c r="I2022" i="8"/>
  <c r="H2022" i="8" s="1"/>
  <c r="J2021" i="8"/>
  <c r="E2020" i="8" l="1"/>
  <c r="B2022" i="8"/>
  <c r="C2023" i="8"/>
  <c r="D2022" i="8"/>
  <c r="K2020" i="8"/>
  <c r="I2023" i="8"/>
  <c r="H2023" i="8" s="1"/>
  <c r="J2022" i="8"/>
  <c r="E2021" i="8" l="1"/>
  <c r="D2023" i="8"/>
  <c r="B2023" i="8"/>
  <c r="C2024" i="8"/>
  <c r="K2021" i="8"/>
  <c r="I2024" i="8"/>
  <c r="H2024" i="8" s="1"/>
  <c r="J2023" i="8"/>
  <c r="K2022" i="8" s="1"/>
  <c r="E2022" i="8" l="1"/>
  <c r="B2024" i="8"/>
  <c r="C2025" i="8"/>
  <c r="D2024" i="8"/>
  <c r="I2025" i="8"/>
  <c r="H2025" i="8" s="1"/>
  <c r="J2024" i="8"/>
  <c r="K2023" i="8" l="1"/>
  <c r="C2026" i="8"/>
  <c r="D2025" i="8"/>
  <c r="B2025" i="8"/>
  <c r="E2023" i="8"/>
  <c r="I2026" i="8"/>
  <c r="H2026" i="8" s="1"/>
  <c r="J2025" i="8"/>
  <c r="E2024" i="8" l="1"/>
  <c r="C2027" i="8"/>
  <c r="D2026" i="8"/>
  <c r="B2026" i="8"/>
  <c r="I2027" i="8"/>
  <c r="H2027" i="8" s="1"/>
  <c r="J2026" i="8"/>
  <c r="K2024" i="8"/>
  <c r="D2027" i="8" l="1"/>
  <c r="C2028" i="8"/>
  <c r="B2027" i="8"/>
  <c r="E2025" i="8"/>
  <c r="I2028" i="8"/>
  <c r="H2028" i="8" s="1"/>
  <c r="J2027" i="8"/>
  <c r="K2025" i="8"/>
  <c r="E2026" i="8" l="1"/>
  <c r="B2028" i="8"/>
  <c r="C2029" i="8"/>
  <c r="D2028" i="8"/>
  <c r="K2026" i="8"/>
  <c r="I2029" i="8"/>
  <c r="H2029" i="8" s="1"/>
  <c r="J2028" i="8"/>
  <c r="B2029" i="8" l="1"/>
  <c r="C2030" i="8"/>
  <c r="D2029" i="8"/>
  <c r="E2027" i="8"/>
  <c r="I2030" i="8"/>
  <c r="H2030" i="8" s="1"/>
  <c r="J2029" i="8"/>
  <c r="K2028" i="8" s="1"/>
  <c r="K2027" i="8"/>
  <c r="B2030" i="8" l="1"/>
  <c r="C2031" i="8"/>
  <c r="D2030" i="8"/>
  <c r="E2028" i="8"/>
  <c r="I2031" i="8"/>
  <c r="H2031" i="8" s="1"/>
  <c r="J2030" i="8"/>
  <c r="E2029" i="8" l="1"/>
  <c r="C2032" i="8"/>
  <c r="D2031" i="8"/>
  <c r="B2031" i="8"/>
  <c r="I2032" i="8"/>
  <c r="H2032" i="8" s="1"/>
  <c r="J2031" i="8"/>
  <c r="K2030" i="8" s="1"/>
  <c r="K2029" i="8"/>
  <c r="E2030" i="8" l="1"/>
  <c r="C2033" i="8"/>
  <c r="D2032" i="8"/>
  <c r="B2032" i="8"/>
  <c r="I2033" i="8"/>
  <c r="H2033" i="8" s="1"/>
  <c r="J2032" i="8"/>
  <c r="C2034" i="8" l="1"/>
  <c r="D2033" i="8"/>
  <c r="B2033" i="8"/>
  <c r="E2031" i="8"/>
  <c r="I2034" i="8"/>
  <c r="H2034" i="8" s="1"/>
  <c r="J2033" i="8"/>
  <c r="K2031" i="8"/>
  <c r="B2034" i="8" l="1"/>
  <c r="C2035" i="8"/>
  <c r="D2034" i="8"/>
  <c r="E2032" i="8"/>
  <c r="I2035" i="8"/>
  <c r="H2035" i="8" s="1"/>
  <c r="J2034" i="8"/>
  <c r="K2032" i="8"/>
  <c r="E2033" i="8" l="1"/>
  <c r="B2035" i="8"/>
  <c r="D2035" i="8"/>
  <c r="C2036" i="8"/>
  <c r="I2036" i="8"/>
  <c r="H2036" i="8" s="1"/>
  <c r="J2035" i="8"/>
  <c r="K2033" i="8"/>
  <c r="B2036" i="8" l="1"/>
  <c r="C2037" i="8"/>
  <c r="D2036" i="8"/>
  <c r="E2034" i="8"/>
  <c r="I2037" i="8"/>
  <c r="H2037" i="8" s="1"/>
  <c r="J2036" i="8"/>
  <c r="K2035" i="8" s="1"/>
  <c r="K2034" i="8"/>
  <c r="E2035" i="8" l="1"/>
  <c r="B2037" i="8"/>
  <c r="C2038" i="8"/>
  <c r="D2037" i="8"/>
  <c r="I2038" i="8"/>
  <c r="H2038" i="8" s="1"/>
  <c r="J2037" i="8"/>
  <c r="K2036" i="8" s="1"/>
  <c r="E2036" i="8" l="1"/>
  <c r="B2038" i="8"/>
  <c r="C2039" i="8"/>
  <c r="D2038" i="8"/>
  <c r="I2039" i="8"/>
  <c r="H2039" i="8" s="1"/>
  <c r="J2038" i="8"/>
  <c r="D2039" i="8" l="1"/>
  <c r="B2039" i="8"/>
  <c r="C2040" i="8"/>
  <c r="E2037" i="8"/>
  <c r="K2037" i="8"/>
  <c r="I2040" i="8"/>
  <c r="H2040" i="8" s="1"/>
  <c r="J2039" i="8"/>
  <c r="D2040" i="8" l="1"/>
  <c r="B2040" i="8"/>
  <c r="C2041" i="8"/>
  <c r="E2038" i="8"/>
  <c r="I2041" i="8"/>
  <c r="H2041" i="8" s="1"/>
  <c r="J2040" i="8"/>
  <c r="K2038" i="8"/>
  <c r="E2039" i="8" l="1"/>
  <c r="D2041" i="8"/>
  <c r="C2042" i="8"/>
  <c r="B2041" i="8"/>
  <c r="I2042" i="8"/>
  <c r="H2042" i="8" s="1"/>
  <c r="J2041" i="8"/>
  <c r="K2039" i="8"/>
  <c r="E2040" i="8" l="1"/>
  <c r="C2043" i="8"/>
  <c r="D2042" i="8"/>
  <c r="B2042" i="8"/>
  <c r="I2043" i="8"/>
  <c r="H2043" i="8" s="1"/>
  <c r="J2042" i="8"/>
  <c r="K2040" i="8"/>
  <c r="E2041" i="8" l="1"/>
  <c r="D2043" i="8"/>
  <c r="B2043" i="8"/>
  <c r="C2044" i="8"/>
  <c r="K2041" i="8"/>
  <c r="I2044" i="8"/>
  <c r="H2044" i="8" s="1"/>
  <c r="J2043" i="8"/>
  <c r="E2042" i="8" l="1"/>
  <c r="D2044" i="8"/>
  <c r="B2044" i="8"/>
  <c r="C2045" i="8"/>
  <c r="K2042" i="8"/>
  <c r="I2045" i="8"/>
  <c r="H2045" i="8" s="1"/>
  <c r="J2044" i="8"/>
  <c r="E2043" i="8" l="1"/>
  <c r="B2045" i="8"/>
  <c r="D2045" i="8"/>
  <c r="C2046" i="8"/>
  <c r="K2043" i="8"/>
  <c r="I2046" i="8"/>
  <c r="H2046" i="8" s="1"/>
  <c r="J2045" i="8"/>
  <c r="D2046" i="8" l="1"/>
  <c r="B2046" i="8"/>
  <c r="C2047" i="8"/>
  <c r="E2044" i="8"/>
  <c r="K2044" i="8"/>
  <c r="I2047" i="8"/>
  <c r="H2047" i="8" s="1"/>
  <c r="J2046" i="8"/>
  <c r="E2045" i="8" l="1"/>
  <c r="B2047" i="8"/>
  <c r="D2047" i="8"/>
  <c r="E2046" i="8" s="1"/>
  <c r="C2048" i="8"/>
  <c r="K2045" i="8"/>
  <c r="I2048" i="8"/>
  <c r="H2048" i="8" s="1"/>
  <c r="J2047" i="8"/>
  <c r="B2048" i="8" l="1"/>
  <c r="D2048" i="8"/>
  <c r="C2049" i="8"/>
  <c r="I2049" i="8"/>
  <c r="H2049" i="8" s="1"/>
  <c r="J2048" i="8"/>
  <c r="K2047" i="8" s="1"/>
  <c r="K2046" i="8"/>
  <c r="D2049" i="8" l="1"/>
  <c r="E2049" i="8" s="1"/>
  <c r="B2049" i="8"/>
  <c r="E2047" i="8"/>
  <c r="J2049" i="8"/>
  <c r="E2048" i="8" l="1"/>
  <c r="K2048" i="8"/>
  <c r="G38" i="8" s="1"/>
  <c r="C38" i="8"/>
  <c r="C44" i="8" s="1"/>
  <c r="C45" i="8" s="1"/>
  <c r="G44" i="8" l="1"/>
  <c r="G45" i="8" s="1"/>
  <c r="N6" i="9" l="1"/>
  <c r="N6" i="12"/>
  <c r="N12" i="9"/>
  <c r="N12" i="12"/>
  <c r="N5" i="9"/>
  <c r="N5" i="12"/>
  <c r="N13" i="9"/>
  <c r="N13" i="12"/>
  <c r="N4" i="12" l="1"/>
  <c r="N4" i="9"/>
  <c r="O5" i="9"/>
  <c r="O5" i="12"/>
  <c r="O6" i="12"/>
  <c r="O6" i="9"/>
  <c r="O13" i="12" l="1"/>
  <c r="O13" i="9"/>
  <c r="O12" i="12"/>
  <c r="O1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<sst xmlns="http://schemas.openxmlformats.org/spreadsheetml/2006/main" count="1216" uniqueCount="366">
  <si>
    <t>Input</t>
  </si>
  <si>
    <t>Inner diameter</t>
  </si>
  <si>
    <t>Working volume</t>
  </si>
  <si>
    <t>Viscosity</t>
  </si>
  <si>
    <t>Density</t>
  </si>
  <si>
    <t>Mixing Type</t>
  </si>
  <si>
    <t>Height bottom dish</t>
  </si>
  <si>
    <t>Height cylinder WV</t>
  </si>
  <si>
    <t>H/ID Ratio</t>
  </si>
  <si>
    <t>Mixer size</t>
  </si>
  <si>
    <t>Recommeded max speed</t>
  </si>
  <si>
    <t>mm</t>
  </si>
  <si>
    <t>RPM</t>
  </si>
  <si>
    <t>Power/Volume</t>
  </si>
  <si>
    <t>W/L</t>
  </si>
  <si>
    <t>Tip Speed</t>
  </si>
  <si>
    <t>m/s</t>
  </si>
  <si>
    <t>Minimum mixing volume</t>
  </si>
  <si>
    <t>L</t>
  </si>
  <si>
    <t>Volume</t>
  </si>
  <si>
    <t>Ratio</t>
  </si>
  <si>
    <t>Wall thickness</t>
  </si>
  <si>
    <t>Dimensions water volume</t>
  </si>
  <si>
    <t>Mix Volume</t>
  </si>
  <si>
    <t>ZG1</t>
  </si>
  <si>
    <t>ZG2</t>
  </si>
  <si>
    <t>ZG3</t>
  </si>
  <si>
    <t>ZG5</t>
  </si>
  <si>
    <t>ZG6</t>
  </si>
  <si>
    <t>ZG7</t>
  </si>
  <si>
    <t>ZG8</t>
  </si>
  <si>
    <t>ZG9</t>
  </si>
  <si>
    <t>ZG10</t>
  </si>
  <si>
    <t>HP2</t>
  </si>
  <si>
    <t>HP5</t>
  </si>
  <si>
    <t>HP8</t>
  </si>
  <si>
    <t>HS2</t>
  </si>
  <si>
    <t>HS5</t>
  </si>
  <si>
    <t>HS8</t>
  </si>
  <si>
    <t>ZF100</t>
  </si>
  <si>
    <t>ZF160</t>
  </si>
  <si>
    <t>Recommended Mixer</t>
  </si>
  <si>
    <t>Storlek</t>
  </si>
  <si>
    <t>N [rpm]</t>
  </si>
  <si>
    <t>D [Mixer YD mm]</t>
  </si>
  <si>
    <r>
      <t>ρ= densitet [kg/m</t>
    </r>
    <r>
      <rPr>
        <b/>
        <vertAlign val="superscript"/>
        <sz val="11"/>
        <color theme="1"/>
        <rFont val="Calibri"/>
        <family val="2"/>
        <scheme val="minor"/>
      </rPr>
      <t>3  ]</t>
    </r>
  </si>
  <si>
    <t>Volume [l] max</t>
  </si>
  <si>
    <t>P (Teoretisk) [W]</t>
  </si>
  <si>
    <t>τ Vridmoment mag [Nm]</t>
  </si>
  <si>
    <t>τ Vridmoment uträknat [Nm]</t>
  </si>
  <si>
    <t>P/V</t>
  </si>
  <si>
    <t>Tip speed [m/s]</t>
  </si>
  <si>
    <t>Referensvärde</t>
  </si>
  <si>
    <t>Max speed:</t>
  </si>
  <si>
    <t>Tori-Sperical Dished Heads</t>
  </si>
  <si>
    <t>D outside</t>
  </si>
  <si>
    <t>R</t>
  </si>
  <si>
    <t>r</t>
  </si>
  <si>
    <t>V (b)</t>
  </si>
  <si>
    <t>h3 (c)</t>
  </si>
  <si>
    <t>Dish parameter</t>
  </si>
  <si>
    <t>Knuckle Volume</t>
  </si>
  <si>
    <t>2D</t>
  </si>
  <si>
    <t>h3</t>
  </si>
  <si>
    <t>h1</t>
  </si>
  <si>
    <t>h2</t>
  </si>
  <si>
    <t>t</t>
  </si>
  <si>
    <t>Bottom Volume and Total</t>
  </si>
  <si>
    <t>Mixer Angle</t>
  </si>
  <si>
    <t>Mixer Tank Plate To dish min. Distance</t>
  </si>
  <si>
    <t>Tank Plate Midle point to Bottom Distance</t>
  </si>
  <si>
    <t>Angle (Radian)</t>
  </si>
  <si>
    <t>a</t>
  </si>
  <si>
    <t>ha</t>
  </si>
  <si>
    <t>Outer Diameter</t>
  </si>
  <si>
    <t>Bigger Radius</t>
  </si>
  <si>
    <t>Knuckle Radius</t>
  </si>
  <si>
    <t>Thickness</t>
  </si>
  <si>
    <t>C</t>
  </si>
  <si>
    <t>TP welding lenth</t>
  </si>
  <si>
    <t>Tank Plate Diameter</t>
  </si>
  <si>
    <t>Stiring Blade Height</t>
  </si>
  <si>
    <t>Blade With</t>
  </si>
  <si>
    <t>Min Working Volume Height</t>
  </si>
  <si>
    <t>Min Working Volume With</t>
  </si>
  <si>
    <t>ZGP2</t>
  </si>
  <si>
    <t>ZGP5</t>
  </si>
  <si>
    <t>ZGP8</t>
  </si>
  <si>
    <t>Mixer Dimensions</t>
  </si>
  <si>
    <t>Recommended mixer</t>
  </si>
  <si>
    <t>Stirring Blade to Tank Plate Distance</t>
  </si>
  <si>
    <t>Stiring Height</t>
  </si>
  <si>
    <t>Mixing Height</t>
  </si>
  <si>
    <t>d1</t>
  </si>
  <si>
    <t>From Blade Angle (Stirring)</t>
  </si>
  <si>
    <t>z1</t>
  </si>
  <si>
    <t>d2</t>
  </si>
  <si>
    <t>From Blade Angle (Mixing)</t>
  </si>
  <si>
    <t>z2</t>
  </si>
  <si>
    <t>Knucle up to Bottom Height</t>
  </si>
  <si>
    <t>Knucle Bottom to Bottom Height</t>
  </si>
  <si>
    <t>Knucle Bottom to Bottom dish Up Distance</t>
  </si>
  <si>
    <t>MP/FS Top to Tank Plate Distance</t>
  </si>
  <si>
    <t>Bottom radius Volume</t>
  </si>
  <si>
    <t>y0</t>
  </si>
  <si>
    <t>y1</t>
  </si>
  <si>
    <t>V1</t>
  </si>
  <si>
    <t>V2</t>
  </si>
  <si>
    <t>Cylindric height</t>
  </si>
  <si>
    <t>Stiring Volume (mm^3)</t>
  </si>
  <si>
    <t>Stiring Volume (L)</t>
  </si>
  <si>
    <t>Min. Working Volume (mm^3)</t>
  </si>
  <si>
    <t>Min. Working Volume  (L)</t>
  </si>
  <si>
    <t>Stiring Volume</t>
  </si>
  <si>
    <t>Knuckle Volume table</t>
  </si>
  <si>
    <t>Stiring</t>
  </si>
  <si>
    <t>h</t>
  </si>
  <si>
    <t>y</t>
  </si>
  <si>
    <t>x</t>
  </si>
  <si>
    <t>Total</t>
  </si>
  <si>
    <t>Min Volume</t>
  </si>
  <si>
    <t>k=D-r</t>
  </si>
  <si>
    <t>mm^3</t>
  </si>
  <si>
    <t>R-z1</t>
  </si>
  <si>
    <t>R-z2</t>
  </si>
  <si>
    <t>50% Max speed:</t>
  </si>
  <si>
    <t>50% Power/Volume</t>
  </si>
  <si>
    <t>50% Tip Speed:</t>
  </si>
  <si>
    <t>ZGP7</t>
  </si>
  <si>
    <t>Power Number (Np)</t>
  </si>
  <si>
    <t>Tankplate distance from center</t>
  </si>
  <si>
    <t>Height top dish</t>
  </si>
  <si>
    <t>Complete vessel height</t>
  </si>
  <si>
    <t>Vessel</t>
  </si>
  <si>
    <t>Height complete cylinder (MV "tan-tan")</t>
  </si>
  <si>
    <t>ZG</t>
  </si>
  <si>
    <t>ZGP</t>
  </si>
  <si>
    <t>HP</t>
  </si>
  <si>
    <t>HS</t>
  </si>
  <si>
    <t>ZF</t>
  </si>
  <si>
    <t>Performance</t>
  </si>
  <si>
    <t>Dimensions</t>
  </si>
  <si>
    <t>Tank Plate diameter</t>
  </si>
  <si>
    <t>Impeller Diameter</t>
  </si>
  <si>
    <t>Power/Volume at max speed</t>
  </si>
  <si>
    <t>Tip Speed at max speed</t>
  </si>
  <si>
    <t>50% max speed</t>
  </si>
  <si>
    <t>50% max speed -  Power/Volume</t>
  </si>
  <si>
    <t>50% max speed - Tip Speed</t>
  </si>
  <si>
    <t>TBD</t>
  </si>
  <si>
    <t>Floor Clearance</t>
  </si>
  <si>
    <t>Impeller Diameter/Vessel diameter</t>
  </si>
  <si>
    <t>Data points for viscocity graph</t>
  </si>
  <si>
    <t>kg/m3</t>
  </si>
  <si>
    <t>cP</t>
  </si>
  <si>
    <t>Truelev</t>
  </si>
  <si>
    <t>Alternative choice</t>
  </si>
  <si>
    <t>Alternative choices</t>
  </si>
  <si>
    <t>Primary Mixer</t>
  </si>
  <si>
    <t>Secondary Mixer</t>
  </si>
  <si>
    <t>ZG11</t>
  </si>
  <si>
    <t>ZG12</t>
  </si>
  <si>
    <t>Max torque ODH</t>
  </si>
  <si>
    <t>Nm</t>
  </si>
  <si>
    <t>Pumping rate at max rpm</t>
  </si>
  <si>
    <t>Turn-over ratio at max speed</t>
  </si>
  <si>
    <t>Max torque applied at max speed</t>
  </si>
  <si>
    <t>Max torque applied at 50% max speed</t>
  </si>
  <si>
    <t>Pumping rate at 50% max speed</t>
  </si>
  <si>
    <t>Turn-over ratio at 50% max speed</t>
  </si>
  <si>
    <t>Gearbox reduction</t>
  </si>
  <si>
    <t>DU Weight</t>
  </si>
  <si>
    <t>Operating Temp</t>
  </si>
  <si>
    <t>5°C - 150°C (41°F - 302°F)</t>
  </si>
  <si>
    <t>5°C - 135°C (41°F - 275°F)</t>
  </si>
  <si>
    <t>5°C - 60°C (41°F - 140°F)</t>
  </si>
  <si>
    <t>Design Pressure</t>
  </si>
  <si>
    <t>-1 – 7 barg (-14.5 – 101.5 psig)</t>
  </si>
  <si>
    <t>-</t>
  </si>
  <si>
    <t>Drive Unit</t>
  </si>
  <si>
    <t>A</t>
  </si>
  <si>
    <t>B</t>
  </si>
  <si>
    <t>D</t>
  </si>
  <si>
    <t>E</t>
  </si>
  <si>
    <t>O-rings</t>
  </si>
  <si>
    <t>IP66</t>
  </si>
  <si>
    <t>F</t>
  </si>
  <si>
    <t>TP Diameter [mm]</t>
  </si>
  <si>
    <t>Kod för implementering av ZG11 och ZG12</t>
  </si>
  <si>
    <t>Gentle</t>
  </si>
  <si>
    <t>Lista material</t>
  </si>
  <si>
    <t>SS</t>
  </si>
  <si>
    <t>EPDM</t>
  </si>
  <si>
    <t>Viton</t>
  </si>
  <si>
    <t>Kalrez</t>
  </si>
  <si>
    <t>Silicone Platinum cured</t>
  </si>
  <si>
    <t xml:space="preserve">Färgkoda de rekommenderade alternativen med hjälp av processtegen från Input-fältet.
</t>
  </si>
  <si>
    <t>Height rest of cylinder</t>
  </si>
  <si>
    <t>Wall Thickness</t>
  </si>
  <si>
    <t>Vessel outer Weight</t>
  </si>
  <si>
    <t>Volume rest of cyl</t>
  </si>
  <si>
    <t>Tot Vessel inner Weight</t>
  </si>
  <si>
    <t>Volume bottom dish</t>
  </si>
  <si>
    <t>Volume Cylinder</t>
  </si>
  <si>
    <t>Estimated empty vessel weight</t>
  </si>
  <si>
    <t>kg</t>
  </si>
  <si>
    <t>Vessel Weight</t>
  </si>
  <si>
    <t>Height WV cylinder</t>
  </si>
  <si>
    <t>Dimensions up to top of cylinder (Nominal Volume)</t>
  </si>
  <si>
    <t>Torispherical (Kloepper Boden - DIN 28011)</t>
  </si>
  <si>
    <t>Yes</t>
  </si>
  <si>
    <t>RPM sensor</t>
  </si>
  <si>
    <t>IP- Class Drive Unit</t>
  </si>
  <si>
    <t>Sintered Silicon Carbide (SSiC)</t>
  </si>
  <si>
    <t>Material</t>
  </si>
  <si>
    <t>Male Post and Female Sleeve</t>
  </si>
  <si>
    <t>##</t>
  </si>
  <si>
    <t>Design pressure</t>
  </si>
  <si>
    <t>Design temperature</t>
  </si>
  <si>
    <t>Tank plate welding diameter</t>
  </si>
  <si>
    <t>Surface</t>
  </si>
  <si>
    <t>Min speed at 1000 kg/m3, 1cP</t>
  </si>
  <si>
    <t>Max speed at 1000 kg/m3, 1cP</t>
  </si>
  <si>
    <t>Mix Head diameter</t>
  </si>
  <si>
    <t>Mixer</t>
  </si>
  <si>
    <t>Mixer Head and Tank Plate</t>
  </si>
  <si>
    <t>Power/volume</t>
  </si>
  <si>
    <t>## (50% max speed)</t>
  </si>
  <si>
    <t>## (max)</t>
  </si>
  <si>
    <t>Recommended Speed</t>
  </si>
  <si>
    <t>Selected Mixer</t>
  </si>
  <si>
    <t>Mixing intensity</t>
  </si>
  <si>
    <t>Mixing and Media</t>
  </si>
  <si>
    <t>H/ID ratio</t>
  </si>
  <si>
    <t>Minimum working volume</t>
  </si>
  <si>
    <t>Nominal volume</t>
  </si>
  <si>
    <t>Position of Mixer</t>
  </si>
  <si>
    <t>Mobile vessel</t>
  </si>
  <si>
    <t>Vessel jacket</t>
  </si>
  <si>
    <t>Free text</t>
  </si>
  <si>
    <t>Site:</t>
  </si>
  <si>
    <t>Project:</t>
  </si>
  <si>
    <t>Main Mixing Purpose</t>
  </si>
  <si>
    <t>Configuration result</t>
  </si>
  <si>
    <t>Vessel Jacket</t>
  </si>
  <si>
    <t>Mobile Vessel</t>
  </si>
  <si>
    <t>No</t>
  </si>
  <si>
    <t>Free text:</t>
  </si>
  <si>
    <t>Rekommenderad mixer 1:a hand</t>
  </si>
  <si>
    <t>Rekommenderad mixer 2:a hand</t>
  </si>
  <si>
    <t>Type of mixing</t>
  </si>
  <si>
    <t>Vortex</t>
  </si>
  <si>
    <t>Vigorous</t>
  </si>
  <si>
    <t>General</t>
  </si>
  <si>
    <t>Alla</t>
  </si>
  <si>
    <t>Upstream - Media prep / Powder mixing, Sinking powder</t>
  </si>
  <si>
    <t>Upstream - Media prep / Powder mixing, Floating powder</t>
  </si>
  <si>
    <t>Downstream - Product hold, Shear sensitive</t>
  </si>
  <si>
    <t>Downstream - Product hold, Non shear sensitive</t>
  </si>
  <si>
    <t>Downstream - Final bulk, Shear sensitive</t>
  </si>
  <si>
    <t>Downstream - Final bulk, Non shear sensitive</t>
  </si>
  <si>
    <t xml:space="preserve">Downstream - Buffer prep / dissolve salt </t>
  </si>
  <si>
    <t>Downstream - Buffer hold / Keep suspension homogenous</t>
  </si>
  <si>
    <t>Downstream - Tablet coating, cellulose / powder</t>
  </si>
  <si>
    <t>Downstream - Tablet coating, oil based / emulsification</t>
  </si>
  <si>
    <t>Other mixing - Particle size reduction</t>
  </si>
  <si>
    <t>Other mixing -  Strong Acid or bases</t>
  </si>
  <si>
    <t>Other mixing - Other ….Input…</t>
  </si>
  <si>
    <t>Main Mixing purpose</t>
  </si>
  <si>
    <t>Process Code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</si>
  <si>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</si>
  <si>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</si>
  <si>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</si>
  <si>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</si>
  <si>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</si>
  <si>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</si>
  <si>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</si>
  <si>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</si>
  <si>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</si>
  <si>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</si>
  <si>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</si>
  <si>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</si>
  <si>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</si>
  <si>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Letter</t>
  </si>
  <si>
    <t>Material variant</t>
  </si>
  <si>
    <t>G</t>
  </si>
  <si>
    <t>H</t>
  </si>
  <si>
    <t>J</t>
  </si>
  <si>
    <t>K</t>
  </si>
  <si>
    <t>M</t>
  </si>
  <si>
    <t>N</t>
  </si>
  <si>
    <t>EN 1.4404 / 316L</t>
  </si>
  <si>
    <t>EN 1.4435 / 316L</t>
  </si>
  <si>
    <t>EN 1.4539 / ANSI 904L</t>
  </si>
  <si>
    <t>Hastelloy C22</t>
  </si>
  <si>
    <t>Hastelloy C276</t>
  </si>
  <si>
    <t>UNS N08367 / AL-6XN</t>
  </si>
  <si>
    <t>EN 1.4571 / UNS31635 (316Ti)</t>
  </si>
  <si>
    <t>EN 1.4435 / 316L BN2</t>
  </si>
  <si>
    <t>SMO 254</t>
  </si>
  <si>
    <t>EN 1.4404 / 316L SA-240</t>
  </si>
  <si>
    <t>Titanium</t>
  </si>
  <si>
    <t>EN 1.4404 / 316L,
ASME Code case SA2156-1/UG14</t>
  </si>
  <si>
    <t>UNS N08367/AL-6XN,
ASME Code case SA2156-1</t>
  </si>
  <si>
    <t>Hastelloy C22, 
ASME Code case SA2156-1</t>
  </si>
  <si>
    <t>EPDM (FDA USP class VI compliant)</t>
  </si>
  <si>
    <t>Silicone Platinum Cured o-rings in lieu of EPDM</t>
  </si>
  <si>
    <t>Viton o-ring in lieu of EPDM</t>
  </si>
  <si>
    <t>Kalrez o-ring in lieu of EPDM</t>
  </si>
  <si>
    <t>IP Class</t>
  </si>
  <si>
    <t>RPM Sensor</t>
  </si>
  <si>
    <t>YES</t>
  </si>
  <si>
    <t>Turnover 1 time</t>
  </si>
  <si>
    <t>99% blending</t>
  </si>
  <si>
    <t>95% Blending</t>
  </si>
  <si>
    <t>Pumping capacity</t>
  </si>
  <si>
    <t>Reynolds Factor</t>
  </si>
  <si>
    <t>Pumping Number NQ</t>
  </si>
  <si>
    <t>B21</t>
  </si>
  <si>
    <t>E13</t>
  </si>
  <si>
    <t>E12</t>
  </si>
  <si>
    <t>E10</t>
  </si>
  <si>
    <t>E11</t>
  </si>
  <si>
    <t>AG36</t>
  </si>
  <si>
    <t>Pumping Number</t>
  </si>
  <si>
    <t>Speed</t>
  </si>
  <si>
    <t>Wing Diameter</t>
  </si>
  <si>
    <t>Reynolds fa</t>
  </si>
  <si>
    <t>Dimension</t>
  </si>
  <si>
    <t>Zero G (ZG)</t>
  </si>
  <si>
    <t>Zero G Plastic (ZGP)</t>
  </si>
  <si>
    <t>High Power (HP)</t>
  </si>
  <si>
    <t>High Shear (HS)</t>
  </si>
  <si>
    <t>Truelev (ZF)</t>
  </si>
  <si>
    <t>Material (O-rings)</t>
  </si>
  <si>
    <t>Material (SS)</t>
  </si>
  <si>
    <t>Metric</t>
  </si>
  <si>
    <t>ATEX</t>
  </si>
  <si>
    <t>Lowering Device</t>
  </si>
  <si>
    <t>NO</t>
  </si>
  <si>
    <t>IP55</t>
  </si>
  <si>
    <t>Imperial</t>
  </si>
  <si>
    <t>rpm</t>
  </si>
  <si>
    <t>W/gal</t>
  </si>
  <si>
    <t>ft/min</t>
  </si>
  <si>
    <t>Unit</t>
  </si>
  <si>
    <t>L/min</t>
  </si>
  <si>
    <t>gal/min</t>
  </si>
  <si>
    <t>Time (minutes)</t>
  </si>
  <si>
    <t>Primary mixer</t>
  </si>
  <si>
    <t>input speed</t>
  </si>
  <si>
    <t>Mixing Intensity</t>
  </si>
  <si>
    <t>Set working speed</t>
  </si>
  <si>
    <t>Max vol at current cP</t>
  </si>
  <si>
    <t>max 490</t>
  </si>
  <si>
    <t>max 1700</t>
  </si>
  <si>
    <t>max 3500</t>
  </si>
  <si>
    <t>max 350</t>
  </si>
  <si>
    <t>Primary &amp; alternative</t>
  </si>
  <si>
    <t>Set Working speed:</t>
  </si>
  <si>
    <t>Tip Speed:</t>
  </si>
  <si>
    <t>Max speed</t>
  </si>
  <si>
    <t xml:space="preserve">Max - Pumping capacity  </t>
  </si>
  <si>
    <t>set - Pumping capacity</t>
  </si>
  <si>
    <t>Max speed - Indicative blending-time</t>
  </si>
  <si>
    <t>Set working speed - Indicative blending-time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</si>
</sst>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Muli"/>
    </font>
    <font>
      <sz val="1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5DEED"/>
        <bgColor indexed="64"/>
      </patternFill>
    </fill>
    <fill>
      <patternFill patternType="solid">
        <fgColor rgb="FF2B77D0"/>
        <bgColor indexed="64"/>
      </patternFill>
    </fill>
    <fill>
      <patternFill patternType="solid">
        <fgColor rgb="FFE6994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2" fillId="6" borderId="29" applyNumberFormat="0" applyAlignment="0" applyProtection="0"/>
  </cellStyleXfs>
  <cellXfs count="349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9" xfId="0" applyBorder="1"/>
    <xf numFmtId="0" fontId="1" fillId="0" borderId="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1" fillId="0" borderId="6" xfId="0" applyFont="1" applyBorder="1"/>
    <xf numFmtId="165" fontId="2" fillId="0" borderId="12" xfId="0" applyNumberFormat="1" applyFont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1" fontId="0" fillId="3" borderId="15" xfId="0" applyNumberFormat="1" applyFill="1" applyBorder="1"/>
    <xf numFmtId="1" fontId="0" fillId="3" borderId="16" xfId="0" applyNumberFormat="1" applyFill="1" applyBorder="1"/>
    <xf numFmtId="1" fontId="0" fillId="3" borderId="17" xfId="0" applyNumberFormat="1" applyFill="1" applyBorder="1"/>
    <xf numFmtId="1" fontId="0" fillId="3" borderId="18" xfId="0" applyNumberFormat="1" applyFill="1" applyBorder="1"/>
    <xf numFmtId="1" fontId="0" fillId="3" borderId="19" xfId="0" applyNumberFormat="1" applyFill="1" applyBorder="1"/>
    <xf numFmtId="1" fontId="0" fillId="3" borderId="20" xfId="0" applyNumberFormat="1" applyFill="1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1" fontId="0" fillId="0" borderId="17" xfId="0" applyNumberFormat="1" applyBorder="1"/>
    <xf numFmtId="1" fontId="0" fillId="0" borderId="19" xfId="0" applyNumberFormat="1" applyBorder="1"/>
    <xf numFmtId="0" fontId="0" fillId="0" borderId="19" xfId="0" applyBorder="1"/>
    <xf numFmtId="0" fontId="0" fillId="0" borderId="20" xfId="0" applyBorder="1"/>
    <xf numFmtId="0" fontId="0" fillId="0" borderId="16" xfId="0" applyBorder="1"/>
    <xf numFmtId="0" fontId="0" fillId="0" borderId="1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7" fillId="0" borderId="1" xfId="0" applyFont="1" applyBorder="1"/>
    <xf numFmtId="0" fontId="0" fillId="3" borderId="1" xfId="0" applyFill="1" applyBorder="1"/>
    <xf numFmtId="1" fontId="0" fillId="3" borderId="1" xfId="0" applyNumberFormat="1" applyFill="1" applyBorder="1"/>
    <xf numFmtId="166" fontId="0" fillId="0" borderId="1" xfId="0" applyNumberFormat="1" applyBorder="1"/>
    <xf numFmtId="0" fontId="8" fillId="0" borderId="22" xfId="0" applyFont="1" applyBorder="1"/>
    <xf numFmtId="2" fontId="0" fillId="0" borderId="1" xfId="0" applyNumberFormat="1" applyBorder="1"/>
    <xf numFmtId="2" fontId="0" fillId="4" borderId="1" xfId="0" applyNumberFormat="1" applyFill="1" applyBorder="1"/>
    <xf numFmtId="0" fontId="0" fillId="5" borderId="0" xfId="0" applyFill="1"/>
    <xf numFmtId="0" fontId="0" fillId="5" borderId="1" xfId="0" applyFill="1" applyBorder="1"/>
    <xf numFmtId="1" fontId="0" fillId="5" borderId="1" xfId="0" applyNumberFormat="1" applyFill="1" applyBorder="1"/>
    <xf numFmtId="166" fontId="0" fillId="5" borderId="1" xfId="0" applyNumberFormat="1" applyFill="1" applyBorder="1"/>
    <xf numFmtId="0" fontId="8" fillId="5" borderId="22" xfId="0" applyFont="1" applyFill="1" applyBorder="1"/>
    <xf numFmtId="2" fontId="0" fillId="5" borderId="1" xfId="0" applyNumberFormat="1" applyFill="1" applyBorder="1"/>
    <xf numFmtId="166" fontId="0" fillId="4" borderId="1" xfId="0" applyNumberFormat="1" applyFill="1" applyBorder="1"/>
    <xf numFmtId="0" fontId="8" fillId="0" borderId="1" xfId="0" applyFont="1" applyBorder="1"/>
    <xf numFmtId="164" fontId="0" fillId="0" borderId="1" xfId="0" applyNumberFormat="1" applyBorder="1"/>
    <xf numFmtId="0" fontId="8" fillId="5" borderId="1" xfId="0" applyFont="1" applyFill="1" applyBorder="1"/>
    <xf numFmtId="164" fontId="0" fillId="5" borderId="1" xfId="0" applyNumberFormat="1" applyFill="1" applyBorder="1"/>
    <xf numFmtId="164" fontId="9" fillId="0" borderId="1" xfId="0" applyNumberFormat="1" applyFont="1" applyBorder="1"/>
    <xf numFmtId="164" fontId="9" fillId="5" borderId="1" xfId="0" applyNumberFormat="1" applyFont="1" applyFill="1" applyBorder="1"/>
    <xf numFmtId="0" fontId="0" fillId="0" borderId="0" xfId="0" quotePrefix="1"/>
    <xf numFmtId="1" fontId="0" fillId="3" borderId="0" xfId="0" quotePrefix="1" applyNumberFormat="1" applyFill="1"/>
    <xf numFmtId="1" fontId="0" fillId="3" borderId="0" xfId="0" applyNumberFormat="1" applyFill="1"/>
    <xf numFmtId="0" fontId="10" fillId="3" borderId="0" xfId="0" applyFont="1" applyFill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2" fontId="0" fillId="3" borderId="18" xfId="0" quotePrefix="1" applyNumberFormat="1" applyFill="1" applyBorder="1"/>
    <xf numFmtId="0" fontId="0" fillId="3" borderId="19" xfId="0" applyFill="1" applyBorder="1"/>
    <xf numFmtId="2" fontId="0" fillId="3" borderId="20" xfId="0" applyNumberFormat="1" applyFill="1" applyBorder="1"/>
    <xf numFmtId="0" fontId="0" fillId="3" borderId="0" xfId="0" quotePrefix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6" fontId="0" fillId="0" borderId="0" xfId="0" applyNumberFormat="1"/>
    <xf numFmtId="0" fontId="0" fillId="0" borderId="24" xfId="0" applyBorder="1"/>
    <xf numFmtId="166" fontId="0" fillId="0" borderId="24" xfId="0" applyNumberFormat="1" applyBorder="1"/>
    <xf numFmtId="0" fontId="1" fillId="0" borderId="0" xfId="0" applyFont="1" applyAlignment="1">
      <alignment horizontal="center"/>
    </xf>
    <xf numFmtId="166" fontId="0" fillId="0" borderId="25" xfId="0" applyNumberFormat="1" applyBorder="1" applyAlignment="1">
      <alignment horizontal="right"/>
    </xf>
    <xf numFmtId="166" fontId="0" fillId="0" borderId="26" xfId="0" quotePrefix="1" applyNumberFormat="1" applyBorder="1" applyAlignment="1">
      <alignment horizontal="right"/>
    </xf>
    <xf numFmtId="2" fontId="0" fillId="0" borderId="26" xfId="0" quotePrefix="1" applyNumberFormat="1" applyBorder="1"/>
    <xf numFmtId="2" fontId="0" fillId="0" borderId="27" xfId="0" quotePrefix="1" applyNumberFormat="1" applyBorder="1"/>
    <xf numFmtId="0" fontId="0" fillId="0" borderId="17" xfId="0" applyBorder="1" applyAlignment="1">
      <alignment wrapText="1"/>
    </xf>
    <xf numFmtId="0" fontId="0" fillId="0" borderId="25" xfId="0" applyBorder="1"/>
    <xf numFmtId="2" fontId="0" fillId="0" borderId="26" xfId="0" applyNumberFormat="1" applyBorder="1"/>
    <xf numFmtId="0" fontId="0" fillId="0" borderId="27" xfId="0" quotePrefix="1" applyBorder="1"/>
    <xf numFmtId="0" fontId="0" fillId="0" borderId="26" xfId="0" applyBorder="1"/>
    <xf numFmtId="0" fontId="0" fillId="0" borderId="27" xfId="0" applyBorder="1"/>
    <xf numFmtId="0" fontId="1" fillId="0" borderId="17" xfId="0" applyFont="1" applyBorder="1"/>
    <xf numFmtId="0" fontId="1" fillId="0" borderId="19" xfId="0" applyFont="1" applyBorder="1"/>
    <xf numFmtId="0" fontId="1" fillId="0" borderId="24" xfId="0" applyFont="1" applyBorder="1" applyAlignment="1">
      <alignment wrapText="1"/>
    </xf>
    <xf numFmtId="0" fontId="0" fillId="0" borderId="26" xfId="0" quotePrefix="1" applyBorder="1"/>
    <xf numFmtId="2" fontId="0" fillId="0" borderId="27" xfId="0" applyNumberFormat="1" applyBorder="1"/>
    <xf numFmtId="0" fontId="0" fillId="0" borderId="23" xfId="0" applyBorder="1"/>
    <xf numFmtId="0" fontId="0" fillId="0" borderId="24" xfId="0" applyBorder="1" applyAlignment="1">
      <alignment wrapText="1"/>
    </xf>
    <xf numFmtId="2" fontId="0" fillId="0" borderId="0" xfId="0" quotePrefix="1" applyNumberFormat="1"/>
    <xf numFmtId="1" fontId="0" fillId="0" borderId="24" xfId="0" applyNumberFormat="1" applyBorder="1"/>
    <xf numFmtId="2" fontId="0" fillId="0" borderId="24" xfId="0" applyNumberFormat="1" applyBorder="1"/>
    <xf numFmtId="1" fontId="0" fillId="0" borderId="0" xfId="0" applyNumberFormat="1"/>
    <xf numFmtId="2" fontId="0" fillId="0" borderId="0" xfId="0" applyNumberFormat="1"/>
    <xf numFmtId="2" fontId="0" fillId="0" borderId="18" xfId="0" applyNumberFormat="1" applyBorder="1"/>
    <xf numFmtId="0" fontId="0" fillId="3" borderId="18" xfId="0" applyFill="1" applyBorder="1"/>
    <xf numFmtId="166" fontId="0" fillId="3" borderId="18" xfId="0" applyNumberFormat="1" applyFill="1" applyBorder="1"/>
    <xf numFmtId="2" fontId="0" fillId="3" borderId="0" xfId="0" applyNumberFormat="1" applyFill="1"/>
    <xf numFmtId="0" fontId="0" fillId="5" borderId="28" xfId="0" applyFill="1" applyBorder="1"/>
    <xf numFmtId="1" fontId="0" fillId="5" borderId="28" xfId="0" applyNumberFormat="1" applyFill="1" applyBorder="1"/>
    <xf numFmtId="164" fontId="0" fillId="5" borderId="28" xfId="0" applyNumberFormat="1" applyFill="1" applyBorder="1"/>
    <xf numFmtId="0" fontId="8" fillId="5" borderId="28" xfId="0" applyFont="1" applyFill="1" applyBorder="1"/>
    <xf numFmtId="166" fontId="0" fillId="5" borderId="28" xfId="0" applyNumberFormat="1" applyFill="1" applyBorder="1"/>
    <xf numFmtId="1" fontId="0" fillId="0" borderId="8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3" borderId="0" xfId="0" quotePrefix="1" applyNumberFormat="1" applyFill="1"/>
    <xf numFmtId="166" fontId="0" fillId="3" borderId="0" xfId="0" applyNumberFormat="1" applyFill="1"/>
    <xf numFmtId="164" fontId="0" fillId="3" borderId="0" xfId="0" applyNumberFormat="1" applyFill="1"/>
    <xf numFmtId="0" fontId="8" fillId="3" borderId="0" xfId="0" applyFont="1" applyFill="1"/>
    <xf numFmtId="164" fontId="9" fillId="3" borderId="0" xfId="0" applyNumberFormat="1" applyFont="1" applyFill="1"/>
    <xf numFmtId="0" fontId="0" fillId="3" borderId="21" xfId="0" applyFill="1" applyBorder="1"/>
    <xf numFmtId="0" fontId="0" fillId="5" borderId="1" xfId="0" applyFill="1" applyBorder="1" applyProtection="1">
      <protection locked="0"/>
    </xf>
    <xf numFmtId="1" fontId="0" fillId="0" borderId="1" xfId="0" applyNumberFormat="1" applyBorder="1"/>
    <xf numFmtId="1" fontId="11" fillId="5" borderId="29" xfId="1" applyNumberFormat="1" applyFont="1" applyFill="1" applyProtection="1">
      <protection locked="0"/>
    </xf>
    <xf numFmtId="0" fontId="0" fillId="3" borderId="20" xfId="0" applyFill="1" applyBorder="1"/>
    <xf numFmtId="164" fontId="2" fillId="0" borderId="12" xfId="0" applyNumberFormat="1" applyFont="1" applyBorder="1"/>
    <xf numFmtId="0" fontId="1" fillId="0" borderId="4" xfId="0" applyFont="1" applyBorder="1" applyAlignment="1">
      <alignment wrapText="1"/>
    </xf>
    <xf numFmtId="164" fontId="2" fillId="0" borderId="0" xfId="0" applyNumberFormat="1" applyFont="1"/>
    <xf numFmtId="0" fontId="0" fillId="0" borderId="18" xfId="0" applyBorder="1" applyAlignment="1">
      <alignment wrapText="1"/>
    </xf>
    <xf numFmtId="0" fontId="0" fillId="5" borderId="24" xfId="0" applyFill="1" applyBorder="1"/>
    <xf numFmtId="165" fontId="0" fillId="0" borderId="1" xfId="0" applyNumberFormat="1" applyBorder="1"/>
    <xf numFmtId="0" fontId="0" fillId="7" borderId="1" xfId="0" applyFill="1" applyBorder="1" applyAlignment="1">
      <alignment wrapText="1"/>
    </xf>
    <xf numFmtId="0" fontId="0" fillId="7" borderId="1" xfId="0" applyFill="1" applyBorder="1"/>
    <xf numFmtId="2" fontId="0" fillId="0" borderId="0" xfId="0" applyNumberFormat="1" applyAlignment="1">
      <alignment horizontal="right"/>
    </xf>
    <xf numFmtId="0" fontId="0" fillId="5" borderId="28" xfId="0" applyFill="1" applyBorder="1" applyProtection="1">
      <protection locked="0"/>
    </xf>
    <xf numFmtId="1" fontId="11" fillId="5" borderId="30" xfId="1" applyNumberFormat="1" applyFont="1" applyFill="1" applyBorder="1" applyProtection="1">
      <protection locked="0"/>
    </xf>
    <xf numFmtId="1" fontId="11" fillId="3" borderId="0" xfId="1" applyNumberFormat="1" applyFont="1" applyFill="1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1" fillId="0" borderId="42" xfId="0" applyFont="1" applyBorder="1" applyAlignment="1">
      <alignment wrapText="1"/>
    </xf>
    <xf numFmtId="0" fontId="1" fillId="0" borderId="43" xfId="0" applyFont="1" applyBorder="1" applyAlignment="1">
      <alignment wrapText="1"/>
    </xf>
    <xf numFmtId="0" fontId="0" fillId="0" borderId="44" xfId="0" applyBorder="1"/>
    <xf numFmtId="0" fontId="0" fillId="0" borderId="45" xfId="0" applyBorder="1"/>
    <xf numFmtId="0" fontId="0" fillId="0" borderId="47" xfId="0" applyBorder="1"/>
    <xf numFmtId="0" fontId="0" fillId="0" borderId="22" xfId="0" applyBorder="1" applyAlignment="1">
      <alignment wrapText="1"/>
    </xf>
    <xf numFmtId="0" fontId="0" fillId="0" borderId="22" xfId="0" applyBorder="1"/>
    <xf numFmtId="0" fontId="1" fillId="0" borderId="22" xfId="0" applyFont="1" applyBorder="1"/>
    <xf numFmtId="2" fontId="0" fillId="0" borderId="8" xfId="0" applyNumberFormat="1" applyBorder="1"/>
    <xf numFmtId="1" fontId="0" fillId="0" borderId="8" xfId="0" applyNumberFormat="1" applyBorder="1"/>
    <xf numFmtId="0" fontId="1" fillId="0" borderId="8" xfId="0" applyFont="1" applyBorder="1"/>
    <xf numFmtId="0" fontId="0" fillId="0" borderId="42" xfId="0" applyBorder="1"/>
    <xf numFmtId="2" fontId="0" fillId="0" borderId="42" xfId="0" applyNumberFormat="1" applyBorder="1"/>
    <xf numFmtId="0" fontId="1" fillId="0" borderId="9" xfId="0" applyFont="1" applyBorder="1"/>
    <xf numFmtId="0" fontId="0" fillId="7" borderId="28" xfId="0" applyFill="1" applyBorder="1"/>
    <xf numFmtId="166" fontId="0" fillId="0" borderId="42" xfId="0" applyNumberFormat="1" applyBorder="1"/>
    <xf numFmtId="0" fontId="1" fillId="0" borderId="49" xfId="0" applyFont="1" applyBorder="1"/>
    <xf numFmtId="0" fontId="1" fillId="0" borderId="48" xfId="0" applyFont="1" applyBorder="1"/>
    <xf numFmtId="0" fontId="0" fillId="0" borderId="49" xfId="0" applyBorder="1"/>
    <xf numFmtId="0" fontId="1" fillId="0" borderId="7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7" borderId="9" xfId="0" applyFont="1" applyFill="1" applyBorder="1" applyAlignment="1">
      <alignment wrapText="1"/>
    </xf>
    <xf numFmtId="0" fontId="0" fillId="7" borderId="46" xfId="0" applyFill="1" applyBorder="1" applyAlignment="1">
      <alignment wrapText="1"/>
    </xf>
    <xf numFmtId="2" fontId="0" fillId="0" borderId="1" xfId="0" applyNumberFormat="1" applyBorder="1" applyAlignment="1">
      <alignment wrapText="1"/>
    </xf>
    <xf numFmtId="0" fontId="0" fillId="7" borderId="28" xfId="0" applyFill="1" applyBorder="1" applyAlignment="1">
      <alignment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1" fillId="3" borderId="1" xfId="0" applyFont="1" applyFill="1" applyBorder="1" applyAlignment="1">
      <alignment wrapText="1"/>
    </xf>
    <xf numFmtId="166" fontId="0" fillId="3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0" fontId="8" fillId="3" borderId="1" xfId="0" applyFont="1" applyFill="1" applyBorder="1"/>
    <xf numFmtId="0" fontId="0" fillId="7" borderId="8" xfId="0" applyFill="1" applyBorder="1"/>
    <xf numFmtId="0" fontId="0" fillId="7" borderId="2" xfId="0" applyFill="1" applyBorder="1"/>
    <xf numFmtId="0" fontId="0" fillId="0" borderId="8" xfId="0" applyBorder="1" applyAlignment="1">
      <alignment wrapText="1"/>
    </xf>
    <xf numFmtId="0" fontId="0" fillId="0" borderId="21" xfId="0" applyBorder="1"/>
    <xf numFmtId="0" fontId="0" fillId="7" borderId="9" xfId="0" applyFill="1" applyBorder="1"/>
    <xf numFmtId="0" fontId="0" fillId="7" borderId="42" xfId="0" applyFill="1" applyBorder="1"/>
    <xf numFmtId="0" fontId="0" fillId="7" borderId="50" xfId="0" applyFill="1" applyBorder="1"/>
    <xf numFmtId="0" fontId="0" fillId="0" borderId="42" xfId="0" applyBorder="1" applyAlignment="1">
      <alignment wrapText="1"/>
    </xf>
    <xf numFmtId="0" fontId="0" fillId="0" borderId="51" xfId="0" applyBorder="1"/>
    <xf numFmtId="0" fontId="0" fillId="0" borderId="52" xfId="0" applyBorder="1"/>
    <xf numFmtId="0" fontId="0" fillId="7" borderId="26" xfId="0" applyFill="1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7" borderId="3" xfId="0" applyFill="1" applyBorder="1"/>
    <xf numFmtId="0" fontId="0" fillId="0" borderId="8" xfId="0" quotePrefix="1" applyBorder="1" applyAlignment="1">
      <alignment wrapText="1"/>
    </xf>
    <xf numFmtId="0" fontId="0" fillId="0" borderId="42" xfId="0" quotePrefix="1" applyBorder="1" applyAlignment="1">
      <alignment wrapText="1"/>
    </xf>
    <xf numFmtId="0" fontId="0" fillId="7" borderId="52" xfId="0" applyFill="1" applyBorder="1"/>
    <xf numFmtId="0" fontId="0" fillId="7" borderId="53" xfId="0" applyFill="1" applyBorder="1"/>
    <xf numFmtId="0" fontId="0" fillId="7" borderId="9" xfId="0" applyFill="1" applyBorder="1" applyAlignment="1">
      <alignment wrapText="1"/>
    </xf>
    <xf numFmtId="0" fontId="5" fillId="2" borderId="0" xfId="0" applyFont="1" applyFill="1" applyAlignment="1">
      <alignment vertical="center"/>
    </xf>
    <xf numFmtId="1" fontId="2" fillId="0" borderId="0" xfId="0" applyNumberFormat="1" applyFont="1"/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0" borderId="0" xfId="0" applyNumberFormat="1" applyFont="1"/>
    <xf numFmtId="0" fontId="2" fillId="0" borderId="0" xfId="0" applyFont="1" applyAlignment="1">
      <alignment vertical="center"/>
    </xf>
    <xf numFmtId="0" fontId="13" fillId="0" borderId="52" xfId="0" applyFont="1" applyBorder="1" applyAlignment="1">
      <alignment horizontal="left" wrapText="1" readingOrder="1"/>
    </xf>
    <xf numFmtId="0" fontId="0" fillId="0" borderId="52" xfId="0" applyBorder="1" applyAlignment="1">
      <alignment wrapText="1"/>
    </xf>
    <xf numFmtId="0" fontId="0" fillId="0" borderId="47" xfId="0" applyBorder="1" applyAlignment="1">
      <alignment wrapText="1"/>
    </xf>
    <xf numFmtId="0" fontId="1" fillId="0" borderId="52" xfId="0" applyFont="1" applyBorder="1" applyAlignment="1">
      <alignment wrapText="1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20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right"/>
    </xf>
    <xf numFmtId="0" fontId="0" fillId="3" borderId="8" xfId="0" applyFill="1" applyBorder="1"/>
    <xf numFmtId="0" fontId="1" fillId="3" borderId="28" xfId="0" applyFont="1" applyFill="1" applyBorder="1" applyAlignment="1">
      <alignment wrapText="1"/>
    </xf>
    <xf numFmtId="164" fontId="0" fillId="3" borderId="16" xfId="0" quotePrefix="1" applyNumberFormat="1" applyFill="1" applyBorder="1"/>
    <xf numFmtId="0" fontId="0" fillId="0" borderId="54" xfId="0" applyBorder="1"/>
    <xf numFmtId="0" fontId="14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center" textRotation="90"/>
    </xf>
    <xf numFmtId="0" fontId="0" fillId="0" borderId="0" xfId="0" quotePrefix="1" applyAlignment="1">
      <alignment wrapText="1"/>
    </xf>
    <xf numFmtId="0" fontId="0" fillId="3" borderId="56" xfId="0" applyFill="1" applyBorder="1"/>
    <xf numFmtId="2" fontId="0" fillId="3" borderId="5" xfId="0" quotePrefix="1" applyNumberFormat="1" applyFill="1" applyBorder="1"/>
    <xf numFmtId="2" fontId="0" fillId="3" borderId="36" xfId="0" applyNumberFormat="1" applyFill="1" applyBorder="1"/>
    <xf numFmtId="166" fontId="0" fillId="3" borderId="5" xfId="0" applyNumberFormat="1" applyFill="1" applyBorder="1"/>
    <xf numFmtId="0" fontId="0" fillId="3" borderId="55" xfId="0" applyFill="1" applyBorder="1"/>
    <xf numFmtId="0" fontId="0" fillId="3" borderId="5" xfId="0" applyFill="1" applyBorder="1"/>
    <xf numFmtId="0" fontId="0" fillId="3" borderId="57" xfId="0" applyFill="1" applyBorder="1"/>
    <xf numFmtId="0" fontId="0" fillId="3" borderId="58" xfId="0" applyFill="1" applyBorder="1"/>
    <xf numFmtId="0" fontId="0" fillId="3" borderId="59" xfId="0" applyFill="1" applyBorder="1"/>
    <xf numFmtId="0" fontId="0" fillId="3" borderId="60" xfId="0" applyFill="1" applyBorder="1"/>
    <xf numFmtId="0" fontId="0" fillId="3" borderId="24" xfId="0" applyFill="1" applyBorder="1"/>
    <xf numFmtId="0" fontId="0" fillId="3" borderId="64" xfId="0" applyFill="1" applyBorder="1"/>
    <xf numFmtId="0" fontId="0" fillId="3" borderId="61" xfId="0" applyFill="1" applyBorder="1"/>
    <xf numFmtId="0" fontId="0" fillId="3" borderId="63" xfId="0" applyFill="1" applyBorder="1"/>
    <xf numFmtId="165" fontId="0" fillId="3" borderId="5" xfId="0" applyNumberFormat="1" applyFill="1" applyBorder="1"/>
    <xf numFmtId="1" fontId="0" fillId="3" borderId="5" xfId="0" applyNumberFormat="1" applyFill="1" applyBorder="1"/>
    <xf numFmtId="1" fontId="0" fillId="3" borderId="36" xfId="0" applyNumberFormat="1" applyFill="1" applyBorder="1"/>
    <xf numFmtId="166" fontId="0" fillId="3" borderId="58" xfId="0" applyNumberFormat="1" applyFill="1" applyBorder="1"/>
    <xf numFmtId="2" fontId="0" fillId="3" borderId="59" xfId="0" applyNumberFormat="1" applyFill="1" applyBorder="1"/>
    <xf numFmtId="1" fontId="0" fillId="3" borderId="59" xfId="0" applyNumberFormat="1" applyFill="1" applyBorder="1"/>
    <xf numFmtId="2" fontId="0" fillId="3" borderId="58" xfId="0" applyNumberFormat="1" applyFill="1" applyBorder="1"/>
    <xf numFmtId="1" fontId="0" fillId="3" borderId="58" xfId="0" applyNumberFormat="1" applyFill="1" applyBorder="1"/>
    <xf numFmtId="0" fontId="13" fillId="0" borderId="65" xfId="0" applyFont="1" applyBorder="1" applyAlignment="1">
      <alignment horizontal="left" wrapText="1" readingOrder="1"/>
    </xf>
    <xf numFmtId="0" fontId="13" fillId="0" borderId="27" xfId="0" applyFont="1" applyBorder="1" applyAlignment="1">
      <alignment horizontal="left" wrapText="1" readingOrder="1"/>
    </xf>
    <xf numFmtId="164" fontId="0" fillId="3" borderId="56" xfId="0" quotePrefix="1" applyNumberFormat="1" applyFill="1" applyBorder="1"/>
    <xf numFmtId="0" fontId="0" fillId="11" borderId="0" xfId="0" applyFill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2" xfId="0" applyBorder="1" applyAlignment="1">
      <alignment horizontal="left" wrapText="1"/>
    </xf>
    <xf numFmtId="0" fontId="0" fillId="0" borderId="47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8" borderId="33" xfId="0" applyFont="1" applyFill="1" applyBorder="1" applyAlignment="1">
      <alignment horizontal="left"/>
    </xf>
    <xf numFmtId="0" fontId="1" fillId="8" borderId="10" xfId="0" applyFont="1" applyFill="1" applyBorder="1" applyAlignment="1">
      <alignment horizontal="left"/>
    </xf>
    <xf numFmtId="0" fontId="1" fillId="8" borderId="34" xfId="0" applyFont="1" applyFill="1" applyBorder="1" applyAlignment="1">
      <alignment horizontal="left"/>
    </xf>
    <xf numFmtId="0" fontId="0" fillId="0" borderId="42" xfId="0" quotePrefix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1" fillId="8" borderId="37" xfId="0" applyFont="1" applyFill="1" applyBorder="1" applyAlignment="1">
      <alignment horizontal="left" wrapText="1"/>
    </xf>
    <xf numFmtId="0" fontId="1" fillId="8" borderId="12" xfId="0" applyFont="1" applyFill="1" applyBorder="1" applyAlignment="1">
      <alignment horizontal="left" wrapText="1"/>
    </xf>
    <xf numFmtId="0" fontId="1" fillId="8" borderId="38" xfId="0" applyFont="1" applyFill="1" applyBorder="1" applyAlignment="1">
      <alignment horizontal="left" wrapText="1"/>
    </xf>
    <xf numFmtId="0" fontId="0" fillId="0" borderId="41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66" xfId="0" applyBorder="1" applyAlignment="1">
      <alignment horizontal="left" wrapText="1"/>
    </xf>
    <xf numFmtId="0" fontId="0" fillId="0" borderId="50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59" xfId="0" applyBorder="1" applyAlignment="1">
      <alignment horizontal="left" wrapText="1"/>
    </xf>
    <xf numFmtId="0" fontId="0" fillId="0" borderId="61" xfId="0" applyBorder="1" applyAlignment="1">
      <alignment horizontal="left" wrapText="1"/>
    </xf>
    <xf numFmtId="0" fontId="0" fillId="0" borderId="35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wrapText="1"/>
    </xf>
    <xf numFmtId="0" fontId="4" fillId="0" borderId="13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0" fillId="0" borderId="25" xfId="0" applyBorder="1" applyAlignment="1">
      <alignment horizontal="center" vertical="center" textRotation="90"/>
    </xf>
    <xf numFmtId="0" fontId="0" fillId="0" borderId="26" xfId="0" applyBorder="1" applyAlignment="1">
      <alignment horizontal="center" vertical="center" textRotation="90"/>
    </xf>
    <xf numFmtId="0" fontId="0" fillId="0" borderId="27" xfId="0" applyBorder="1" applyAlignment="1">
      <alignment horizontal="center" vertical="center" textRotation="90"/>
    </xf>
    <xf numFmtId="0" fontId="4" fillId="0" borderId="31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11" borderId="1" xfId="0" applyFill="1" applyBorder="1"/>
    <xf numFmtId="1" fontId="0" fillId="11" borderId="1" xfId="0" applyNumberFormat="1" applyFill="1" applyBorder="1"/>
    <xf numFmtId="166" fontId="0" fillId="11" borderId="1" xfId="0" applyNumberFormat="1" applyFill="1" applyBorder="1"/>
    <xf numFmtId="0" fontId="8" fillId="11" borderId="1" xfId="0" applyFont="1" applyFill="1" applyBorder="1"/>
    <xf numFmtId="2" fontId="0" fillId="11" borderId="1" xfId="0" applyNumberFormat="1" applyFill="1" applyBorder="1"/>
    <xf numFmtId="0" fontId="0" fillId="11" borderId="8" xfId="0" applyFill="1" applyBorder="1"/>
    <xf numFmtId="164" fontId="0" fillId="11" borderId="1" xfId="0" applyNumberFormat="1" applyFill="1" applyBorder="1"/>
    <xf numFmtId="164" fontId="9" fillId="11" borderId="1" xfId="0" applyNumberFormat="1" applyFont="1" applyFill="1" applyBorder="1"/>
    <xf numFmtId="0" fontId="0" fillId="3" borderId="18" xfId="0" applyFill="1" applyBorder="1" applyAlignment="1">
      <alignment horizontal="center" textRotation="90" wrapText="1"/>
    </xf>
    <xf numFmtId="0" fontId="0" fillId="12" borderId="56" xfId="0" applyFill="1" applyBorder="1"/>
    <xf numFmtId="166" fontId="0" fillId="12" borderId="5" xfId="0" applyNumberFormat="1" applyFill="1" applyBorder="1"/>
    <xf numFmtId="1" fontId="0" fillId="12" borderId="5" xfId="0" applyNumberFormat="1" applyFill="1" applyBorder="1"/>
    <xf numFmtId="165" fontId="0" fillId="12" borderId="5" xfId="0" applyNumberFormat="1" applyFill="1" applyBorder="1"/>
    <xf numFmtId="0" fontId="0" fillId="3" borderId="0" xfId="0" applyFill="1" applyBorder="1"/>
    <xf numFmtId="166" fontId="0" fillId="3" borderId="0" xfId="0" applyNumberFormat="1" applyFill="1" applyBorder="1"/>
    <xf numFmtId="2" fontId="0" fillId="3" borderId="0" xfId="0" applyNumberFormat="1" applyFill="1" applyBorder="1"/>
    <xf numFmtId="1" fontId="0" fillId="3" borderId="0" xfId="0" applyNumberFormat="1" applyFill="1" applyBorder="1"/>
    <xf numFmtId="0" fontId="0" fillId="3" borderId="67" xfId="0" applyFill="1" applyBorder="1"/>
    <xf numFmtId="0" fontId="0" fillId="3" borderId="59" xfId="0" applyFill="1" applyBorder="1" applyAlignment="1">
      <alignment wrapText="1"/>
    </xf>
    <xf numFmtId="2" fontId="0" fillId="12" borderId="5" xfId="0" applyNumberFormat="1" applyFill="1" applyBorder="1"/>
    <xf numFmtId="0" fontId="0" fillId="12" borderId="36" xfId="0" applyFill="1" applyBorder="1"/>
    <xf numFmtId="166" fontId="0" fillId="12" borderId="5" xfId="0" quotePrefix="1" applyNumberFormat="1" applyFill="1" applyBorder="1"/>
    <xf numFmtId="0" fontId="0" fillId="3" borderId="0" xfId="0" applyFill="1" applyBorder="1" applyAlignment="1">
      <alignment horizontal="center"/>
    </xf>
    <xf numFmtId="0" fontId="0" fillId="12" borderId="59" xfId="0" applyFill="1" applyBorder="1"/>
    <xf numFmtId="0" fontId="0" fillId="12" borderId="62" xfId="0" applyFill="1" applyBorder="1" applyAlignment="1">
      <alignment horizontal="right"/>
    </xf>
    <xf numFmtId="0" fontId="0" fillId="13" borderId="0" xfId="0" applyFill="1"/>
    <xf numFmtId="0" fontId="0" fillId="13" borderId="0" xfId="0" applyFill="1" applyBorder="1"/>
    <xf numFmtId="0" fontId="0" fillId="3" borderId="20" xfId="0" applyFill="1" applyBorder="1" applyAlignment="1">
      <alignment wrapText="1"/>
    </xf>
    <xf numFmtId="0" fontId="0" fillId="12" borderId="18" xfId="0" applyFill="1" applyBorder="1"/>
    <xf numFmtId="2" fontId="0" fillId="12" borderId="58" xfId="0" quotePrefix="1" applyNumberFormat="1" applyFill="1" applyBorder="1"/>
    <xf numFmtId="2" fontId="0" fillId="12" borderId="0" xfId="0" quotePrefix="1" applyNumberFormat="1" applyFill="1" applyBorder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0" xfId="0" quotePrefix="1" applyFill="1" applyBorder="1"/>
    <xf numFmtId="1" fontId="0" fillId="0" borderId="0" xfId="0" applyNumberFormat="1" applyFill="1" applyBorder="1"/>
    <xf numFmtId="2" fontId="0" fillId="0" borderId="0" xfId="0" quotePrefix="1" applyNumberFormat="1" applyFill="1" applyBorder="1"/>
    <xf numFmtId="2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0" fillId="3" borderId="0" xfId="0" quotePrefix="1" applyFill="1" applyAlignment="1">
      <alignment wrapText="1"/>
    </xf>
  </cellXfs>
  <cellStyles count="2">
    <cellStyle name="Indata" xfId="1" builtinId="20"/>
    <cellStyle name="Normal" xfId="0" builtinId="0"/>
  </cellStyles>
  <dxfs count="6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theme="0"/>
      </font>
      <fill>
        <patternFill>
          <bgColor rgb="FF2B77D0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font>
        <color auto="1"/>
      </font>
      <fill>
        <patternFill>
          <bgColor rgb="FFE69946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colors>
    <mruColors>
      <color rgb="FFE69946"/>
      <color rgb="FF2B77D0"/>
      <color rgb="FFD5D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ZG!$X$62</c:f>
              <c:strCache>
                <c:ptCount val="1"/>
                <c:pt idx="0">
                  <c:v>Max speed</c:v>
                </c:pt>
              </c:strCache>
            </c:strRef>
          </c:tx>
          <c:spPr>
            <a:ln w="28575" cap="rnd">
              <a:solidFill>
                <a:srgbClr val="E69946"/>
              </a:solidFill>
              <a:round/>
            </a:ln>
            <a:effectLst/>
          </c:spPr>
          <c:marker>
            <c:symbol val="none"/>
          </c:marker>
          <c:xVal>
            <c:numRef>
              <c:f>ZG!$X$63:$X$73</c:f>
              <c:numCache>
                <c:formatCode>0.00</c:formatCode>
                <c:ptCount val="11"/>
                <c:pt idx="0">
                  <c:v>0</c:v>
                </c:pt>
                <c:pt idx="1">
                  <c:v>1.325354698051066</c:v>
                </c:pt>
                <c:pt idx="2">
                  <c:v>2.650709396102132</c:v>
                </c:pt>
                <c:pt idx="3">
                  <c:v>3.9760640941531982</c:v>
                </c:pt>
                <c:pt idx="4">
                  <c:v>5.3014187922042639</c:v>
                </c:pt>
                <c:pt idx="5">
                  <c:v>6.6267734902553297</c:v>
                </c:pt>
                <c:pt idx="6">
                  <c:v>7.9521281883063963</c:v>
                </c:pt>
                <c:pt idx="7">
                  <c:v>9.2774828863574612</c:v>
                </c:pt>
                <c:pt idx="8">
                  <c:v>10.602837584408528</c:v>
                </c:pt>
                <c:pt idx="9">
                  <c:v>11.928192282459595</c:v>
                </c:pt>
                <c:pt idx="10">
                  <c:v>13.253546980510659</c:v>
                </c:pt>
              </c:numCache>
            </c:numRef>
          </c:xVal>
          <c:yVal>
            <c:numRef>
              <c:f>ZG!$W$63:$W$73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315-4BAA-B2EA-01C03ED2B08E}"/>
            </c:ext>
          </c:extLst>
        </c:ser>
        <c:ser>
          <c:idx val="1"/>
          <c:order val="1"/>
          <c:tx>
            <c:strRef>
              <c:f>ZG!$Y$62</c:f>
              <c:strCache>
                <c:ptCount val="1"/>
                <c:pt idx="0">
                  <c:v>Set working speed</c:v>
                </c:pt>
              </c:strCache>
            </c:strRef>
          </c:tx>
          <c:spPr>
            <a:ln w="28575" cap="rnd">
              <a:solidFill>
                <a:srgbClr val="2B77D0"/>
              </a:solidFill>
              <a:round/>
            </a:ln>
            <a:effectLst/>
          </c:spPr>
          <c:marker>
            <c:symbol val="none"/>
          </c:marker>
          <c:xVal>
            <c:numRef>
              <c:f>ZG!$Y$63:$Y$73</c:f>
              <c:numCache>
                <c:formatCode>0.00</c:formatCode>
                <c:ptCount val="11"/>
                <c:pt idx="0">
                  <c:v>0</c:v>
                </c:pt>
                <c:pt idx="1">
                  <c:v>2.2211116663890276</c:v>
                </c:pt>
                <c:pt idx="2">
                  <c:v>4.4422233327780551</c:v>
                </c:pt>
                <c:pt idx="3">
                  <c:v>6.6633349991670823</c:v>
                </c:pt>
                <c:pt idx="4">
                  <c:v>8.8844466655561103</c:v>
                </c:pt>
                <c:pt idx="5">
                  <c:v>11.105558331945138</c:v>
                </c:pt>
                <c:pt idx="6">
                  <c:v>13.326669998334165</c:v>
                </c:pt>
                <c:pt idx="7">
                  <c:v>15.547781664723193</c:v>
                </c:pt>
                <c:pt idx="8">
                  <c:v>17.768893331112221</c:v>
                </c:pt>
                <c:pt idx="9">
                  <c:v>19.990004997501249</c:v>
                </c:pt>
                <c:pt idx="10">
                  <c:v>22.211116663890277</c:v>
                </c:pt>
              </c:numCache>
            </c:numRef>
          </c:xVal>
          <c:yVal>
            <c:numRef>
              <c:f>ZG!$W$63:$W$73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F3-4120-AE3B-E0BD8C722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487504"/>
        <c:axId val="799626224"/>
      </c:scatterChart>
      <c:valAx>
        <c:axId val="2097487504"/>
        <c:scaling>
          <c:orientation val="minMax"/>
          <c:max val="24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99626224"/>
        <c:crosses val="autoZero"/>
        <c:crossBetween val="midCat"/>
        <c:majorUnit val="4"/>
      </c:valAx>
      <c:valAx>
        <c:axId val="7996262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Tank Turnovers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97487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419100</xdr:colOff>
      <xdr:row>49</xdr:row>
      <xdr:rowOff>214312</xdr:rowOff>
    </xdr:from>
    <xdr:to>
      <xdr:col>34</xdr:col>
      <xdr:colOff>590550</xdr:colOff>
      <xdr:row>64</xdr:row>
      <xdr:rowOff>166687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C24369F-1836-1A89-0DC8-1E39164D8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0</xdr:row>
      <xdr:rowOff>133350</xdr:rowOff>
    </xdr:from>
    <xdr:to>
      <xdr:col>3</xdr:col>
      <xdr:colOff>6412275</xdr:colOff>
      <xdr:row>20</xdr:row>
      <xdr:rowOff>238125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168A3A3A-91E5-13CE-B0C7-6D5955B50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133350"/>
          <a:ext cx="6336075" cy="56483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F2062-7612-4976-90A3-ABBFAB288729}" name="Tabell15" displayName="Tabell15" ref="A1:F14" totalsRowShown="0" headerRowDxfId="66">
  <autoFilter ref="A1:F14" xr:uid="{7395098D-495A-41B3-9849-D9F205106A5A}"/>
  <tableColumns count="6">
    <tableColumn id="6" xr3:uid="{489E3052-5B45-41B4-AB09-0C67493C2916}" name="Process Code" dataDxfId="65"/>
    <tableColumn id="1" xr3:uid="{9EF84E1A-CE86-49D7-98DE-6EE5E9A9D0FC}" name="Main Mixing purpose" dataDxfId="64"/>
    <tableColumn id="2" xr3:uid="{A1253C65-3F32-49D4-BBAB-23DA70E29DF4}" name="Rekommenderad mixer 1:a hand"/>
    <tableColumn id="3" xr3:uid="{54799859-032E-4A48-AF9F-7E28A5BE68EB}" name="Rekommenderad mixer 2:a hand"/>
    <tableColumn id="4" xr3:uid="{99D8A4FF-38E9-48E2-9A20-D83F85E96AD1}" name="Type of mixing"/>
    <tableColumn id="5" xr3:uid="{FA309B1C-BCC8-48EE-9037-D3BF6DB418DB}" name="Vortex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A2D082C-BC4E-423C-880B-A28B1DDEB9C1}" name="Tabell269" displayName="Tabell269" ref="A1:B15" totalsRowShown="0">
  <autoFilter ref="A1:B15" xr:uid="{5C5F82A3-B193-4236-9755-7437394F0635}"/>
  <tableColumns count="2">
    <tableColumn id="1" xr3:uid="{5120345B-BF69-47DD-B4F9-BD0E766BC747}" name="Letter"/>
    <tableColumn id="2" xr3:uid="{FA0B64DB-AD8B-4B7F-8EF6-33E467969296}" name="Material variant" dataDxfId="6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4E1A74C-8B49-4834-B6A8-6CD8D77A1916}" name="Tabell371013" displayName="Tabell371013" ref="A1:A5" totalsRowShown="0" dataDxfId="62">
  <autoFilter ref="A1:A5" xr:uid="{CB1EDA48-69B9-403D-A645-3051FDDDC4AC}"/>
  <tableColumns count="1">
    <tableColumn id="1" xr3:uid="{000B208C-5652-4FBE-B808-A25AC178E1E4}" name="O-rings" dataDxfId="61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E200B-B95E-4D9E-8619-85D8041F8BE5}" name="Tabell3710132" displayName="Tabell3710132" ref="A1:A3" totalsRowShown="0" dataDxfId="60">
  <autoFilter ref="A1:A3" xr:uid="{CB1EDA48-69B9-403D-A645-3051FDDDC4AC}"/>
  <tableColumns count="1">
    <tableColumn id="1" xr3:uid="{2BC780CA-1595-46DA-B773-836E8AFCF258}" name="O-rings" dataDxfId="5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1:P65"/>
  <sheetViews>
    <sheetView zoomScale="115" zoomScaleNormal="115" workbookViewId="0">
      <selection activeCell="G23" sqref="G23"/>
    </sheetView>
  </sheetViews>
  <sheetFormatPr defaultRowHeight="15" x14ac:dyDescent="0.25"/>
  <cols>
    <col min="2" max="2" width="9.28515625" customWidth="1"/>
    <col min="3" max="3" width="30.85546875" bestFit="1" customWidth="1"/>
    <col min="4" max="4" width="18.7109375" bestFit="1" customWidth="1"/>
    <col min="5" max="5" width="11.5703125" bestFit="1" customWidth="1"/>
    <col min="6" max="6" width="18.28515625" bestFit="1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3:16" x14ac:dyDescent="0.25">
      <c r="F1" s="249"/>
      <c r="G1" s="249"/>
      <c r="H1" s="249"/>
    </row>
    <row r="2" spans="3:16" x14ac:dyDescent="0.25">
      <c r="C2" s="250" t="s">
        <v>0</v>
      </c>
      <c r="D2" s="251"/>
      <c r="E2" s="252"/>
      <c r="F2" s="70"/>
      <c r="G2" s="99"/>
    </row>
    <row r="3" spans="3:16" x14ac:dyDescent="0.25">
      <c r="C3" s="212" t="s">
        <v>242</v>
      </c>
      <c r="D3" s="254" t="s">
        <v>273</v>
      </c>
      <c r="E3" s="254"/>
      <c r="F3" s="70"/>
      <c r="G3" s="70"/>
    </row>
    <row r="4" spans="3:16" x14ac:dyDescent="0.25">
      <c r="C4" s="212" t="s">
        <v>241</v>
      </c>
      <c r="D4" s="255"/>
      <c r="E4" s="255"/>
      <c r="F4" s="70"/>
    </row>
    <row r="5" spans="3:16" x14ac:dyDescent="0.25">
      <c r="C5" s="212" t="s">
        <v>240</v>
      </c>
      <c r="D5" s="255"/>
      <c r="E5" s="255"/>
      <c r="F5" s="70"/>
    </row>
    <row r="6" spans="3:16" x14ac:dyDescent="0.25">
      <c r="C6" s="212" t="s">
        <v>247</v>
      </c>
      <c r="D6" s="255"/>
      <c r="E6" s="255"/>
      <c r="F6" s="70"/>
    </row>
    <row r="7" spans="3:16" x14ac:dyDescent="0.25">
      <c r="C7" s="212" t="s">
        <v>244</v>
      </c>
      <c r="D7" s="255" t="s">
        <v>210</v>
      </c>
      <c r="E7" s="255"/>
      <c r="F7" s="70"/>
    </row>
    <row r="8" spans="3:16" x14ac:dyDescent="0.25">
      <c r="C8" s="212" t="s">
        <v>245</v>
      </c>
      <c r="D8" s="255" t="s">
        <v>246</v>
      </c>
      <c r="E8" s="255"/>
      <c r="F8" s="70"/>
    </row>
    <row r="9" spans="3:16" x14ac:dyDescent="0.25">
      <c r="C9" s="3" t="s">
        <v>1</v>
      </c>
      <c r="D9" s="3">
        <v>1003</v>
      </c>
      <c r="E9" s="3" t="s">
        <v>11</v>
      </c>
      <c r="F9" s="70"/>
    </row>
    <row r="10" spans="3:16" x14ac:dyDescent="0.25">
      <c r="C10" s="3" t="s">
        <v>198</v>
      </c>
      <c r="D10" s="3">
        <v>5</v>
      </c>
      <c r="E10" s="3" t="s">
        <v>11</v>
      </c>
      <c r="F10" s="70"/>
    </row>
    <row r="11" spans="3:16" x14ac:dyDescent="0.25">
      <c r="C11" s="3" t="s">
        <v>235</v>
      </c>
      <c r="D11" s="3">
        <v>2000</v>
      </c>
      <c r="E11" s="3" t="s">
        <v>18</v>
      </c>
      <c r="F11" s="70"/>
    </row>
    <row r="12" spans="3:16" x14ac:dyDescent="0.25">
      <c r="C12" s="3" t="s">
        <v>2</v>
      </c>
      <c r="D12" s="3">
        <v>10000</v>
      </c>
      <c r="E12" s="3" t="s">
        <v>18</v>
      </c>
      <c r="F12" s="70"/>
    </row>
    <row r="13" spans="3:16" x14ac:dyDescent="0.25">
      <c r="C13" s="3" t="s">
        <v>231</v>
      </c>
      <c r="D13" s="3" t="str">
        <f>VLOOKUP($D$3,Tabell15[],5,FALSE)</f>
        <v>General</v>
      </c>
      <c r="E13" s="3"/>
      <c r="F13" s="70"/>
    </row>
    <row r="14" spans="3:16" x14ac:dyDescent="0.25">
      <c r="C14" s="3" t="s">
        <v>4</v>
      </c>
      <c r="D14" s="3">
        <v>1001</v>
      </c>
      <c r="E14" s="3" t="s">
        <v>153</v>
      </c>
      <c r="F14" s="70"/>
    </row>
    <row r="15" spans="3:16" x14ac:dyDescent="0.25">
      <c r="C15" s="3" t="s">
        <v>3</v>
      </c>
      <c r="D15" s="3">
        <v>1</v>
      </c>
      <c r="E15" s="3" t="s">
        <v>154</v>
      </c>
      <c r="F15" s="70"/>
    </row>
    <row r="16" spans="3:16" x14ac:dyDescent="0.25">
      <c r="C16" s="254" t="s">
        <v>225</v>
      </c>
      <c r="D16" s="254"/>
      <c r="E16" s="254"/>
      <c r="F16" s="70"/>
      <c r="O16" s="3" t="s">
        <v>190</v>
      </c>
      <c r="P16" s="3"/>
    </row>
    <row r="17" spans="2:16" x14ac:dyDescent="0.25">
      <c r="C17" s="3" t="s">
        <v>335</v>
      </c>
      <c r="D17" s="3" t="s">
        <v>180</v>
      </c>
      <c r="E17" s="3"/>
      <c r="F17" s="70"/>
      <c r="O17" s="3" t="s">
        <v>184</v>
      </c>
      <c r="P17" s="3" t="s">
        <v>192</v>
      </c>
    </row>
    <row r="18" spans="2:16" x14ac:dyDescent="0.25">
      <c r="C18" s="254" t="s">
        <v>215</v>
      </c>
      <c r="D18" s="254"/>
      <c r="E18" s="254"/>
      <c r="F18" s="70"/>
      <c r="O18" s="3"/>
      <c r="P18" s="3"/>
    </row>
    <row r="19" spans="2:16" x14ac:dyDescent="0.25">
      <c r="C19" s="3" t="s">
        <v>334</v>
      </c>
      <c r="D19" s="3"/>
      <c r="E19" s="3"/>
      <c r="F19" s="70"/>
      <c r="O19" s="3"/>
      <c r="P19" s="3"/>
    </row>
    <row r="20" spans="2:16" x14ac:dyDescent="0.25">
      <c r="C20" s="3" t="s">
        <v>309</v>
      </c>
      <c r="D20" s="3" t="s">
        <v>185</v>
      </c>
      <c r="E20" s="3"/>
      <c r="F20" s="70"/>
      <c r="O20" s="3"/>
      <c r="P20" s="3"/>
    </row>
    <row r="21" spans="2:16" x14ac:dyDescent="0.25">
      <c r="C21" s="3" t="s">
        <v>337</v>
      </c>
      <c r="D21" s="218" t="s">
        <v>339</v>
      </c>
      <c r="E21" s="3"/>
      <c r="F21" s="70"/>
      <c r="O21" s="3"/>
      <c r="P21" s="3"/>
    </row>
    <row r="22" spans="2:16" x14ac:dyDescent="0.25">
      <c r="C22" s="3" t="s">
        <v>310</v>
      </c>
      <c r="D22" s="3" t="s">
        <v>311</v>
      </c>
      <c r="E22" s="3"/>
      <c r="F22" s="70"/>
      <c r="O22" s="3"/>
      <c r="P22" s="3"/>
    </row>
    <row r="23" spans="2:16" x14ac:dyDescent="0.25">
      <c r="C23" s="3" t="s">
        <v>338</v>
      </c>
      <c r="D23" s="3" t="s">
        <v>339</v>
      </c>
      <c r="E23" s="3"/>
      <c r="F23" s="70"/>
      <c r="O23" s="3"/>
      <c r="P23" s="3"/>
    </row>
    <row r="24" spans="2:16" x14ac:dyDescent="0.25">
      <c r="C24" s="3" t="s">
        <v>328</v>
      </c>
      <c r="D24" s="3" t="s">
        <v>341</v>
      </c>
      <c r="E24" s="3"/>
      <c r="F24" s="70"/>
      <c r="O24" s="3"/>
      <c r="P24" s="3"/>
    </row>
    <row r="25" spans="2:16" x14ac:dyDescent="0.25">
      <c r="F25" s="70"/>
      <c r="O25" s="3"/>
      <c r="P25" s="3"/>
    </row>
    <row r="26" spans="2:16" x14ac:dyDescent="0.25">
      <c r="E26" t="s">
        <v>350</v>
      </c>
      <c r="F26" s="70"/>
      <c r="O26" s="3" t="s">
        <v>184</v>
      </c>
      <c r="P26" s="3" t="s">
        <v>195</v>
      </c>
    </row>
    <row r="27" spans="2:16" ht="20.100000000000001" customHeight="1" x14ac:dyDescent="0.25">
      <c r="B27" s="253" t="s">
        <v>157</v>
      </c>
      <c r="C27" s="3" t="s">
        <v>329</v>
      </c>
      <c r="D27" s="3"/>
      <c r="E27" s="3">
        <v>145</v>
      </c>
      <c r="F27" s="70" t="s">
        <v>354</v>
      </c>
      <c r="O27" s="3" t="s">
        <v>184</v>
      </c>
      <c r="P27" s="3" t="s">
        <v>193</v>
      </c>
    </row>
    <row r="28" spans="2:16" ht="20.100000000000001" customHeight="1" x14ac:dyDescent="0.25">
      <c r="B28" s="253"/>
      <c r="C28" s="3" t="s">
        <v>330</v>
      </c>
      <c r="D28" s="3" t="s">
        <v>86</v>
      </c>
      <c r="E28" s="3"/>
      <c r="F28" t="s">
        <v>354</v>
      </c>
      <c r="O28" s="3" t="s">
        <v>184</v>
      </c>
      <c r="P28" s="3" t="s">
        <v>194</v>
      </c>
    </row>
    <row r="29" spans="2:16" ht="20.100000000000001" customHeight="1" x14ac:dyDescent="0.25">
      <c r="B29" s="253"/>
      <c r="C29" s="3" t="s">
        <v>331</v>
      </c>
      <c r="D29" s="3" t="s">
        <v>34</v>
      </c>
      <c r="E29" s="3"/>
      <c r="F29" t="s">
        <v>355</v>
      </c>
      <c r="O29" s="3" t="s">
        <v>191</v>
      </c>
      <c r="P29" s="3"/>
    </row>
    <row r="30" spans="2:16" ht="20.100000000000001" customHeight="1" x14ac:dyDescent="0.25">
      <c r="B30" s="253"/>
      <c r="C30" s="3" t="s">
        <v>332</v>
      </c>
      <c r="D30" s="3" t="s">
        <v>37</v>
      </c>
      <c r="E30" s="3"/>
      <c r="F30" s="70" t="s">
        <v>356</v>
      </c>
      <c r="O30" s="3"/>
      <c r="P30" s="3"/>
    </row>
    <row r="31" spans="2:16" ht="20.100000000000001" customHeight="1" x14ac:dyDescent="0.25">
      <c r="B31" s="253"/>
      <c r="C31" s="3" t="s">
        <v>333</v>
      </c>
      <c r="D31" s="3" t="s">
        <v>39</v>
      </c>
      <c r="E31" s="3"/>
      <c r="F31" s="70" t="s">
        <v>357</v>
      </c>
      <c r="O31" s="3"/>
      <c r="P31" s="3"/>
    </row>
    <row r="35" spans="2:7" x14ac:dyDescent="0.25">
      <c r="B35" s="9"/>
      <c r="C35" s="13"/>
      <c r="D35" s="70"/>
      <c r="E35" s="70"/>
      <c r="F35" s="70"/>
      <c r="G35" s="70"/>
    </row>
    <row r="36" spans="2:7" x14ac:dyDescent="0.25">
      <c r="B36" s="213"/>
      <c r="C36" s="70"/>
    </row>
    <row r="37" spans="2:7" x14ac:dyDescent="0.25">
      <c r="B37" s="213"/>
      <c r="C37" s="70"/>
    </row>
    <row r="38" spans="2:7" x14ac:dyDescent="0.25">
      <c r="B38" s="213"/>
      <c r="C38" s="70"/>
    </row>
    <row r="39" spans="2:7" x14ac:dyDescent="0.25">
      <c r="B39" s="213"/>
      <c r="C39" s="70"/>
    </row>
    <row r="40" spans="2:7" x14ac:dyDescent="0.25">
      <c r="B40" s="213"/>
      <c r="C40" s="70"/>
    </row>
    <row r="41" spans="2:7" x14ac:dyDescent="0.25">
      <c r="B41" s="213"/>
      <c r="C41" s="70"/>
    </row>
    <row r="42" spans="2:7" x14ac:dyDescent="0.25">
      <c r="B42" s="213"/>
      <c r="C42" s="70"/>
    </row>
    <row r="43" spans="2:7" x14ac:dyDescent="0.25">
      <c r="B43" s="213"/>
      <c r="C43" s="70"/>
    </row>
    <row r="44" spans="2:7" x14ac:dyDescent="0.25">
      <c r="B44" s="213"/>
      <c r="C44" s="70"/>
    </row>
    <row r="45" spans="2:7" x14ac:dyDescent="0.25">
      <c r="B45" s="213"/>
      <c r="C45" s="70"/>
    </row>
    <row r="46" spans="2:7" x14ac:dyDescent="0.25">
      <c r="B46" s="213"/>
      <c r="C46" s="70"/>
    </row>
    <row r="47" spans="2:7" x14ac:dyDescent="0.25">
      <c r="B47" s="213"/>
      <c r="C47" s="70"/>
    </row>
    <row r="48" spans="2:7" x14ac:dyDescent="0.25">
      <c r="B48" s="213"/>
      <c r="C48" s="70"/>
    </row>
    <row r="49" spans="2:5" x14ac:dyDescent="0.25">
      <c r="B49" s="213"/>
      <c r="C49" s="70"/>
    </row>
    <row r="50" spans="2:5" ht="20.25" customHeight="1" x14ac:dyDescent="0.25">
      <c r="B50" s="249"/>
      <c r="C50" s="249"/>
    </row>
    <row r="52" spans="2:5" x14ac:dyDescent="0.25">
      <c r="E52" s="70"/>
    </row>
    <row r="53" spans="2:5" x14ac:dyDescent="0.25">
      <c r="E53" s="70"/>
    </row>
    <row r="54" spans="2:5" x14ac:dyDescent="0.25">
      <c r="E54" s="70"/>
    </row>
    <row r="55" spans="2:5" x14ac:dyDescent="0.25">
      <c r="E55" s="70"/>
    </row>
    <row r="63" spans="2:5" x14ac:dyDescent="0.25">
      <c r="C63" s="70"/>
    </row>
    <row r="64" spans="2:5" x14ac:dyDescent="0.25">
      <c r="C64" s="70"/>
    </row>
    <row r="65" spans="3:3" x14ac:dyDescent="0.25">
      <c r="C65" s="70"/>
    </row>
  </sheetData>
  <mergeCells count="12">
    <mergeCell ref="B50:C50"/>
    <mergeCell ref="F1:H1"/>
    <mergeCell ref="C2:E2"/>
    <mergeCell ref="B27:B31"/>
    <mergeCell ref="D3:E3"/>
    <mergeCell ref="D6:E6"/>
    <mergeCell ref="D5:E5"/>
    <mergeCell ref="D4:E4"/>
    <mergeCell ref="D8:E8"/>
    <mergeCell ref="D7:E7"/>
    <mergeCell ref="C16:E16"/>
    <mergeCell ref="C18:E18"/>
  </mergeCells>
  <dataValidations count="2">
    <dataValidation type="list" allowBlank="1" showInputMessage="1" showErrorMessage="1" sqref="D7:E8 D21:D23" xr:uid="{C3C5C6CB-41FA-491A-AFCB-123050EE3A23}">
      <formula1>"YES,NO"</formula1>
    </dataValidation>
    <dataValidation type="list" allowBlank="1" showInputMessage="1" showErrorMessage="1" sqref="D24" xr:uid="{8FE12D43-0C0E-4044-A408-9AC330418E99}">
      <formula1>"Metric,Imperial"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6BFB85C-27AF-467B-9F8F-AB857FFE566F}">
          <x14:formula1>
            <xm:f>'O-rings List'!$A$2:$A$5</xm:f>
          </x14:formula1>
          <xm:sqref>D19</xm:sqref>
        </x14:dataValidation>
        <x14:dataValidation type="list" allowBlank="1" showInputMessage="1" showErrorMessage="1" xr:uid="{BBACD17E-8234-4ABD-AD33-CF1E386A33A2}">
          <x14:formula1>
            <xm:f>'IP-Class List'!$A$2:$A$3</xm:f>
          </x14:formula1>
          <xm:sqref>D20</xm:sqref>
        </x14:dataValidation>
        <x14:dataValidation type="list" allowBlank="1" showInputMessage="1" showErrorMessage="1" xr:uid="{67FAD953-D8D5-425C-957C-BF34426CABC2}">
          <x14:formula1>
            <xm:f>'SS Material List'!$A$2:$A$15</xm:f>
          </x14:formula1>
          <xm:sqref>D17</xm:sqref>
        </x14:dataValidation>
        <x14:dataValidation type="list" allowBlank="1" showInputMessage="1" showErrorMessage="1" xr:uid="{0E37AD2F-7E8B-4BE1-A1D3-5A299A3B381C}">
          <x14:formula1>
            <xm:f>'Main Mixing Purpose List'!$A$2:$A$14</xm:f>
          </x14:formula1>
          <xm:sqref>D3:E3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AF63-9499-4B60-81EE-8626CE0E3E0D}">
  <sheetPr>
    <tabColor theme="5" tint="0.59999389629810485"/>
  </sheetPr>
  <dimension ref="A1:P63"/>
  <sheetViews>
    <sheetView topLeftCell="A4" zoomScale="115" zoomScaleNormal="115" workbookViewId="0">
      <selection activeCell="E68" sqref="E68"/>
    </sheetView>
  </sheetViews>
  <sheetFormatPr defaultRowHeight="15" x14ac:dyDescent="0.25"/>
  <cols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ht="30" x14ac:dyDescent="0.25">
      <c r="A1" s="9" t="s">
        <v>269</v>
      </c>
      <c r="B1" s="9" t="s">
        <v>268</v>
      </c>
      <c r="C1" s="70" t="s">
        <v>248</v>
      </c>
      <c r="D1" s="70" t="s">
        <v>249</v>
      </c>
      <c r="E1" s="70" t="s">
        <v>250</v>
      </c>
      <c r="F1" s="70" t="s">
        <v>251</v>
      </c>
    </row>
    <row r="2" spans="1:16" ht="45" x14ac:dyDescent="0.25">
      <c r="A2" s="213" t="s">
        <v>270</v>
      </c>
      <c r="B2" s="70" t="s">
        <v>255</v>
      </c>
      <c r="C2" t="s">
        <v>137</v>
      </c>
      <c r="D2" t="s">
        <v>135</v>
      </c>
      <c r="E2" t="s">
        <v>252</v>
      </c>
      <c r="F2" t="s">
        <v>210</v>
      </c>
      <c r="G2" s="99"/>
    </row>
    <row r="3" spans="1:16" ht="60" x14ac:dyDescent="0.25">
      <c r="A3" s="213" t="s">
        <v>271</v>
      </c>
      <c r="B3" s="70" t="s">
        <v>256</v>
      </c>
      <c r="C3" t="s">
        <v>137</v>
      </c>
      <c r="D3" t="s">
        <v>135</v>
      </c>
      <c r="E3" t="s">
        <v>252</v>
      </c>
      <c r="F3" t="s">
        <v>210</v>
      </c>
      <c r="G3" s="70"/>
    </row>
    <row r="4" spans="1:16" ht="45" x14ac:dyDescent="0.25">
      <c r="A4" s="213" t="s">
        <v>272</v>
      </c>
      <c r="B4" s="70" t="s">
        <v>257</v>
      </c>
      <c r="C4" t="s">
        <v>155</v>
      </c>
      <c r="D4" t="s">
        <v>135</v>
      </c>
      <c r="E4" t="s">
        <v>189</v>
      </c>
      <c r="F4" t="s">
        <v>246</v>
      </c>
    </row>
    <row r="5" spans="1:16" ht="30" x14ac:dyDescent="0.25">
      <c r="A5" s="213" t="s">
        <v>273</v>
      </c>
      <c r="B5" s="70" t="s">
        <v>258</v>
      </c>
      <c r="C5" t="s">
        <v>135</v>
      </c>
      <c r="D5" t="s">
        <v>178</v>
      </c>
      <c r="E5" t="s">
        <v>253</v>
      </c>
      <c r="F5" t="s">
        <v>246</v>
      </c>
    </row>
    <row r="6" spans="1:16" ht="30" x14ac:dyDescent="0.25">
      <c r="A6" s="213" t="s">
        <v>274</v>
      </c>
      <c r="B6" s="70" t="s">
        <v>259</v>
      </c>
      <c r="C6" t="s">
        <v>155</v>
      </c>
      <c r="D6" t="s">
        <v>178</v>
      </c>
      <c r="E6" t="s">
        <v>189</v>
      </c>
      <c r="F6" t="s">
        <v>246</v>
      </c>
    </row>
    <row r="7" spans="1:16" ht="30" x14ac:dyDescent="0.25">
      <c r="A7" s="213" t="s">
        <v>275</v>
      </c>
      <c r="B7" s="70" t="s">
        <v>260</v>
      </c>
      <c r="C7" t="s">
        <v>135</v>
      </c>
      <c r="D7" t="s">
        <v>178</v>
      </c>
      <c r="E7" t="s">
        <v>253</v>
      </c>
      <c r="F7" t="s">
        <v>246</v>
      </c>
    </row>
    <row r="8" spans="1:16" ht="30" x14ac:dyDescent="0.25">
      <c r="A8" s="213" t="s">
        <v>276</v>
      </c>
      <c r="B8" s="70" t="s">
        <v>261</v>
      </c>
      <c r="C8" t="s">
        <v>137</v>
      </c>
      <c r="D8" t="s">
        <v>135</v>
      </c>
      <c r="E8" t="s">
        <v>252</v>
      </c>
      <c r="F8" t="s">
        <v>210</v>
      </c>
    </row>
    <row r="9" spans="1:16" ht="30" x14ac:dyDescent="0.25">
      <c r="A9" s="213" t="s">
        <v>277</v>
      </c>
      <c r="B9" s="70" t="s">
        <v>262</v>
      </c>
      <c r="C9" t="s">
        <v>135</v>
      </c>
      <c r="D9" t="s">
        <v>178</v>
      </c>
      <c r="E9" t="s">
        <v>253</v>
      </c>
      <c r="F9" t="s">
        <v>246</v>
      </c>
    </row>
    <row r="10" spans="1:16" ht="30" x14ac:dyDescent="0.25">
      <c r="A10" s="213" t="s">
        <v>278</v>
      </c>
      <c r="B10" s="70" t="s">
        <v>263</v>
      </c>
      <c r="C10" t="s">
        <v>137</v>
      </c>
      <c r="D10" t="s">
        <v>135</v>
      </c>
      <c r="E10" t="s">
        <v>252</v>
      </c>
      <c r="F10" t="s">
        <v>210</v>
      </c>
    </row>
    <row r="11" spans="1:16" ht="30" x14ac:dyDescent="0.25">
      <c r="A11" s="213" t="s">
        <v>279</v>
      </c>
      <c r="B11" s="70" t="s">
        <v>264</v>
      </c>
      <c r="C11" t="s">
        <v>138</v>
      </c>
      <c r="D11" t="s">
        <v>135</v>
      </c>
      <c r="E11" t="s">
        <v>252</v>
      </c>
      <c r="F11" t="s">
        <v>210</v>
      </c>
    </row>
    <row r="12" spans="1:16" ht="30" x14ac:dyDescent="0.25">
      <c r="A12" s="213" t="s">
        <v>280</v>
      </c>
      <c r="B12" s="70" t="s">
        <v>265</v>
      </c>
      <c r="C12" t="s">
        <v>138</v>
      </c>
      <c r="D12" t="s">
        <v>178</v>
      </c>
      <c r="E12" t="s">
        <v>252</v>
      </c>
      <c r="F12" t="s">
        <v>210</v>
      </c>
    </row>
    <row r="13" spans="1:16" ht="30" x14ac:dyDescent="0.25">
      <c r="A13" s="213" t="s">
        <v>281</v>
      </c>
      <c r="B13" s="70" t="s">
        <v>266</v>
      </c>
      <c r="C13" t="s">
        <v>136</v>
      </c>
      <c r="D13" t="s">
        <v>178</v>
      </c>
      <c r="E13" t="s">
        <v>253</v>
      </c>
      <c r="F13" t="s">
        <v>246</v>
      </c>
    </row>
    <row r="14" spans="1:16" x14ac:dyDescent="0.25">
      <c r="A14" s="213" t="s">
        <v>282</v>
      </c>
      <c r="B14" s="70" t="s">
        <v>267</v>
      </c>
      <c r="C14" t="s">
        <v>254</v>
      </c>
      <c r="E14" t="s">
        <v>253</v>
      </c>
      <c r="F14" t="s">
        <v>246</v>
      </c>
    </row>
    <row r="15" spans="1:16" x14ac:dyDescent="0.25">
      <c r="F15" s="70"/>
    </row>
    <row r="16" spans="1:16" x14ac:dyDescent="0.25">
      <c r="F16" s="70"/>
      <c r="O16" s="3" t="s">
        <v>190</v>
      </c>
      <c r="P16" s="3"/>
    </row>
    <row r="17" spans="2:16" x14ac:dyDescent="0.25">
      <c r="F17" s="70"/>
      <c r="O17" s="3" t="s">
        <v>184</v>
      </c>
      <c r="P17" s="3" t="s">
        <v>192</v>
      </c>
    </row>
    <row r="18" spans="2:16" x14ac:dyDescent="0.25">
      <c r="F18" s="70"/>
      <c r="O18" s="3"/>
      <c r="P18" s="3"/>
    </row>
    <row r="19" spans="2:16" x14ac:dyDescent="0.25">
      <c r="F19" s="70"/>
      <c r="O19" s="3"/>
      <c r="P19" s="3"/>
    </row>
    <row r="20" spans="2:16" x14ac:dyDescent="0.25">
      <c r="F20" s="70"/>
      <c r="O20" s="3"/>
      <c r="P20" s="3"/>
    </row>
    <row r="21" spans="2:16" x14ac:dyDescent="0.25">
      <c r="F21" s="70"/>
      <c r="O21" s="3"/>
      <c r="P21" s="3"/>
    </row>
    <row r="22" spans="2:16" x14ac:dyDescent="0.25">
      <c r="F22" s="70"/>
      <c r="O22" s="3"/>
      <c r="P22" s="3"/>
    </row>
    <row r="23" spans="2:16" x14ac:dyDescent="0.25">
      <c r="F23" s="70"/>
      <c r="O23" s="3"/>
      <c r="P23" s="3"/>
    </row>
    <row r="24" spans="2:16" x14ac:dyDescent="0.25">
      <c r="F24" s="70"/>
      <c r="O24" s="3" t="s">
        <v>184</v>
      </c>
      <c r="P24" s="3" t="s">
        <v>195</v>
      </c>
    </row>
    <row r="25" spans="2:16" ht="20.100000000000001" customHeight="1" x14ac:dyDescent="0.25">
      <c r="B25" s="221"/>
      <c r="F25" s="70"/>
      <c r="O25" s="3" t="s">
        <v>184</v>
      </c>
      <c r="P25" s="3" t="s">
        <v>193</v>
      </c>
    </row>
    <row r="26" spans="2:16" ht="20.100000000000001" customHeight="1" x14ac:dyDescent="0.25">
      <c r="B26" s="221"/>
      <c r="O26" s="3" t="s">
        <v>184</v>
      </c>
      <c r="P26" s="3" t="s">
        <v>194</v>
      </c>
    </row>
    <row r="27" spans="2:16" ht="20.100000000000001" customHeight="1" x14ac:dyDescent="0.25">
      <c r="B27" s="221"/>
      <c r="O27" s="3" t="s">
        <v>191</v>
      </c>
      <c r="P27" s="3"/>
    </row>
    <row r="28" spans="2:16" ht="20.100000000000001" customHeight="1" x14ac:dyDescent="0.25">
      <c r="B28" s="221"/>
      <c r="O28" s="3"/>
      <c r="P28" s="3"/>
    </row>
    <row r="29" spans="2:16" ht="20.100000000000001" customHeight="1" x14ac:dyDescent="0.25">
      <c r="B29" s="221"/>
      <c r="O29" s="3"/>
      <c r="P29" s="3"/>
    </row>
    <row r="47" spans="2:3" x14ac:dyDescent="0.25">
      <c r="B47" s="213"/>
      <c r="C47" s="70"/>
    </row>
    <row r="48" spans="2:3" ht="20.25" customHeight="1" x14ac:dyDescent="0.25">
      <c r="B48" s="249"/>
      <c r="C48" s="249"/>
    </row>
    <row r="50" spans="3:5" x14ac:dyDescent="0.25">
      <c r="E50" s="70"/>
    </row>
    <row r="51" spans="3:5" x14ac:dyDescent="0.25">
      <c r="E51" s="70"/>
    </row>
    <row r="52" spans="3:5" x14ac:dyDescent="0.25">
      <c r="E52" s="70"/>
    </row>
    <row r="53" spans="3:5" x14ac:dyDescent="0.25">
      <c r="E53" s="70"/>
    </row>
    <row r="61" spans="3:5" x14ac:dyDescent="0.25">
      <c r="C61" s="70"/>
    </row>
    <row r="62" spans="3:5" x14ac:dyDescent="0.25">
      <c r="C62" s="70"/>
    </row>
    <row r="63" spans="3:5" x14ac:dyDescent="0.25">
      <c r="C63" s="70"/>
    </row>
  </sheetData>
  <mergeCells count="1">
    <mergeCell ref="B48:C48"/>
  </mergeCells>
  <dataValidations count="4">
    <dataValidation type="list" allowBlank="1" showInputMessage="1" showErrorMessage="1" sqref="D20" xr:uid="{EEC9F5A3-4E1D-4C83-B9E0-EBC28A88747B}">
      <formula1>"IP55,IP66"</formula1>
    </dataValidation>
    <dataValidation type="list" allowBlank="1" showInputMessage="1" showErrorMessage="1" sqref="D19" xr:uid="{6E0BD13F-7DA3-4248-BF1C-982B05EB305E}">
      <formula1>$E$50:$E$53</formula1>
    </dataValidation>
    <dataValidation type="list" allowBlank="1" showInputMessage="1" showErrorMessage="1" sqref="D17" xr:uid="{8BEF27F3-F1C1-4902-8EDD-98960E23A4E1}">
      <formula1>$B$50:$B$63</formula1>
    </dataValidation>
    <dataValidation type="list" allowBlank="1" showInputMessage="1" showErrorMessage="1" sqref="D21" xr:uid="{8BAC38F9-5C6B-4AB9-9146-C21DA7FFBC9A}">
      <formula1>"YES,NO"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CB24-68A3-4677-94E9-E66A5993A7E3}">
  <sheetPr>
    <tabColor theme="5" tint="0.59999389629810485"/>
  </sheetPr>
  <dimension ref="A1:P52"/>
  <sheetViews>
    <sheetView zoomScale="115" zoomScaleNormal="115" workbookViewId="0">
      <selection activeCell="C5" sqref="C5"/>
    </sheetView>
  </sheetViews>
  <sheetFormatPr defaultRowHeight="15" x14ac:dyDescent="0.25"/>
  <cols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283</v>
      </c>
      <c r="B1" t="s">
        <v>284</v>
      </c>
      <c r="G1" s="99"/>
    </row>
    <row r="2" spans="1:16" x14ac:dyDescent="0.25">
      <c r="A2" t="s">
        <v>178</v>
      </c>
      <c r="B2" t="s">
        <v>291</v>
      </c>
      <c r="G2" s="70"/>
    </row>
    <row r="3" spans="1:16" x14ac:dyDescent="0.25">
      <c r="A3" t="s">
        <v>180</v>
      </c>
      <c r="B3" t="s">
        <v>292</v>
      </c>
    </row>
    <row r="4" spans="1:16" x14ac:dyDescent="0.25">
      <c r="A4" t="s">
        <v>181</v>
      </c>
      <c r="B4" t="s">
        <v>293</v>
      </c>
    </row>
    <row r="5" spans="1:16" x14ac:dyDescent="0.25">
      <c r="A5" t="s">
        <v>78</v>
      </c>
      <c r="B5" t="s">
        <v>294</v>
      </c>
    </row>
    <row r="6" spans="1:16" x14ac:dyDescent="0.25">
      <c r="A6" t="s">
        <v>182</v>
      </c>
      <c r="B6" t="s">
        <v>295</v>
      </c>
    </row>
    <row r="7" spans="1:16" x14ac:dyDescent="0.25">
      <c r="A7" t="s">
        <v>183</v>
      </c>
      <c r="B7" t="s">
        <v>296</v>
      </c>
    </row>
    <row r="8" spans="1:16" x14ac:dyDescent="0.25">
      <c r="A8" t="s">
        <v>186</v>
      </c>
      <c r="B8" t="s">
        <v>297</v>
      </c>
    </row>
    <row r="9" spans="1:16" x14ac:dyDescent="0.25">
      <c r="A9" t="s">
        <v>285</v>
      </c>
      <c r="B9" t="s">
        <v>298</v>
      </c>
    </row>
    <row r="10" spans="1:16" x14ac:dyDescent="0.25">
      <c r="A10" t="s">
        <v>286</v>
      </c>
      <c r="B10" t="s">
        <v>299</v>
      </c>
    </row>
    <row r="11" spans="1:16" x14ac:dyDescent="0.25">
      <c r="A11" t="s">
        <v>287</v>
      </c>
      <c r="B11" t="s">
        <v>300</v>
      </c>
    </row>
    <row r="12" spans="1:16" x14ac:dyDescent="0.25">
      <c r="A12" t="s">
        <v>288</v>
      </c>
      <c r="B12" t="s">
        <v>301</v>
      </c>
    </row>
    <row r="13" spans="1:16" ht="45" x14ac:dyDescent="0.25">
      <c r="A13" t="s">
        <v>18</v>
      </c>
      <c r="B13" s="70" t="s">
        <v>302</v>
      </c>
    </row>
    <row r="14" spans="1:16" ht="30" x14ac:dyDescent="0.25">
      <c r="A14" t="s">
        <v>289</v>
      </c>
      <c r="B14" s="70" t="s">
        <v>303</v>
      </c>
      <c r="F14" s="70"/>
    </row>
    <row r="15" spans="1:16" ht="30" x14ac:dyDescent="0.25">
      <c r="A15" t="s">
        <v>290</v>
      </c>
      <c r="B15" s="70" t="s">
        <v>304</v>
      </c>
      <c r="F15" s="70"/>
      <c r="O15" s="3" t="s">
        <v>190</v>
      </c>
      <c r="P15" s="3"/>
    </row>
    <row r="16" spans="1:16" x14ac:dyDescent="0.25">
      <c r="F16" s="70"/>
      <c r="O16" s="3" t="s">
        <v>184</v>
      </c>
      <c r="P16" s="3" t="s">
        <v>192</v>
      </c>
    </row>
    <row r="17" spans="2:16" x14ac:dyDescent="0.25">
      <c r="F17" s="70"/>
      <c r="O17" s="3"/>
      <c r="P17" s="3"/>
    </row>
    <row r="18" spans="2:16" x14ac:dyDescent="0.25">
      <c r="F18" s="70"/>
      <c r="O18" s="3"/>
      <c r="P18" s="3"/>
    </row>
    <row r="19" spans="2:16" x14ac:dyDescent="0.25">
      <c r="F19" s="70"/>
      <c r="O19" s="3"/>
      <c r="P19" s="3"/>
    </row>
    <row r="20" spans="2:16" x14ac:dyDescent="0.25">
      <c r="F20" s="70"/>
      <c r="O20" s="3"/>
      <c r="P20" s="3"/>
    </row>
    <row r="21" spans="2:16" x14ac:dyDescent="0.25">
      <c r="F21" s="70"/>
      <c r="O21" s="3"/>
      <c r="P21" s="3"/>
    </row>
    <row r="22" spans="2:16" x14ac:dyDescent="0.25">
      <c r="F22" s="70"/>
      <c r="O22" s="3"/>
      <c r="P22" s="3"/>
    </row>
    <row r="23" spans="2:16" x14ac:dyDescent="0.25">
      <c r="F23" s="70"/>
      <c r="O23" s="3" t="s">
        <v>184</v>
      </c>
      <c r="P23" s="3" t="s">
        <v>195</v>
      </c>
    </row>
    <row r="24" spans="2:16" ht="20.100000000000001" customHeight="1" x14ac:dyDescent="0.25">
      <c r="B24" s="221"/>
      <c r="F24" s="70"/>
      <c r="O24" s="3" t="s">
        <v>184</v>
      </c>
      <c r="P24" s="3" t="s">
        <v>193</v>
      </c>
    </row>
    <row r="25" spans="2:16" ht="20.100000000000001" customHeight="1" x14ac:dyDescent="0.25">
      <c r="B25" s="221"/>
      <c r="O25" s="3" t="s">
        <v>184</v>
      </c>
      <c r="P25" s="3" t="s">
        <v>194</v>
      </c>
    </row>
    <row r="26" spans="2:16" ht="20.100000000000001" customHeight="1" x14ac:dyDescent="0.25">
      <c r="B26" s="221"/>
      <c r="O26" s="3" t="s">
        <v>191</v>
      </c>
      <c r="P26" s="3"/>
    </row>
    <row r="27" spans="2:16" ht="20.100000000000001" customHeight="1" x14ac:dyDescent="0.25">
      <c r="B27" s="221"/>
      <c r="O27" s="3"/>
      <c r="P27" s="3"/>
    </row>
    <row r="28" spans="2:16" ht="20.100000000000001" customHeight="1" x14ac:dyDescent="0.25">
      <c r="B28" s="221"/>
      <c r="O28" s="3"/>
      <c r="P28" s="3"/>
    </row>
    <row r="46" spans="2:3" x14ac:dyDescent="0.25">
      <c r="B46" s="213"/>
      <c r="C46" s="70"/>
    </row>
    <row r="47" spans="2:3" ht="20.25" customHeight="1" x14ac:dyDescent="0.25"/>
    <row r="49" spans="5:5" x14ac:dyDescent="0.25">
      <c r="E49" s="70"/>
    </row>
    <row r="50" spans="5:5" x14ac:dyDescent="0.25">
      <c r="E50" s="70"/>
    </row>
    <row r="51" spans="5:5" x14ac:dyDescent="0.25">
      <c r="E51" s="70"/>
    </row>
    <row r="52" spans="5:5" x14ac:dyDescent="0.25">
      <c r="E52" s="70"/>
    </row>
  </sheetData>
  <dataValidations count="4">
    <dataValidation type="list" allowBlank="1" showInputMessage="1" showErrorMessage="1" sqref="D20" xr:uid="{D94A2014-CD8A-47DA-9CD5-5E69CA4142B5}">
      <formula1>"YES,NO"</formula1>
    </dataValidation>
    <dataValidation type="list" allowBlank="1" showInputMessage="1" showErrorMessage="1" sqref="D18" xr:uid="{BEF029E8-7750-4B58-8632-8DAE2ECFF0FA}">
      <formula1>$E$49:$E$52</formula1>
    </dataValidation>
    <dataValidation type="list" allowBlank="1" showInputMessage="1" showErrorMessage="1" sqref="D19" xr:uid="{31912351-E37F-4EF1-B50F-DD6C48F2EA5E}">
      <formula1>"IP55,IP66"</formula1>
    </dataValidation>
    <dataValidation type="list" allowBlank="1" showInputMessage="1" showErrorMessage="1" sqref="D16" xr:uid="{DD8DBC36-A047-486C-B0CC-674848D0FC28}">
      <formula1>$A$2:$A$15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56CCF-1C93-4A75-83B6-2663E3BB6750}">
  <sheetPr>
    <tabColor theme="5" tint="0.59999389629810485"/>
  </sheetPr>
  <dimension ref="A1:P63"/>
  <sheetViews>
    <sheetView zoomScale="115" zoomScaleNormal="115" workbookViewId="0">
      <selection activeCell="B26" sqref="B26"/>
    </sheetView>
  </sheetViews>
  <sheetFormatPr defaultRowHeight="15" x14ac:dyDescent="0.25"/>
  <cols>
    <col min="1" max="1" width="30.85546875" customWidth="1"/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184</v>
      </c>
      <c r="B1" s="9"/>
      <c r="C1" s="70"/>
      <c r="D1" s="70"/>
      <c r="E1" s="70"/>
      <c r="F1" s="70"/>
    </row>
    <row r="2" spans="1:16" ht="30" x14ac:dyDescent="0.25">
      <c r="A2" s="70" t="s">
        <v>305</v>
      </c>
      <c r="B2" s="70"/>
      <c r="G2" s="99"/>
    </row>
    <row r="3" spans="1:16" ht="30" x14ac:dyDescent="0.25">
      <c r="A3" s="70" t="s">
        <v>306</v>
      </c>
      <c r="B3" s="70"/>
      <c r="G3" s="70"/>
    </row>
    <row r="4" spans="1:16" ht="30" x14ac:dyDescent="0.25">
      <c r="A4" s="70" t="s">
        <v>307</v>
      </c>
      <c r="B4" s="70"/>
    </row>
    <row r="5" spans="1:16" ht="30" x14ac:dyDescent="0.25">
      <c r="A5" s="70" t="s">
        <v>308</v>
      </c>
      <c r="B5" s="70"/>
    </row>
    <row r="6" spans="1:16" x14ac:dyDescent="0.25">
      <c r="A6" s="213"/>
      <c r="B6" s="70"/>
    </row>
    <row r="7" spans="1:16" x14ac:dyDescent="0.25">
      <c r="A7" s="213"/>
      <c r="B7" s="70"/>
    </row>
    <row r="8" spans="1:16" x14ac:dyDescent="0.25">
      <c r="A8" s="213"/>
      <c r="B8" s="70"/>
    </row>
    <row r="9" spans="1:16" x14ac:dyDescent="0.25">
      <c r="A9" s="213"/>
      <c r="B9" s="70"/>
    </row>
    <row r="10" spans="1:16" x14ac:dyDescent="0.25">
      <c r="A10" s="213"/>
      <c r="B10" s="70"/>
    </row>
    <row r="11" spans="1:16" x14ac:dyDescent="0.25">
      <c r="A11" s="213"/>
      <c r="B11" s="70"/>
    </row>
    <row r="12" spans="1:16" x14ac:dyDescent="0.25">
      <c r="A12" s="213"/>
      <c r="B12" s="70"/>
    </row>
    <row r="13" spans="1:16" x14ac:dyDescent="0.25">
      <c r="A13" s="213"/>
      <c r="B13" s="70"/>
    </row>
    <row r="14" spans="1:16" x14ac:dyDescent="0.25">
      <c r="A14" s="213"/>
      <c r="B14" s="70"/>
    </row>
    <row r="15" spans="1:16" x14ac:dyDescent="0.25">
      <c r="F15" s="70"/>
    </row>
    <row r="16" spans="1:16" x14ac:dyDescent="0.25">
      <c r="F16" s="70"/>
      <c r="O16" s="3" t="s">
        <v>190</v>
      </c>
      <c r="P16" s="3"/>
    </row>
    <row r="17" spans="2:16" x14ac:dyDescent="0.25">
      <c r="F17" s="70"/>
      <c r="O17" s="3" t="s">
        <v>184</v>
      </c>
      <c r="P17" s="3" t="s">
        <v>192</v>
      </c>
    </row>
    <row r="18" spans="2:16" x14ac:dyDescent="0.25">
      <c r="F18" s="70"/>
      <c r="O18" s="3"/>
      <c r="P18" s="3"/>
    </row>
    <row r="19" spans="2:16" x14ac:dyDescent="0.25">
      <c r="F19" s="70"/>
      <c r="O19" s="3"/>
      <c r="P19" s="3"/>
    </row>
    <row r="20" spans="2:16" x14ac:dyDescent="0.25">
      <c r="F20" s="70"/>
      <c r="O20" s="3"/>
      <c r="P20" s="3"/>
    </row>
    <row r="21" spans="2:16" x14ac:dyDescent="0.25">
      <c r="F21" s="70"/>
      <c r="O21" s="3"/>
      <c r="P21" s="3"/>
    </row>
    <row r="22" spans="2:16" x14ac:dyDescent="0.25">
      <c r="F22" s="70"/>
      <c r="O22" s="3"/>
      <c r="P22" s="3"/>
    </row>
    <row r="23" spans="2:16" x14ac:dyDescent="0.25">
      <c r="F23" s="70"/>
      <c r="O23" s="3"/>
      <c r="P23" s="3"/>
    </row>
    <row r="24" spans="2:16" x14ac:dyDescent="0.25">
      <c r="F24" s="70"/>
      <c r="O24" s="3" t="s">
        <v>184</v>
      </c>
      <c r="P24" s="3" t="s">
        <v>195</v>
      </c>
    </row>
    <row r="25" spans="2:16" ht="20.100000000000001" customHeight="1" x14ac:dyDescent="0.25">
      <c r="B25" s="221"/>
      <c r="F25" s="70"/>
      <c r="O25" s="3" t="s">
        <v>184</v>
      </c>
      <c r="P25" s="3" t="s">
        <v>193</v>
      </c>
    </row>
    <row r="26" spans="2:16" ht="20.100000000000001" customHeight="1" x14ac:dyDescent="0.25">
      <c r="B26" s="221"/>
      <c r="O26" s="3" t="s">
        <v>184</v>
      </c>
      <c r="P26" s="3" t="s">
        <v>194</v>
      </c>
    </row>
    <row r="27" spans="2:16" ht="20.100000000000001" customHeight="1" x14ac:dyDescent="0.25">
      <c r="B27" s="221"/>
      <c r="O27" s="3" t="s">
        <v>191</v>
      </c>
      <c r="P27" s="3"/>
    </row>
    <row r="28" spans="2:16" ht="20.100000000000001" customHeight="1" x14ac:dyDescent="0.25">
      <c r="B28" s="221"/>
      <c r="O28" s="3"/>
      <c r="P28" s="3"/>
    </row>
    <row r="29" spans="2:16" ht="20.100000000000001" customHeight="1" x14ac:dyDescent="0.25">
      <c r="B29" s="221"/>
      <c r="O29" s="3"/>
      <c r="P29" s="3"/>
    </row>
    <row r="47" spans="2:3" x14ac:dyDescent="0.25">
      <c r="B47" s="213"/>
      <c r="C47" s="70"/>
    </row>
    <row r="48" spans="2:3" ht="20.25" customHeight="1" x14ac:dyDescent="0.25">
      <c r="B48" s="249"/>
      <c r="C48" s="249"/>
    </row>
    <row r="61" spans="3:3" x14ac:dyDescent="0.25">
      <c r="C61" s="70"/>
    </row>
    <row r="62" spans="3:3" x14ac:dyDescent="0.25">
      <c r="C62" s="70"/>
    </row>
    <row r="63" spans="3:3" x14ac:dyDescent="0.25">
      <c r="C63" s="70"/>
    </row>
  </sheetData>
  <mergeCells count="1">
    <mergeCell ref="B48:C48"/>
  </mergeCells>
  <dataValidations count="4">
    <dataValidation type="list" allowBlank="1" showInputMessage="1" showErrorMessage="1" sqref="D20" xr:uid="{2662F789-4CCC-4029-86A3-66263CEBA2BB}">
      <formula1>"IP55,IP66"</formula1>
    </dataValidation>
    <dataValidation type="list" allowBlank="1" showInputMessage="1" showErrorMessage="1" sqref="D17" xr:uid="{3E32C01F-B62B-410C-8BBE-4862CC843818}">
      <formula1>$B$50:$B$63</formula1>
    </dataValidation>
    <dataValidation type="list" allowBlank="1" showInputMessage="1" showErrorMessage="1" sqref="D21" xr:uid="{EBB5D06E-2D4D-4876-B094-F0F53D647351}">
      <formula1>"YES,NO"</formula1>
    </dataValidation>
    <dataValidation type="list" allowBlank="1" showInputMessage="1" showErrorMessage="1" sqref="D19" xr:uid="{A434644F-5E41-4179-BD71-59E674D19908}">
      <formula1>$A$2:$A$5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36B36-44A9-4444-9191-5E943BC8309B}">
  <sheetPr>
    <tabColor theme="5" tint="0.59999389629810485"/>
  </sheetPr>
  <dimension ref="A1:P61"/>
  <sheetViews>
    <sheetView zoomScale="115" zoomScaleNormal="115" workbookViewId="0">
      <selection activeCell="A12" sqref="A12"/>
    </sheetView>
  </sheetViews>
  <sheetFormatPr defaultRowHeight="15" x14ac:dyDescent="0.25"/>
  <cols>
    <col min="1" max="1" width="30.85546875" customWidth="1"/>
    <col min="2" max="2" width="28.5703125" customWidth="1"/>
    <col min="3" max="3" width="16.85546875" customWidth="1"/>
    <col min="4" max="4" width="16.42578125" customWidth="1"/>
    <col min="5" max="5" width="15.85546875" customWidth="1"/>
    <col min="6" max="6" width="10" customWidth="1"/>
    <col min="7" max="7" width="15" bestFit="1" customWidth="1"/>
    <col min="8" max="8" width="31.85546875" customWidth="1"/>
    <col min="9" max="9" width="35.7109375" bestFit="1" customWidth="1"/>
    <col min="10" max="10" width="19.85546875" bestFit="1" customWidth="1"/>
  </cols>
  <sheetData>
    <row r="1" spans="1:16" x14ac:dyDescent="0.25">
      <c r="A1" t="s">
        <v>184</v>
      </c>
      <c r="B1" s="9"/>
      <c r="C1" s="70"/>
      <c r="D1" s="70"/>
      <c r="E1" s="70"/>
      <c r="F1" s="70"/>
    </row>
    <row r="2" spans="1:16" x14ac:dyDescent="0.25">
      <c r="A2" s="70" t="s">
        <v>340</v>
      </c>
      <c r="B2" s="70"/>
      <c r="G2" s="99"/>
    </row>
    <row r="3" spans="1:16" x14ac:dyDescent="0.25">
      <c r="A3" s="70" t="s">
        <v>185</v>
      </c>
      <c r="B3" s="70"/>
      <c r="G3" s="70"/>
    </row>
    <row r="4" spans="1:16" x14ac:dyDescent="0.25">
      <c r="A4" s="213"/>
      <c r="B4" s="70"/>
    </row>
    <row r="5" spans="1:16" x14ac:dyDescent="0.25">
      <c r="A5" s="213"/>
      <c r="B5" s="70"/>
    </row>
    <row r="6" spans="1:16" x14ac:dyDescent="0.25">
      <c r="A6" s="213"/>
      <c r="B6" s="70"/>
    </row>
    <row r="7" spans="1:16" x14ac:dyDescent="0.25">
      <c r="A7" s="213"/>
      <c r="B7" s="70"/>
    </row>
    <row r="8" spans="1:16" x14ac:dyDescent="0.25">
      <c r="A8" s="213"/>
      <c r="B8" s="70"/>
    </row>
    <row r="9" spans="1:16" x14ac:dyDescent="0.25">
      <c r="A9" s="213"/>
      <c r="B9" s="70"/>
    </row>
    <row r="10" spans="1:16" x14ac:dyDescent="0.25">
      <c r="A10" s="213"/>
      <c r="B10" s="70"/>
    </row>
    <row r="11" spans="1:16" x14ac:dyDescent="0.25">
      <c r="A11" s="213"/>
      <c r="B11" s="70"/>
    </row>
    <row r="12" spans="1:16" x14ac:dyDescent="0.25">
      <c r="A12" s="213"/>
      <c r="B12" s="70"/>
    </row>
    <row r="13" spans="1:16" x14ac:dyDescent="0.25">
      <c r="F13" s="70"/>
    </row>
    <row r="14" spans="1:16" x14ac:dyDescent="0.25">
      <c r="F14" s="70"/>
      <c r="O14" s="3" t="s">
        <v>190</v>
      </c>
      <c r="P14" s="3"/>
    </row>
    <row r="15" spans="1:16" x14ac:dyDescent="0.25">
      <c r="F15" s="70"/>
      <c r="O15" s="3" t="s">
        <v>184</v>
      </c>
      <c r="P15" s="3" t="s">
        <v>192</v>
      </c>
    </row>
    <row r="16" spans="1:16" x14ac:dyDescent="0.25">
      <c r="F16" s="70"/>
      <c r="O16" s="3"/>
      <c r="P16" s="3"/>
    </row>
    <row r="17" spans="2:16" x14ac:dyDescent="0.25">
      <c r="F17" s="70"/>
      <c r="O17" s="3"/>
      <c r="P17" s="3"/>
    </row>
    <row r="18" spans="2:16" x14ac:dyDescent="0.25">
      <c r="F18" s="70"/>
      <c r="O18" s="3"/>
      <c r="P18" s="3"/>
    </row>
    <row r="19" spans="2:16" x14ac:dyDescent="0.25">
      <c r="F19" s="70"/>
      <c r="O19" s="3"/>
      <c r="P19" s="3"/>
    </row>
    <row r="20" spans="2:16" x14ac:dyDescent="0.25">
      <c r="F20" s="70"/>
      <c r="O20" s="3"/>
      <c r="P20" s="3"/>
    </row>
    <row r="21" spans="2:16" x14ac:dyDescent="0.25">
      <c r="F21" s="70"/>
      <c r="O21" s="3"/>
      <c r="P21" s="3"/>
    </row>
    <row r="22" spans="2:16" x14ac:dyDescent="0.25">
      <c r="F22" s="70"/>
      <c r="O22" s="3" t="s">
        <v>184</v>
      </c>
      <c r="P22" s="3" t="s">
        <v>195</v>
      </c>
    </row>
    <row r="23" spans="2:16" ht="20.100000000000001" customHeight="1" x14ac:dyDescent="0.25">
      <c r="B23" s="221"/>
      <c r="F23" s="70"/>
      <c r="O23" s="3" t="s">
        <v>184</v>
      </c>
      <c r="P23" s="3" t="s">
        <v>193</v>
      </c>
    </row>
    <row r="24" spans="2:16" ht="20.100000000000001" customHeight="1" x14ac:dyDescent="0.25">
      <c r="B24" s="221"/>
      <c r="O24" s="3" t="s">
        <v>184</v>
      </c>
      <c r="P24" s="3" t="s">
        <v>194</v>
      </c>
    </row>
    <row r="25" spans="2:16" ht="20.100000000000001" customHeight="1" x14ac:dyDescent="0.25">
      <c r="B25" s="221"/>
      <c r="O25" s="3" t="s">
        <v>191</v>
      </c>
      <c r="P25" s="3"/>
    </row>
    <row r="26" spans="2:16" ht="20.100000000000001" customHeight="1" x14ac:dyDescent="0.25">
      <c r="B26" s="221"/>
      <c r="O26" s="3"/>
      <c r="P26" s="3"/>
    </row>
    <row r="27" spans="2:16" ht="20.100000000000001" customHeight="1" x14ac:dyDescent="0.25">
      <c r="B27" s="221"/>
      <c r="O27" s="3"/>
      <c r="P27" s="3"/>
    </row>
    <row r="45" spans="2:3" x14ac:dyDescent="0.25">
      <c r="B45" s="213"/>
      <c r="C45" s="70"/>
    </row>
    <row r="46" spans="2:3" ht="20.25" customHeight="1" x14ac:dyDescent="0.25">
      <c r="B46" s="249"/>
      <c r="C46" s="249"/>
    </row>
    <row r="59" spans="3:3" x14ac:dyDescent="0.25">
      <c r="C59" s="70"/>
    </row>
    <row r="60" spans="3:3" x14ac:dyDescent="0.25">
      <c r="C60" s="70"/>
    </row>
    <row r="61" spans="3:3" x14ac:dyDescent="0.25">
      <c r="C61" s="70"/>
    </row>
  </sheetData>
  <mergeCells count="1">
    <mergeCell ref="B46:C46"/>
  </mergeCells>
  <dataValidations count="4">
    <dataValidation type="list" allowBlank="1" showInputMessage="1" showErrorMessage="1" sqref="D17" xr:uid="{113FF65F-0400-4EBA-ACD7-EC669E76F3E3}">
      <formula1>$A$2:$A$3</formula1>
    </dataValidation>
    <dataValidation type="list" allowBlank="1" showInputMessage="1" showErrorMessage="1" sqref="D19" xr:uid="{041BB60D-CFD2-43F9-B31F-6F270EC87C9D}">
      <formula1>"YES,NO"</formula1>
    </dataValidation>
    <dataValidation type="list" allowBlank="1" showInputMessage="1" showErrorMessage="1" sqref="D15" xr:uid="{70ACDD40-DDC7-4A10-B63B-4A176CCF7F43}">
      <formula1>$B$48:$B$61</formula1>
    </dataValidation>
    <dataValidation type="list" allowBlank="1" showInputMessage="1" showErrorMessage="1" sqref="D18" xr:uid="{551C9396-EC43-4A77-A243-98FC0830EB5B}">
      <formula1>"IP55,IP66"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494FB-1DCC-49F7-8943-A310190A241C}">
  <sheetPr>
    <tabColor rgb="FF00B050"/>
  </sheetPr>
  <dimension ref="A1:AK50"/>
  <sheetViews>
    <sheetView topLeftCell="A3" zoomScaleNormal="100" workbookViewId="0">
      <selection activeCell="C19" sqref="C19:D19"/>
    </sheetView>
  </sheetViews>
  <sheetFormatPr defaultRowHeight="15" x14ac:dyDescent="0.25"/>
  <cols>
    <col min="1" max="1" width="19.85546875" bestFit="1" customWidth="1"/>
    <col min="2" max="2" width="19.85546875" style="70" bestFit="1" customWidth="1"/>
    <col min="3" max="3" width="21" style="70" customWidth="1"/>
    <col min="4" max="7" width="13.7109375" style="70" customWidth="1"/>
    <col min="8" max="12" width="13.7109375" customWidth="1"/>
    <col min="15" max="15" width="11.7109375" bestFit="1" customWidth="1"/>
  </cols>
  <sheetData>
    <row r="1" spans="1:37" ht="15.75" thickBot="1" x14ac:dyDescent="0.3">
      <c r="B1" s="211"/>
      <c r="C1" s="267" t="s">
        <v>135</v>
      </c>
      <c r="D1" s="268"/>
      <c r="E1" s="267" t="s">
        <v>136</v>
      </c>
      <c r="F1" s="268"/>
      <c r="G1" s="267" t="s">
        <v>137</v>
      </c>
      <c r="H1" s="272"/>
      <c r="I1" s="267" t="s">
        <v>138</v>
      </c>
      <c r="J1" s="268"/>
      <c r="K1" s="267" t="s">
        <v>139</v>
      </c>
      <c r="L1" s="268"/>
      <c r="M1" s="70"/>
      <c r="N1" s="70"/>
      <c r="O1" s="70"/>
    </row>
    <row r="2" spans="1:37" x14ac:dyDescent="0.25">
      <c r="B2" s="269" t="s">
        <v>243</v>
      </c>
      <c r="C2" s="270"/>
      <c r="D2" s="270"/>
      <c r="E2" s="270"/>
      <c r="F2" s="270"/>
      <c r="G2" s="270"/>
      <c r="H2" s="270"/>
      <c r="I2" s="270"/>
      <c r="J2" s="270"/>
      <c r="K2" s="270"/>
      <c r="L2" s="271"/>
      <c r="P2" s="249"/>
      <c r="Q2" s="249"/>
      <c r="R2" s="249"/>
      <c r="S2" s="249"/>
      <c r="T2" s="249"/>
      <c r="U2" s="249"/>
      <c r="V2" s="249"/>
      <c r="W2" s="249"/>
      <c r="X2" s="249"/>
      <c r="Y2" s="249"/>
      <c r="Z2" s="249"/>
      <c r="AA2" s="249"/>
      <c r="AB2" s="249"/>
      <c r="AC2" s="249"/>
      <c r="AD2" s="249"/>
      <c r="AE2" s="249"/>
      <c r="AF2" s="249"/>
      <c r="AG2" s="249"/>
      <c r="AH2" s="249"/>
      <c r="AI2" s="249"/>
      <c r="AJ2" s="249"/>
      <c r="AK2" s="249"/>
    </row>
    <row r="3" spans="1:37" ht="36.75" customHeight="1" x14ac:dyDescent="0.25">
      <c r="A3" t="s">
        <v>242</v>
      </c>
      <c r="B3" s="205"/>
      <c r="C3" s="256" t="str">
        <f>VLOOKUP(Input!$D$3,'Main Mixing Purpose List'!$A$2:$F$14,2,FALSE)</f>
        <v>Downstream - Product hold, Non shear sensitive</v>
      </c>
      <c r="D3" s="257"/>
      <c r="E3" s="256" t="str">
        <f>VLOOKUP(Input!$D$3,'Main Mixing Purpose List'!$A$2:$F$14,2,FALSE)</f>
        <v>Downstream - Product hold, Non shear sensitive</v>
      </c>
      <c r="F3" s="257"/>
      <c r="G3" s="256" t="str">
        <f>VLOOKUP(Input!$D$3,'Main Mixing Purpose List'!$A$2:$F$14,2,FALSE)</f>
        <v>Downstream - Product hold, Non shear sensitive</v>
      </c>
      <c r="H3" s="264"/>
      <c r="I3" s="256" t="str">
        <f>VLOOKUP(Input!$D$3,'Main Mixing Purpose List'!$A$2:$F$14,2,FALSE)</f>
        <v>Downstream - Product hold, Non shear sensitive</v>
      </c>
      <c r="J3" s="257"/>
      <c r="K3" s="256" t="str">
        <f>VLOOKUP(Input!$D$3,'Main Mixing Purpose List'!$A$2:$F$14,2,FALSE)</f>
        <v>Downstream - Product hold, Non shear sensitive</v>
      </c>
      <c r="L3" s="257"/>
      <c r="P3" s="249"/>
      <c r="Q3" s="249"/>
      <c r="R3" s="249"/>
      <c r="S3" s="249"/>
      <c r="T3" s="249"/>
      <c r="U3" s="249"/>
      <c r="V3" s="249"/>
      <c r="W3" s="249"/>
      <c r="X3" s="249"/>
      <c r="Y3" s="249"/>
      <c r="Z3" s="249"/>
      <c r="AA3" s="249"/>
      <c r="AB3" s="249"/>
      <c r="AC3" s="249"/>
      <c r="AD3" s="249"/>
      <c r="AE3" s="249"/>
      <c r="AF3" s="249"/>
      <c r="AG3" s="249"/>
      <c r="AH3" s="249"/>
      <c r="AI3" s="249"/>
      <c r="AJ3" s="249"/>
      <c r="AK3" s="249"/>
    </row>
    <row r="4" spans="1:37" x14ac:dyDescent="0.25">
      <c r="B4" s="205" t="s">
        <v>241</v>
      </c>
      <c r="C4" s="256" t="str">
        <f>IF(Input!$D$4=0,"",Input!$D$4)</f>
        <v/>
      </c>
      <c r="D4" s="257"/>
      <c r="E4" s="256" t="str">
        <f>IF(Input!$D$4=0,"",Input!$D$4)</f>
        <v/>
      </c>
      <c r="F4" s="257"/>
      <c r="G4" s="256" t="str">
        <f>IF(Input!$D$4=0,"",Input!$D$4)</f>
        <v/>
      </c>
      <c r="H4" s="264"/>
      <c r="I4" s="256" t="str">
        <f>IF(Input!$D$4=0,"",Input!$D$4)</f>
        <v/>
      </c>
      <c r="J4" s="257"/>
      <c r="K4" s="256" t="str">
        <f>IF(Input!$D$4=0,"",Input!$D$4)</f>
        <v/>
      </c>
      <c r="L4" s="257"/>
    </row>
    <row r="5" spans="1:37" x14ac:dyDescent="0.25">
      <c r="B5" s="205" t="s">
        <v>240</v>
      </c>
      <c r="C5" s="256" t="str">
        <f>IF(Input!$D$6=0,"",Input!$D$6)</f>
        <v/>
      </c>
      <c r="D5" s="257"/>
      <c r="E5" s="256" t="str">
        <f>IF(Input!$D$6=0,"",Input!$D$6)</f>
        <v/>
      </c>
      <c r="F5" s="257"/>
      <c r="G5" s="256" t="str">
        <f>IF(Input!$D$6=0,"",Input!$D$6)</f>
        <v/>
      </c>
      <c r="H5" s="264"/>
      <c r="I5" s="256" t="str">
        <f>IF(Input!$D$6=0,"",Input!$D$6)</f>
        <v/>
      </c>
      <c r="J5" s="257"/>
      <c r="K5" s="256" t="str">
        <f>IF(Input!$D$6=0,"",Input!$D$6)</f>
        <v/>
      </c>
      <c r="L5" s="257"/>
    </row>
    <row r="6" spans="1:37" x14ac:dyDescent="0.25">
      <c r="A6" t="s">
        <v>239</v>
      </c>
      <c r="B6" s="205"/>
      <c r="C6" s="256" t="str">
        <f>IF(Input!$D$5=0,"",Input!$D$5)</f>
        <v/>
      </c>
      <c r="D6" s="257"/>
      <c r="E6" s="256" t="str">
        <f>IF(Input!$D$5=0,"",Input!$D$5)</f>
        <v/>
      </c>
      <c r="F6" s="257"/>
      <c r="G6" s="256" t="str">
        <f>IF(Input!$D$5=0,"",Input!$D$5)</f>
        <v/>
      </c>
      <c r="H6" s="264"/>
      <c r="I6" s="256" t="str">
        <f>IF(Input!$D$5=0,"",Input!$D$5)</f>
        <v/>
      </c>
      <c r="J6" s="257"/>
      <c r="K6" s="256" t="str">
        <f>IF(Input!$D$5=0,"",Input!$D$5)</f>
        <v/>
      </c>
      <c r="L6" s="257"/>
    </row>
    <row r="7" spans="1:37" ht="21.75" customHeight="1" x14ac:dyDescent="0.25">
      <c r="B7" s="260" t="s">
        <v>133</v>
      </c>
      <c r="C7" s="261"/>
      <c r="D7" s="261"/>
      <c r="E7" s="261"/>
      <c r="F7" s="261"/>
      <c r="G7" s="261"/>
      <c r="H7" s="261"/>
      <c r="I7" s="261"/>
      <c r="J7" s="261"/>
      <c r="K7" s="261"/>
      <c r="L7" s="262"/>
    </row>
    <row r="8" spans="1:37" x14ac:dyDescent="0.25">
      <c r="B8" s="205" t="s">
        <v>238</v>
      </c>
      <c r="C8" s="256" t="str">
        <f>Input!$D$7</f>
        <v>Yes</v>
      </c>
      <c r="D8" s="257"/>
      <c r="E8" s="256" t="str">
        <f>Input!$D$7</f>
        <v>Yes</v>
      </c>
      <c r="F8" s="257"/>
      <c r="G8" s="256" t="str">
        <f>Input!$D$7</f>
        <v>Yes</v>
      </c>
      <c r="H8" s="264"/>
      <c r="I8" s="256" t="str">
        <f>Input!$D$7</f>
        <v>Yes</v>
      </c>
      <c r="J8" s="257"/>
      <c r="K8" s="256" t="str">
        <f>Input!$D$7</f>
        <v>Yes</v>
      </c>
      <c r="L8" s="257"/>
    </row>
    <row r="9" spans="1:37" x14ac:dyDescent="0.25">
      <c r="B9" s="205" t="s">
        <v>237</v>
      </c>
      <c r="C9" s="256" t="str">
        <f>Input!$D$8</f>
        <v>No</v>
      </c>
      <c r="D9" s="257"/>
      <c r="E9" s="256" t="str">
        <f>Input!$D$8</f>
        <v>No</v>
      </c>
      <c r="F9" s="257"/>
      <c r="G9" s="256" t="str">
        <f>Input!$D$8</f>
        <v>No</v>
      </c>
      <c r="H9" s="264"/>
      <c r="I9" s="256" t="str">
        <f>Input!$D$8</f>
        <v>No</v>
      </c>
      <c r="J9" s="257"/>
      <c r="K9" s="256" t="str">
        <f>Input!$D$8</f>
        <v>No</v>
      </c>
      <c r="L9" s="257"/>
    </row>
    <row r="10" spans="1:37" x14ac:dyDescent="0.25">
      <c r="B10" s="205" t="s">
        <v>1</v>
      </c>
      <c r="C10" s="256" t="str">
        <f>CONCATENATE(Input!$D$9," mm")</f>
        <v>1003 mm</v>
      </c>
      <c r="D10" s="257"/>
      <c r="E10" s="256" t="str">
        <f>CONCATENATE(Input!$D$9," mm")</f>
        <v>1003 mm</v>
      </c>
      <c r="F10" s="257"/>
      <c r="G10" s="256" t="str">
        <f>CONCATENATE(Input!$D$9," mm")</f>
        <v>1003 mm</v>
      </c>
      <c r="H10" s="264"/>
      <c r="I10" s="256" t="str">
        <f>CONCATENATE(Input!$D$9," mm")</f>
        <v>1003 mm</v>
      </c>
      <c r="J10" s="257"/>
      <c r="K10" s="256" t="str">
        <f>CONCATENATE(Input!$D$9," mm")</f>
        <v>1003 mm</v>
      </c>
      <c r="L10" s="257"/>
    </row>
    <row r="11" spans="1:37" x14ac:dyDescent="0.25">
      <c r="B11" s="205" t="s">
        <v>236</v>
      </c>
      <c r="C11" s="256" t="str">
        <f>'Vessel dimension - DIN 28011'!$B$7</f>
        <v>134mm - 223mm</v>
      </c>
      <c r="D11" s="257"/>
      <c r="E11" s="256" t="str">
        <f>'Vessel dimension - DIN 28011'!$B$7</f>
        <v>134mm - 223mm</v>
      </c>
      <c r="F11" s="257"/>
      <c r="G11" s="256" t="str">
        <f>'Vessel dimension - DIN 28011'!$B$7</f>
        <v>134mm - 223mm</v>
      </c>
      <c r="H11" s="264"/>
      <c r="I11" s="256" t="str">
        <f>'Vessel dimension - DIN 28011'!$B$7</f>
        <v>134mm - 223mm</v>
      </c>
      <c r="J11" s="257"/>
      <c r="K11" s="256" t="str">
        <f>'Vessel dimension - DIN 28011'!$B$7</f>
        <v>134mm - 223mm</v>
      </c>
      <c r="L11" s="257"/>
    </row>
    <row r="12" spans="1:37" x14ac:dyDescent="0.25">
      <c r="B12" s="205" t="s">
        <v>21</v>
      </c>
      <c r="C12" s="256" t="str">
        <f>CONCATENATE(Input!$D$10," mm")</f>
        <v>5 mm</v>
      </c>
      <c r="D12" s="257"/>
      <c r="E12" s="256" t="str">
        <f>CONCATENATE(Input!$D$10," mm")</f>
        <v>5 mm</v>
      </c>
      <c r="F12" s="257"/>
      <c r="G12" s="256" t="str">
        <f>CONCATENATE(Input!$D$10," mm")</f>
        <v>5 mm</v>
      </c>
      <c r="H12" s="264"/>
      <c r="I12" s="256" t="str">
        <f>CONCATENATE(Input!$D$10," mm")</f>
        <v>5 mm</v>
      </c>
      <c r="J12" s="257"/>
      <c r="K12" s="256" t="str">
        <f>CONCATENATE(Input!$D$10," mm")</f>
        <v>5 mm</v>
      </c>
      <c r="L12" s="257"/>
    </row>
    <row r="13" spans="1:37" ht="30" x14ac:dyDescent="0.25">
      <c r="B13" s="205" t="s">
        <v>204</v>
      </c>
      <c r="C13" s="256" t="str">
        <f>CONCATENATE('Vessel dimension - DIN 28011'!$B$28," kg")</f>
        <v>400 kg</v>
      </c>
      <c r="D13" s="257"/>
      <c r="E13" s="256" t="str">
        <f>CONCATENATE('Vessel dimension - DIN 28011'!$B$28," kg")</f>
        <v>400 kg</v>
      </c>
      <c r="F13" s="257"/>
      <c r="G13" s="256" t="str">
        <f>CONCATENATE('Vessel dimension - DIN 28011'!$B$28," kg")</f>
        <v>400 kg</v>
      </c>
      <c r="H13" s="264"/>
      <c r="I13" s="256" t="str">
        <f>CONCATENATE('Vessel dimension - DIN 28011'!$B$28," kg")</f>
        <v>400 kg</v>
      </c>
      <c r="J13" s="257"/>
      <c r="K13" s="256" t="str">
        <f>CONCATENATE('Vessel dimension - DIN 28011'!$B$28," kg")</f>
        <v>400 kg</v>
      </c>
      <c r="L13" s="257"/>
      <c r="O13" s="219"/>
      <c r="P13" s="220"/>
    </row>
    <row r="14" spans="1:37" ht="23.25" x14ac:dyDescent="0.25">
      <c r="B14" s="205" t="s">
        <v>235</v>
      </c>
      <c r="C14" s="256" t="str">
        <f>IF(Input!$D$24="Metric",CONCATENATE(Input!$D$11," L"),CONCATENATE(Input!$D$11*0.264172," gal"))</f>
        <v>528,344 gal</v>
      </c>
      <c r="D14" s="257"/>
      <c r="E14" s="256" t="str">
        <f>CONCATENATE(Input!$D$11," L")</f>
        <v>2000 L</v>
      </c>
      <c r="F14" s="257"/>
      <c r="G14" s="256" t="str">
        <f>CONCATENATE(Input!$D$11," L")</f>
        <v>2000 L</v>
      </c>
      <c r="H14" s="264"/>
      <c r="I14" s="256" t="str">
        <f>CONCATENATE(Input!$D$11," L")</f>
        <v>2000 L</v>
      </c>
      <c r="J14" s="257"/>
      <c r="K14" s="256" t="str">
        <f>CONCATENATE(Input!$D$11," L")</f>
        <v>2000 L</v>
      </c>
      <c r="L14" s="257"/>
      <c r="O14" s="219"/>
      <c r="P14" s="220"/>
    </row>
    <row r="15" spans="1:37" ht="23.25" x14ac:dyDescent="0.25">
      <c r="B15" s="205" t="s">
        <v>2</v>
      </c>
      <c r="C15" s="256" t="str">
        <f>CONCATENATE(Input!$D$12," L")</f>
        <v>10000 L</v>
      </c>
      <c r="D15" s="257"/>
      <c r="E15" s="256" t="str">
        <f>CONCATENATE(Input!$D$12," L")</f>
        <v>10000 L</v>
      </c>
      <c r="F15" s="257"/>
      <c r="G15" s="256" t="str">
        <f>CONCATENATE(Input!$D$12," L")</f>
        <v>10000 L</v>
      </c>
      <c r="H15" s="264"/>
      <c r="I15" s="256" t="str">
        <f>CONCATENATE(Input!$D$12," L")</f>
        <v>10000 L</v>
      </c>
      <c r="J15" s="257"/>
      <c r="K15" s="256" t="str">
        <f>CONCATENATE(Input!$D$12," L")</f>
        <v>10000 L</v>
      </c>
      <c r="L15" s="257"/>
      <c r="O15" s="219"/>
      <c r="P15" s="220"/>
    </row>
    <row r="16" spans="1:37" ht="30" x14ac:dyDescent="0.25">
      <c r="B16" s="205" t="s">
        <v>234</v>
      </c>
      <c r="C16" s="256" t="s">
        <v>216</v>
      </c>
      <c r="D16" s="257"/>
      <c r="E16" s="256" t="s">
        <v>216</v>
      </c>
      <c r="F16" s="257"/>
      <c r="G16" s="256" t="s">
        <v>216</v>
      </c>
      <c r="H16" s="264"/>
      <c r="I16" s="256" t="s">
        <v>216</v>
      </c>
      <c r="J16" s="257"/>
      <c r="K16" s="256" t="s">
        <v>216</v>
      </c>
      <c r="L16" s="257"/>
    </row>
    <row r="17" spans="2:12" ht="30" customHeight="1" x14ac:dyDescent="0.25">
      <c r="B17" s="205" t="s">
        <v>233</v>
      </c>
      <c r="C17" s="256">
        <f>ROUND('Vessel dimension - DIN 28011'!$B$12,2)</f>
        <v>12.68</v>
      </c>
      <c r="D17" s="257"/>
      <c r="E17" s="256">
        <f>ROUND('Vessel dimension - DIN 28011'!$B$12,2)</f>
        <v>12.68</v>
      </c>
      <c r="F17" s="257"/>
      <c r="G17" s="256">
        <f>ROUND('Vessel dimension - DIN 28011'!$B$12,2)</f>
        <v>12.68</v>
      </c>
      <c r="H17" s="264"/>
      <c r="I17" s="256">
        <f>ROUND('Vessel dimension - DIN 28011'!$B$12,2)</f>
        <v>12.68</v>
      </c>
      <c r="J17" s="257"/>
      <c r="K17" s="256">
        <f>ROUND('Vessel dimension - DIN 28011'!$B$12,2)</f>
        <v>12.68</v>
      </c>
      <c r="L17" s="257"/>
    </row>
    <row r="18" spans="2:12" ht="23.25" customHeight="1" x14ac:dyDescent="0.25">
      <c r="B18" s="260" t="s">
        <v>232</v>
      </c>
      <c r="C18" s="261"/>
      <c r="D18" s="261"/>
      <c r="E18" s="261"/>
      <c r="F18" s="261"/>
      <c r="G18" s="261"/>
      <c r="H18" s="261"/>
      <c r="I18" s="261"/>
      <c r="J18" s="261"/>
      <c r="K18" s="261"/>
      <c r="L18" s="262"/>
    </row>
    <row r="19" spans="2:12" x14ac:dyDescent="0.25">
      <c r="B19" s="205" t="s">
        <v>231</v>
      </c>
      <c r="C19" s="256" t="str">
        <f>VLOOKUP(Input!$D$3,'Main Mixing Purpose List'!$A$2:$F$14,5,FALSE)</f>
        <v>General</v>
      </c>
      <c r="D19" s="257"/>
      <c r="E19" s="265" t="str">
        <f>VLOOKUP(Input!$D$3,'Main Mixing Purpose List'!$A$2:$F$14,5,FALSE)</f>
        <v>General</v>
      </c>
      <c r="F19" s="266"/>
      <c r="G19" s="265" t="str">
        <f>VLOOKUP(Input!$D$3,'Main Mixing Purpose List'!$A$2:$F$14,5,FALSE)</f>
        <v>General</v>
      </c>
      <c r="H19" s="266"/>
      <c r="I19" s="265" t="str">
        <f>VLOOKUP(Input!$D$3,'Main Mixing Purpose List'!$A$2:$F$14,5,FALSE)</f>
        <v>General</v>
      </c>
      <c r="J19" s="266"/>
      <c r="K19" s="265" t="str">
        <f>VLOOKUP(Input!$D$3,'Main Mixing Purpose List'!$A$2:$F$14,5,FALSE)</f>
        <v>General</v>
      </c>
      <c r="L19" s="266"/>
    </row>
    <row r="20" spans="2:12" x14ac:dyDescent="0.25">
      <c r="B20" s="205" t="s">
        <v>4</v>
      </c>
      <c r="C20" s="256" t="str">
        <f>CONCATENATE(Input!$D$14," kg/m3")</f>
        <v>1001 kg/m3</v>
      </c>
      <c r="D20" s="257"/>
      <c r="E20" s="265" t="str">
        <f>CONCATENATE(Input!$D$14," kg/m3")</f>
        <v>1001 kg/m3</v>
      </c>
      <c r="F20" s="266"/>
      <c r="G20" s="265" t="str">
        <f>CONCATENATE(Input!$D$14," kg/m3")</f>
        <v>1001 kg/m3</v>
      </c>
      <c r="H20" s="266"/>
      <c r="I20" s="265" t="str">
        <f>CONCATENATE(Input!$D$14," kg/m3")</f>
        <v>1001 kg/m3</v>
      </c>
      <c r="J20" s="266"/>
      <c r="K20" s="265" t="str">
        <f>CONCATENATE(Input!$D$14," kg/m3")</f>
        <v>1001 kg/m3</v>
      </c>
      <c r="L20" s="266"/>
    </row>
    <row r="21" spans="2:12" x14ac:dyDescent="0.25">
      <c r="B21" s="205" t="s">
        <v>3</v>
      </c>
      <c r="C21" s="256" t="str">
        <f>CONCATENATE(Input!$D$15," cP")</f>
        <v>1 cP</v>
      </c>
      <c r="D21" s="257"/>
      <c r="E21" s="265" t="str">
        <f>CONCATENATE(Input!$D$15," cP")</f>
        <v>1 cP</v>
      </c>
      <c r="F21" s="266"/>
      <c r="G21" s="265" t="str">
        <f>CONCATENATE(Input!$D$15," cP")</f>
        <v>1 cP</v>
      </c>
      <c r="H21" s="266"/>
      <c r="I21" s="265" t="str">
        <f>CONCATENATE(Input!$D$15," cP")</f>
        <v>1 cP</v>
      </c>
      <c r="J21" s="266"/>
      <c r="K21" s="265" t="str">
        <f>CONCATENATE(Input!$D$15," cP")</f>
        <v>1 cP</v>
      </c>
      <c r="L21" s="266"/>
    </row>
    <row r="22" spans="2:12" x14ac:dyDescent="0.25">
      <c r="B22" s="207" t="s">
        <v>230</v>
      </c>
      <c r="C22" s="265" t="str">
        <f>ZG!$B$44</f>
        <v>ZG9</v>
      </c>
      <c r="D22" s="266"/>
      <c r="E22" s="265" t="s">
        <v>216</v>
      </c>
      <c r="F22" s="266"/>
      <c r="G22" s="265" t="s">
        <v>216</v>
      </c>
      <c r="H22" s="266"/>
      <c r="I22" s="265" t="s">
        <v>216</v>
      </c>
      <c r="J22" s="266"/>
      <c r="K22" s="265" t="s">
        <v>216</v>
      </c>
      <c r="L22" s="266"/>
    </row>
    <row r="23" spans="2:12" ht="30" x14ac:dyDescent="0.25">
      <c r="B23" s="205" t="s">
        <v>229</v>
      </c>
      <c r="C23" s="186" t="str">
        <f>CONCATENATE(ZG!$X$49," (max speed)")</f>
        <v>243 (max speed)</v>
      </c>
      <c r="D23" s="206" t="str">
        <f>CONCATENATE(ROUNDDOWN(ZG!$X$53,0)," (50% max speed)")</f>
        <v>145 (50% max speed)</v>
      </c>
      <c r="E23" s="186" t="s">
        <v>228</v>
      </c>
      <c r="F23" s="206" t="s">
        <v>227</v>
      </c>
      <c r="G23" s="186" t="s">
        <v>228</v>
      </c>
      <c r="H23" s="206" t="s">
        <v>227</v>
      </c>
      <c r="I23" s="186" t="s">
        <v>228</v>
      </c>
      <c r="J23" s="206" t="s">
        <v>227</v>
      </c>
      <c r="K23" s="186" t="s">
        <v>228</v>
      </c>
      <c r="L23" s="206" t="s">
        <v>227</v>
      </c>
    </row>
    <row r="24" spans="2:12" x14ac:dyDescent="0.25">
      <c r="B24" s="205" t="s">
        <v>226</v>
      </c>
      <c r="C24" s="186" t="str">
        <f>IF(Input!$D$24="Metric",CONCATENATE(ROUND(ZG!$X$50,3)," W/L"),CONCATENATE(ROUND(ZG!$Z$50,3)," W/gal"))</f>
        <v>0,409 W/gal</v>
      </c>
      <c r="D24" s="206" t="str">
        <f>IF(Input!$D$24="Metric",CONCATENATE(ROUND(ZG!$X$54,3)," W/L"),CONCATENATE(ROUND(ZG!$Z$54,3)," W/gal"))</f>
        <v>0,087 W/gal</v>
      </c>
      <c r="E24" s="186" t="s">
        <v>216</v>
      </c>
      <c r="F24" s="206" t="s">
        <v>216</v>
      </c>
      <c r="G24" s="186" t="s">
        <v>216</v>
      </c>
      <c r="H24" s="206" t="s">
        <v>216</v>
      </c>
      <c r="I24" s="186" t="s">
        <v>216</v>
      </c>
      <c r="J24" s="206" t="s">
        <v>216</v>
      </c>
      <c r="K24" s="186" t="s">
        <v>216</v>
      </c>
      <c r="L24" s="206" t="s">
        <v>216</v>
      </c>
    </row>
    <row r="25" spans="2:12" x14ac:dyDescent="0.25">
      <c r="B25" s="205" t="s">
        <v>15</v>
      </c>
      <c r="C25" s="186" t="str">
        <f>CONCATENATE(ROUND(ZG!$X$51,3)," m/s")</f>
        <v>3,815 m/s</v>
      </c>
      <c r="D25" s="206" t="str">
        <f>CONCATENATE(ROUND(ZG!$X$55,3)," m/s")</f>
        <v>2,277 m/s</v>
      </c>
      <c r="E25" s="186" t="s">
        <v>216</v>
      </c>
      <c r="F25" s="206" t="s">
        <v>216</v>
      </c>
      <c r="G25" s="186" t="s">
        <v>216</v>
      </c>
      <c r="H25" s="206" t="s">
        <v>216</v>
      </c>
      <c r="I25" s="186" t="s">
        <v>216</v>
      </c>
      <c r="J25" s="206" t="s">
        <v>216</v>
      </c>
      <c r="K25" s="186" t="s">
        <v>216</v>
      </c>
      <c r="L25" s="206" t="s">
        <v>216</v>
      </c>
    </row>
    <row r="26" spans="2:12" x14ac:dyDescent="0.25">
      <c r="B26" s="260" t="s">
        <v>225</v>
      </c>
      <c r="C26" s="261"/>
      <c r="D26" s="261"/>
      <c r="E26" s="261"/>
      <c r="F26" s="261"/>
      <c r="G26" s="261"/>
      <c r="H26" s="261"/>
      <c r="I26" s="261"/>
      <c r="J26" s="261"/>
      <c r="K26" s="261"/>
      <c r="L26" s="262"/>
    </row>
    <row r="27" spans="2:12" x14ac:dyDescent="0.25">
      <c r="B27" s="205" t="s">
        <v>224</v>
      </c>
      <c r="C27" s="256" t="str">
        <f>IF(Input!$D$27=0,ZG!$B$44,Input!$D$27)</f>
        <v>ZG9</v>
      </c>
      <c r="D27" s="257"/>
      <c r="E27" s="256" t="str">
        <f>IF(Input!$D$28=0,ZGP!$B$44,Input!$D$28)</f>
        <v>ZGP5</v>
      </c>
      <c r="F27" s="257"/>
      <c r="G27" s="256" t="str">
        <f>IF(Input!$D$29=0,HP!$B$44,Input!$D$29)</f>
        <v>HP5</v>
      </c>
      <c r="H27" s="264"/>
      <c r="I27" s="256" t="str">
        <f>IF(Input!$D$30=0,HS!$B$44,Input!$D$30)</f>
        <v>HS5</v>
      </c>
      <c r="J27" s="257"/>
      <c r="K27" s="256" t="str">
        <f>IF(Input!$D$31=0,ZF!$B$44,Input!$D$31)</f>
        <v>ZF100</v>
      </c>
      <c r="L27" s="257"/>
    </row>
    <row r="28" spans="2:12" x14ac:dyDescent="0.25">
      <c r="B28" s="205" t="s">
        <v>223</v>
      </c>
      <c r="C28" s="256" t="str">
        <f>IF(Input!$D$24="Metric",CONCATENATE(VLOOKUP(C$27,ZG!$B$48:$M$69,3,FALSE)," mm"),CONCATENATE(ROUND(VLOOKUP(C$27,ZG!$B$48:$M$69,3,FALSE)/25.4,2)," in"))</f>
        <v>11,81 in</v>
      </c>
      <c r="D28" s="257"/>
      <c r="E28" s="256" t="str">
        <f>IF(Input!$D$24="Metric",CONCATENATE(VLOOKUP($E$27,ZGP!$B$48:$N$55,3,FALSE)," mm"),CONCATENATE(ROUND(VLOOKUP($E$27,ZGP!$B$48:$N$55,3,FALSE)/25.4,2)," in"))</f>
        <v>5,91 in</v>
      </c>
      <c r="F28" s="257"/>
      <c r="G28" s="256" t="str">
        <f>IF(Input!$D$24="Metric",CONCATENATE(VLOOKUP($G$27,HP!$B$48:$N$53,3,FALSE)," mm"),CONCATENATE(ROUND(VLOOKUP($G$27,HP!$B$48:$N$53,3,FALSE)/25.4,2)," in"))</f>
        <v>4,06 in</v>
      </c>
      <c r="H28" s="264"/>
      <c r="I28" s="256" t="str">
        <f>IF(Input!$D$24="Metric",CONCATENATE(VLOOKUP($I$27,HS!$B$48:$N$53,3,FALSE)," mm"),CONCATENATE(ROUND(VLOOKUP($I$27,HS!$B$48:$N$53,3,FALSE)/25.4,2)," in"))</f>
        <v>4,13 in</v>
      </c>
      <c r="J28" s="257"/>
      <c r="K28" s="256" t="str">
        <f>IF(Input!$D$24="Metric",CONCATENATE(VLOOKUP($K$27,ZF!$B$48:$N$51,3,FALSE)," mm"),CONCATENATE(ROUND(VLOOKUP($K$27,ZF!$B$48:$N$51,3,FALSE)/25.4,2)," in"))</f>
        <v>5,51 in</v>
      </c>
      <c r="L28" s="257"/>
    </row>
    <row r="29" spans="2:12" ht="30" x14ac:dyDescent="0.25">
      <c r="B29" s="205" t="s">
        <v>222</v>
      </c>
      <c r="C29" s="256" t="str">
        <f>CONCATENATE(VLOOKUP(C$27,ZG!$B$48:$M$69,2,FALSE)," rpm")</f>
        <v>245 rpm</v>
      </c>
      <c r="D29" s="257"/>
      <c r="E29" s="256" t="str">
        <f>CONCATENATE(VLOOKUP(E$27,ZGP!$B$48:$N$55,2,FALSE)," rpm")</f>
        <v>490 rpm</v>
      </c>
      <c r="F29" s="257"/>
      <c r="G29" s="256" t="str">
        <f>CONCATENATE(VLOOKUP($G$27,HP!$B$48:$N$53,2,FALSE)," rpm")</f>
        <v>1700 rpm</v>
      </c>
      <c r="H29" s="264"/>
      <c r="I29" s="256" t="str">
        <f>CONCATENATE(VLOOKUP($I$27,HS!$B$48:$N$53,2,FALSE)," rpm")</f>
        <v>3900 rpm</v>
      </c>
      <c r="J29" s="257"/>
      <c r="K29" s="256" t="str">
        <f>CONCATENATE(VLOOKUP($K$27,ZF!$B$48:$N$51,2,FALSE)," rpm")</f>
        <v>350 rpm</v>
      </c>
      <c r="L29" s="257"/>
    </row>
    <row r="30" spans="2:12" ht="30" x14ac:dyDescent="0.25">
      <c r="B30" s="205" t="s">
        <v>221</v>
      </c>
      <c r="C30" s="256" t="s">
        <v>216</v>
      </c>
      <c r="D30" s="257"/>
      <c r="E30" s="256" t="s">
        <v>216</v>
      </c>
      <c r="F30" s="257"/>
      <c r="G30" s="256" t="s">
        <v>216</v>
      </c>
      <c r="H30" s="264"/>
      <c r="I30" s="256" t="s">
        <v>216</v>
      </c>
      <c r="J30" s="257"/>
      <c r="K30" s="256" t="s">
        <v>216</v>
      </c>
      <c r="L30" s="257"/>
    </row>
    <row r="31" spans="2:12" x14ac:dyDescent="0.25">
      <c r="B31" s="205" t="s">
        <v>214</v>
      </c>
      <c r="C31" s="256" t="str">
        <f>VLOOKUP(Input!$D$17,'SS Material List'!$A$2:$B$15,2,FALSE)</f>
        <v>EN 1.4435 / 316L</v>
      </c>
      <c r="D31" s="257"/>
      <c r="E31" s="256" t="str">
        <f>VLOOKUP(Input!$D$17,'SS Material List'!$A$2:$B$15,2,FALSE)</f>
        <v>EN 1.4435 / 316L</v>
      </c>
      <c r="F31" s="257"/>
      <c r="G31" s="256" t="str">
        <f>VLOOKUP(Input!$D$17,'SS Material List'!$A$2:$B$15,2,FALSE)</f>
        <v>EN 1.4435 / 316L</v>
      </c>
      <c r="H31" s="264"/>
      <c r="I31" s="256" t="str">
        <f>VLOOKUP(Input!$D$17,'SS Material List'!$A$2:$B$15,2,FALSE)</f>
        <v>EN 1.4435 / 316L</v>
      </c>
      <c r="J31" s="257"/>
      <c r="K31" s="256" t="str">
        <f>VLOOKUP(Input!$D$17,'SS Material List'!$A$2:$B$15,2,FALSE)</f>
        <v>EN 1.4435 / 316L</v>
      </c>
      <c r="L31" s="257"/>
    </row>
    <row r="32" spans="2:12" ht="45" customHeight="1" x14ac:dyDescent="0.25">
      <c r="B32" s="205" t="s">
        <v>220</v>
      </c>
      <c r="C32" s="256" t="str">
        <f>IF(Input!$D$24="Metric","Ra &lt;= 0,38μm, EP, on SS Components inside vessel","Ra &lt;= 15μin, EP, on SS Components inside vessel")</f>
        <v>Ra &lt;= 15μin, EP, on SS Components inside vessel</v>
      </c>
      <c r="D32" s="257"/>
      <c r="E32" s="256" t="s">
        <v>216</v>
      </c>
      <c r="F32" s="257"/>
      <c r="G32" s="256" t="str">
        <f>IF(Input!$D$24="Metric","Ra &lt;= 0,38μm, EP, on SS Components inside vessel","Ra &lt;= 15μin, EP, on SS Components inside vessel")</f>
        <v>Ra &lt;= 15μin, EP, on SS Components inside vessel</v>
      </c>
      <c r="H32" s="264"/>
      <c r="I32" s="256" t="str">
        <f>IF(Input!$D$24="Metric","Ra &lt;= 0,38μm, EP, on SS Components inside vessel","Ra &lt;= 15μin, EP, on SS Components inside vessel")</f>
        <v>Ra &lt;= 15μin, EP, on SS Components inside vessel</v>
      </c>
      <c r="J32" s="257"/>
      <c r="K32" s="256" t="str">
        <f>IF(Input!$D$24="Metric","Ra &lt;= 0,38μm, EP, on SS Components inside vessel","Ra &lt;= 15μin, EP, on SS Components inside vessel")</f>
        <v>Ra &lt;= 15μin, EP, on SS Components inside vessel</v>
      </c>
      <c r="L32" s="257"/>
    </row>
    <row r="33" spans="1:12" ht="30" x14ac:dyDescent="0.25">
      <c r="B33" s="205" t="s">
        <v>219</v>
      </c>
      <c r="C33" s="256" t="str">
        <f>IF(Input!$D$24="Metric",CONCATENATE(VLOOKUP(C$27,ZG!$B$48:$M$69,12,FALSE)," mm"),CONCATENATE(ROUND(VLOOKUP(C$27,ZG!$B$48:$M$69,12,FALSE)/25.4,2)," in"))</f>
        <v>7,85 in</v>
      </c>
      <c r="D33" s="257"/>
      <c r="E33" s="256" t="str">
        <f>IF(Input!$D$24="Metric",CONCATENATE(VLOOKUP($E$27,ZGP!$B$48:$N$55,12,FALSE)," mm"),CONCATENATE(ROUND(VLOOKUP($E$27,ZGP!$B$48:$N$55,12,FALSE)/25.4,2)," in"))</f>
        <v>3,7 in</v>
      </c>
      <c r="F33" s="257"/>
      <c r="G33" s="256" t="str">
        <f>IF(Input!$D$24="Metric",CONCATENATE(VLOOKUP($G$27,HP!$B$48:$N$53,12,FALSE)," mm"),CONCATENATE(ROUND(VLOOKUP($G$27,HP!$B$48:$N$53,12,FALSE)/25.4,2)," in"))</f>
        <v>3,7 in</v>
      </c>
      <c r="H33" s="264"/>
      <c r="I33" s="256" t="str">
        <f>IF(Input!$D$24="Metric",CONCATENATE(VLOOKUP($I$27,HS!$B$48:$N$53,12,FALSE)," mm"),CONCATENATE(ROUND(VLOOKUP($I$27,HS!$B$48:$N$53,12,FALSE)/25.4,2)," in"))</f>
        <v>4,49 in</v>
      </c>
      <c r="J33" s="257"/>
      <c r="K33" s="256" t="str">
        <f>IF(Input!$D$24="Metric",CONCATENATE(VLOOKUP($K$27,ZF!$B$48:$N$51,12,FALSE)," mm"),CONCATENATE(ROUND(VLOOKUP($K$27,ZF!$B$48:$N$51,12,FALSE)/25.4,2)," in"))</f>
        <v>4,31 in</v>
      </c>
      <c r="L33" s="257"/>
    </row>
    <row r="34" spans="1:12" x14ac:dyDescent="0.25">
      <c r="B34" s="205" t="s">
        <v>218</v>
      </c>
      <c r="C34" s="256" t="str">
        <f>IF(Input!$D$24="Metric","5°C - 150°C","41°F - 302°F")</f>
        <v>41°F - 302°F</v>
      </c>
      <c r="D34" s="257"/>
      <c r="E34" s="256" t="str">
        <f>IF(Input!$D$24="Metric","5°C - 150°C","41°F - 302°F")</f>
        <v>41°F - 302°F</v>
      </c>
      <c r="F34" s="257"/>
      <c r="G34" s="256" t="str">
        <f>IF(Input!$D$24="Metric","5°C - 150°C","41°F - 302°F")</f>
        <v>41°F - 302°F</v>
      </c>
      <c r="H34" s="264"/>
      <c r="I34" s="256" t="str">
        <f>IF(Input!$D$24="Metric","5°C - 150°C","41°F - 302°F")</f>
        <v>41°F - 302°F</v>
      </c>
      <c r="J34" s="257"/>
      <c r="K34" s="256" t="s">
        <v>174</v>
      </c>
      <c r="L34" s="257"/>
    </row>
    <row r="35" spans="1:12" x14ac:dyDescent="0.25">
      <c r="B35" s="205" t="s">
        <v>217</v>
      </c>
      <c r="C35" s="263" t="str">
        <f>IF(Input!$D$24="Metric","-1 – 7 barg","-14.5 – 101.5 psig")</f>
        <v>-14.5 – 101.5 psig</v>
      </c>
      <c r="D35" s="257"/>
      <c r="E35" s="256" t="s">
        <v>216</v>
      </c>
      <c r="F35" s="257"/>
      <c r="G35" s="263" t="str">
        <f>IF(Input!$D$24="Metric","-1 – 7 barg","-14.5 – 101.5 psig")</f>
        <v>-14.5 – 101.5 psig</v>
      </c>
      <c r="H35" s="264"/>
      <c r="I35" s="263" t="str">
        <f>IF(Input!$D$24="Metric","-1 – 7 barg","-14.5 – 101.5 psig")</f>
        <v>-14.5 – 101.5 psig</v>
      </c>
      <c r="J35" s="257"/>
      <c r="K35" s="263" t="s">
        <v>177</v>
      </c>
      <c r="L35" s="257"/>
    </row>
    <row r="36" spans="1:12" x14ac:dyDescent="0.25">
      <c r="B36" s="260" t="s">
        <v>215</v>
      </c>
      <c r="C36" s="261"/>
      <c r="D36" s="261"/>
      <c r="E36" s="261"/>
      <c r="F36" s="261"/>
      <c r="G36" s="261"/>
      <c r="H36" s="261"/>
      <c r="I36" s="261"/>
      <c r="J36" s="261"/>
      <c r="K36" s="261"/>
      <c r="L36" s="262"/>
    </row>
    <row r="37" spans="1:12" ht="30.75" customHeight="1" x14ac:dyDescent="0.3">
      <c r="B37" s="204" t="s">
        <v>214</v>
      </c>
      <c r="C37" s="256" t="s">
        <v>213</v>
      </c>
      <c r="D37" s="257"/>
      <c r="E37" s="256" t="s">
        <v>213</v>
      </c>
      <c r="F37" s="257"/>
      <c r="G37" s="256" t="s">
        <v>213</v>
      </c>
      <c r="H37" s="264"/>
      <c r="I37" s="256" t="s">
        <v>213</v>
      </c>
      <c r="J37" s="257"/>
      <c r="K37" s="256" t="s">
        <v>213</v>
      </c>
      <c r="L37" s="257"/>
    </row>
    <row r="38" spans="1:12" ht="15.75" x14ac:dyDescent="0.3">
      <c r="B38" s="204" t="s">
        <v>184</v>
      </c>
      <c r="C38" s="256" t="str">
        <f>IF(Input!D19=0,"EPDM",Input!$D$19)</f>
        <v>EPDM</v>
      </c>
      <c r="D38" s="257"/>
      <c r="E38" s="256" t="str">
        <f>IF(Input!D19=0,"EPDM",Input!$D$19)</f>
        <v>EPDM</v>
      </c>
      <c r="F38" s="257"/>
      <c r="G38" s="256" t="str">
        <f>IF(Input!D19=0,"EPDM",Input!$D$19)</f>
        <v>EPDM</v>
      </c>
      <c r="H38" s="264"/>
      <c r="I38" s="256" t="str">
        <f>IF(Input!D19=0,"EPDM",Input!$D$19)</f>
        <v>EPDM</v>
      </c>
      <c r="J38" s="257"/>
      <c r="K38" s="256" t="str">
        <f>IF(Input!D19=0,"EPDM",Input!$D$19)</f>
        <v>EPDM</v>
      </c>
      <c r="L38" s="257"/>
    </row>
    <row r="39" spans="1:12" x14ac:dyDescent="0.25">
      <c r="B39" s="260" t="s">
        <v>179</v>
      </c>
      <c r="C39" s="261"/>
      <c r="D39" s="261"/>
      <c r="E39" s="261"/>
      <c r="F39" s="261"/>
      <c r="G39" s="261"/>
      <c r="H39" s="261"/>
      <c r="I39" s="261"/>
      <c r="J39" s="261"/>
      <c r="K39" s="261"/>
      <c r="L39" s="262"/>
    </row>
    <row r="40" spans="1:12" ht="15.75" x14ac:dyDescent="0.3">
      <c r="B40" s="204" t="s">
        <v>212</v>
      </c>
      <c r="C40" s="256" t="str">
        <f>IF(Input!$D$20=0,"IP55",Input!$D$20)</f>
        <v>IP66</v>
      </c>
      <c r="D40" s="257"/>
      <c r="E40" s="265" t="str">
        <f>IF(Input!$D$20=0,"IP55",Input!$D$20)</f>
        <v>IP66</v>
      </c>
      <c r="F40" s="266"/>
      <c r="G40" s="256" t="str">
        <f>IF(Input!$D$20=0,"IP55",Input!$D$20)</f>
        <v>IP66</v>
      </c>
      <c r="H40" s="264"/>
      <c r="I40" s="256" t="str">
        <f>IF(Input!$D$20=0,"IP55",Input!$D$20)</f>
        <v>IP66</v>
      </c>
      <c r="J40" s="257"/>
      <c r="K40" s="256" t="str">
        <f>IF(Input!$D$20=0,"IP55",Input!$D$20)</f>
        <v>IP66</v>
      </c>
      <c r="L40" s="257"/>
    </row>
    <row r="41" spans="1:12" ht="15.75" x14ac:dyDescent="0.3">
      <c r="B41" s="245" t="s">
        <v>337</v>
      </c>
      <c r="C41" s="256" t="str">
        <f>IF(Input!$D$21=0,"NO",Input!$D$21)</f>
        <v>NO</v>
      </c>
      <c r="D41" s="257"/>
      <c r="E41" s="273" t="str">
        <f>IF(Input!$D$21=0,"NO",Input!$D$21)</f>
        <v>NO</v>
      </c>
      <c r="F41" s="274"/>
      <c r="G41" s="275" t="str">
        <f>IF(Input!$D$21=0,"NO",Input!$D$21)</f>
        <v>NO</v>
      </c>
      <c r="H41" s="276"/>
      <c r="I41" s="275" t="str">
        <f>IF(Input!$D$21=0,"NO",Input!$D$21)</f>
        <v>NO</v>
      </c>
      <c r="J41" s="274"/>
      <c r="K41" s="275" t="str">
        <f>IF(Input!$D$21=0,"NO",Input!$D$21)</f>
        <v>NO</v>
      </c>
      <c r="L41" s="274"/>
    </row>
    <row r="42" spans="1:12" ht="15.75" x14ac:dyDescent="0.3">
      <c r="B42" s="204" t="s">
        <v>211</v>
      </c>
      <c r="C42" s="256" t="str">
        <f>IF(Input!$D$22=0,"NO",Input!$D$22)</f>
        <v>YES</v>
      </c>
      <c r="D42" s="257"/>
      <c r="E42" s="258" t="str">
        <f>IF(Input!$D$22=0,"NO",Input!$D$22)</f>
        <v>YES</v>
      </c>
      <c r="F42" s="257"/>
      <c r="G42" s="256" t="str">
        <f>IF(Input!$D$22=0,"NO",Input!$D$22)</f>
        <v>YES</v>
      </c>
      <c r="H42" s="264"/>
      <c r="I42" s="256" t="str">
        <f>IF(Input!$D$22=0,"NO",Input!$D$22)</f>
        <v>YES</v>
      </c>
      <c r="J42" s="257"/>
      <c r="K42" s="258" t="str">
        <f>IF(Input!$D$22=0,"NO",Input!$D$22)</f>
        <v>YES</v>
      </c>
      <c r="L42" s="259"/>
    </row>
    <row r="43" spans="1:12" ht="16.5" thickBot="1" x14ac:dyDescent="0.35">
      <c r="B43" s="246" t="s">
        <v>338</v>
      </c>
      <c r="C43" s="277" t="str">
        <f>IF(Input!$D$23=0,"NO",Input!$D$23)</f>
        <v>NO</v>
      </c>
      <c r="D43" s="278"/>
      <c r="E43" s="277" t="str">
        <f>IF(Input!$D$23=0,"NO",Input!$D$23)</f>
        <v>NO</v>
      </c>
      <c r="F43" s="278"/>
      <c r="G43" s="277" t="str">
        <f>IF(Input!$D$23=0,"NO",Input!$D$23)</f>
        <v>NO</v>
      </c>
      <c r="H43" s="279"/>
      <c r="I43" s="277" t="str">
        <f>IF(Input!$D$23=0,"NO",Input!$D$23)</f>
        <v>NO</v>
      </c>
      <c r="J43" s="278"/>
      <c r="K43" s="280" t="str">
        <f>IF(Input!$D$23=0,"NO",Input!$D$23)</f>
        <v>NO</v>
      </c>
      <c r="L43" s="278"/>
    </row>
    <row r="44" spans="1:12" x14ac:dyDescent="0.25">
      <c r="A44" s="210"/>
    </row>
    <row r="45" spans="1:12" x14ac:dyDescent="0.25">
      <c r="A45" s="209"/>
      <c r="C45" s="222" t="str">
        <f>CONCATENATE(VLOOKUP($C$27,ZG!$B$48:$M$69,3,FALSE)," mm")</f>
        <v>300 mm</v>
      </c>
    </row>
    <row r="46" spans="1:12" x14ac:dyDescent="0.25">
      <c r="A46" s="208"/>
      <c r="C46" s="222" t="str">
        <f>IF(Input!$D$24="Metric",CONCATENATE(VLOOKUP(C$27,ZG!$B$48:$M$69,3,FALSE)," mm"),CONCATENATE(ROUND(VLOOKUP(C$27,ZG!$B$48:$M$69,3,FALSE)/25.4,2)," in"))</f>
        <v>11,81 in</v>
      </c>
      <c r="D46"/>
    </row>
    <row r="47" spans="1:12" x14ac:dyDescent="0.25">
      <c r="D47"/>
    </row>
    <row r="48" spans="1:12" x14ac:dyDescent="0.25">
      <c r="C48" s="70" t="str">
        <f>CONCATENATE(ROUNDUP(LEFT($C$29,LEN($C$29)-4)*0.1,-1)," (For lower speed, Forced Cooling is needed)")</f>
        <v>30 (For lower speed, Forced Cooling is needed)</v>
      </c>
      <c r="D48"/>
    </row>
    <row r="50" spans="3:3" x14ac:dyDescent="0.25">
      <c r="C50" s="222"/>
    </row>
  </sheetData>
  <mergeCells count="198">
    <mergeCell ref="C41:D41"/>
    <mergeCell ref="E41:F41"/>
    <mergeCell ref="G41:H41"/>
    <mergeCell ref="I41:J41"/>
    <mergeCell ref="K41:L41"/>
    <mergeCell ref="C43:D43"/>
    <mergeCell ref="E43:F43"/>
    <mergeCell ref="G43:H43"/>
    <mergeCell ref="I43:J43"/>
    <mergeCell ref="K43:L43"/>
    <mergeCell ref="C42:D42"/>
    <mergeCell ref="AD2:AE2"/>
    <mergeCell ref="AF2:AG2"/>
    <mergeCell ref="AH2:AI2"/>
    <mergeCell ref="AJ2:AK2"/>
    <mergeCell ref="V3:W3"/>
    <mergeCell ref="T3:U3"/>
    <mergeCell ref="R3:S3"/>
    <mergeCell ref="P3:Q3"/>
    <mergeCell ref="AJ3:AK3"/>
    <mergeCell ref="AH3:AI3"/>
    <mergeCell ref="AF3:AG3"/>
    <mergeCell ref="AD3:AE3"/>
    <mergeCell ref="AB3:AC3"/>
    <mergeCell ref="Z3:AA3"/>
    <mergeCell ref="X3:Y3"/>
    <mergeCell ref="C37:D37"/>
    <mergeCell ref="P2:Q2"/>
    <mergeCell ref="R2:S2"/>
    <mergeCell ref="T2:U2"/>
    <mergeCell ref="V2:W2"/>
    <mergeCell ref="X2:Y2"/>
    <mergeCell ref="Z2:AA2"/>
    <mergeCell ref="AB2:AC2"/>
    <mergeCell ref="K28:L28"/>
    <mergeCell ref="C3:D3"/>
    <mergeCell ref="G10:H10"/>
    <mergeCell ref="G11:H11"/>
    <mergeCell ref="G12:H12"/>
    <mergeCell ref="G13:H13"/>
    <mergeCell ref="K10:L10"/>
    <mergeCell ref="K11:L11"/>
    <mergeCell ref="E37:F37"/>
    <mergeCell ref="G15:H15"/>
    <mergeCell ref="G16:H16"/>
    <mergeCell ref="G17:H17"/>
    <mergeCell ref="G19:H19"/>
    <mergeCell ref="G20:H20"/>
    <mergeCell ref="G32:H32"/>
    <mergeCell ref="C16:D16"/>
    <mergeCell ref="C15:D15"/>
    <mergeCell ref="C14:D14"/>
    <mergeCell ref="C13:D13"/>
    <mergeCell ref="C12:D12"/>
    <mergeCell ref="C33:D33"/>
    <mergeCell ref="C4:D4"/>
    <mergeCell ref="C38:D38"/>
    <mergeCell ref="C40:D40"/>
    <mergeCell ref="C27:D27"/>
    <mergeCell ref="C28:D28"/>
    <mergeCell ref="C29:D29"/>
    <mergeCell ref="C30:D30"/>
    <mergeCell ref="C31:D31"/>
    <mergeCell ref="C8:D8"/>
    <mergeCell ref="C6:D6"/>
    <mergeCell ref="C32:D32"/>
    <mergeCell ref="C22:D22"/>
    <mergeCell ref="C21:D21"/>
    <mergeCell ref="C20:D20"/>
    <mergeCell ref="C19:D19"/>
    <mergeCell ref="C17:D17"/>
    <mergeCell ref="C34:D34"/>
    <mergeCell ref="C35:D35"/>
    <mergeCell ref="C1:D1"/>
    <mergeCell ref="E3:F3"/>
    <mergeCell ref="E4:F4"/>
    <mergeCell ref="E5:F5"/>
    <mergeCell ref="B2:L2"/>
    <mergeCell ref="E6:F6"/>
    <mergeCell ref="E8:F8"/>
    <mergeCell ref="E9:F9"/>
    <mergeCell ref="G1:H1"/>
    <mergeCell ref="G3:H3"/>
    <mergeCell ref="G4:H4"/>
    <mergeCell ref="G5:H5"/>
    <mergeCell ref="G6:H6"/>
    <mergeCell ref="C5:D5"/>
    <mergeCell ref="G8:H8"/>
    <mergeCell ref="G9:H9"/>
    <mergeCell ref="K9:L9"/>
    <mergeCell ref="K1:L1"/>
    <mergeCell ref="K3:L3"/>
    <mergeCell ref="K4:L4"/>
    <mergeCell ref="E38:F38"/>
    <mergeCell ref="E40:F40"/>
    <mergeCell ref="E42:F42"/>
    <mergeCell ref="E1:F1"/>
    <mergeCell ref="E20:F20"/>
    <mergeCell ref="E29:F29"/>
    <mergeCell ref="E13:F13"/>
    <mergeCell ref="E14:F14"/>
    <mergeCell ref="E15:F15"/>
    <mergeCell ref="E16:F16"/>
    <mergeCell ref="E17:F17"/>
    <mergeCell ref="E19:F19"/>
    <mergeCell ref="E30:F30"/>
    <mergeCell ref="E31:F31"/>
    <mergeCell ref="E10:F10"/>
    <mergeCell ref="E11:F11"/>
    <mergeCell ref="E12:F12"/>
    <mergeCell ref="B7:L7"/>
    <mergeCell ref="C11:D11"/>
    <mergeCell ref="C10:D10"/>
    <mergeCell ref="C9:D9"/>
    <mergeCell ref="E27:F27"/>
    <mergeCell ref="E28:F28"/>
    <mergeCell ref="G14:H14"/>
    <mergeCell ref="G33:H33"/>
    <mergeCell ref="E32:F32"/>
    <mergeCell ref="E33:F33"/>
    <mergeCell ref="I15:J15"/>
    <mergeCell ref="I31:J31"/>
    <mergeCell ref="I32:J32"/>
    <mergeCell ref="I16:J16"/>
    <mergeCell ref="I17:J17"/>
    <mergeCell ref="I19:J19"/>
    <mergeCell ref="I20:J20"/>
    <mergeCell ref="I21:J21"/>
    <mergeCell ref="I22:J22"/>
    <mergeCell ref="B18:L18"/>
    <mergeCell ref="G21:H21"/>
    <mergeCell ref="G22:H22"/>
    <mergeCell ref="G27:H27"/>
    <mergeCell ref="G28:H28"/>
    <mergeCell ref="G29:H29"/>
    <mergeCell ref="G31:H31"/>
    <mergeCell ref="B26:L26"/>
    <mergeCell ref="E21:F21"/>
    <mergeCell ref="E22:F22"/>
    <mergeCell ref="K29:L29"/>
    <mergeCell ref="K30:L30"/>
    <mergeCell ref="K31:L31"/>
    <mergeCell ref="K32:L32"/>
    <mergeCell ref="G30:H30"/>
    <mergeCell ref="I5:J5"/>
    <mergeCell ref="I6:J6"/>
    <mergeCell ref="I8:J8"/>
    <mergeCell ref="I9:J9"/>
    <mergeCell ref="I10:J10"/>
    <mergeCell ref="I11:J11"/>
    <mergeCell ref="I12:J12"/>
    <mergeCell ref="I13:J13"/>
    <mergeCell ref="I14:J14"/>
    <mergeCell ref="I27:J27"/>
    <mergeCell ref="I28:J28"/>
    <mergeCell ref="I29:J29"/>
    <mergeCell ref="I30:J30"/>
    <mergeCell ref="K5:L5"/>
    <mergeCell ref="K6:L6"/>
    <mergeCell ref="K8:L8"/>
    <mergeCell ref="K12:L12"/>
    <mergeCell ref="K13:L13"/>
    <mergeCell ref="K14:L14"/>
    <mergeCell ref="K15:L15"/>
    <mergeCell ref="K16:L16"/>
    <mergeCell ref="K17:L17"/>
    <mergeCell ref="K19:L19"/>
    <mergeCell ref="K20:L20"/>
    <mergeCell ref="K21:L21"/>
    <mergeCell ref="K22:L22"/>
    <mergeCell ref="K27:L27"/>
    <mergeCell ref="I1:J1"/>
    <mergeCell ref="I3:J3"/>
    <mergeCell ref="I4:J4"/>
    <mergeCell ref="K40:L40"/>
    <mergeCell ref="K42:L42"/>
    <mergeCell ref="B36:L36"/>
    <mergeCell ref="I42:J42"/>
    <mergeCell ref="I37:J37"/>
    <mergeCell ref="I38:J38"/>
    <mergeCell ref="I40:J40"/>
    <mergeCell ref="B39:L39"/>
    <mergeCell ref="I33:J33"/>
    <mergeCell ref="I34:J34"/>
    <mergeCell ref="I35:J35"/>
    <mergeCell ref="G40:H40"/>
    <mergeCell ref="G42:H42"/>
    <mergeCell ref="G34:H34"/>
    <mergeCell ref="G35:H35"/>
    <mergeCell ref="G37:H37"/>
    <mergeCell ref="G38:H38"/>
    <mergeCell ref="K33:L33"/>
    <mergeCell ref="K34:L34"/>
    <mergeCell ref="K35:L35"/>
    <mergeCell ref="K37:L37"/>
    <mergeCell ref="K38:L38"/>
    <mergeCell ref="E34:F34"/>
    <mergeCell ref="E35:F35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415738CE-F344-4623-8E68-77BC4C85AE36}">
            <xm:f>Input!$D$3="#10"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4" id="{7B462A13-1AE6-4A49-8049-A7C1445CDF1B}">
            <xm:f>Input!$D$3="#09"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5" id="{D7F7D3C5-6A23-4BC6-98BF-06F0B981B0AA}">
            <xm:f>Input!$D$3="#07"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6" id="{BAD98923-0CE9-4F93-B495-3C7A7643A820}">
            <xm:f>Input!$D$3="#03"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7" id="{FD3206B5-70E8-4B3C-9279-79D050F5C83A}">
            <xm:f>Input!$D$3="#02"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8" id="{077AD817-6C48-42FF-AC28-0721006EE81A}">
            <xm:f>Input!$D$3="#01"</xm:f>
            <x14:dxf>
              <font>
                <color auto="1"/>
              </font>
              <fill>
                <patternFill>
                  <bgColor rgb="FFE69946"/>
                </patternFill>
              </fill>
            </x14:dxf>
          </x14:cfRule>
          <x14:cfRule type="expression" priority="19" id="{9107B099-317B-47D6-8142-791C66F100B1}">
            <xm:f>Input!$D$3="#08"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0" id="{DB0F12B8-EA4D-44E9-AC0D-281730D9D49E}">
            <xm:f>Input!$D$3="#06"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1" id="{30929040-D4E3-430C-8A8E-DD44A3A78BAE}">
            <xm:f>Input!$D$3="#04"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C3:D6 C8:D17 C19:D25 C27:D35 C37:D38 C40:D43</xm:sqref>
        </x14:conditionalFormatting>
        <x14:conditionalFormatting xmlns:xm="http://schemas.microsoft.com/office/excel/2006/main">
          <x14:cfRule type="expression" priority="10" id="{FBF2B4BC-48D5-4811-A90C-1F80A7708E67}">
            <xm:f>Input!$D$3="#12"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E3:F6 E8:F17 E19:F25 E27:F35 E37:F38 E40:F43</xm:sqref>
        </x14:conditionalFormatting>
        <x14:conditionalFormatting xmlns:xm="http://schemas.microsoft.com/office/excel/2006/main">
          <x14:cfRule type="expression" priority="6" id="{71C9020A-4635-44F9-8145-F092F9999B57}">
            <xm:f>Input!$D$3="#09"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7" id="{44296D4A-E91A-40D1-AE1E-A44E961ADF53}">
            <xm:f>Input!$D$3="#07"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8" id="{E272D076-484C-4D44-AC3D-DA377AF620B7}">
            <xm:f>Input!$D$3="#02"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9" id="{AB6E60BE-F45E-46C0-9A3D-5C28BD9FA4BE}">
            <xm:f>Input!$D$3="#01"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G3:H6 G8:H17 G19:H25 G27:H35 G37:H38 G40:H43</xm:sqref>
        </x14:conditionalFormatting>
        <x14:conditionalFormatting xmlns:xm="http://schemas.microsoft.com/office/excel/2006/main">
          <x14:cfRule type="expression" priority="3" id="{C91C4D98-6B08-4353-96FA-CF0B43EFDE46}">
            <xm:f>Input!$D$3="#11"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4" id="{50E855FE-505B-4BAF-A3F4-912281B20AD4}">
            <xm:f>Input!$D$3="#10"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I3:J6 I8:J17 I19:J25 I27:J35 I37:J38 I40:J43</xm:sqref>
        </x14:conditionalFormatting>
        <x14:conditionalFormatting xmlns:xm="http://schemas.microsoft.com/office/excel/2006/main">
          <x14:cfRule type="expression" priority="1" id="{049149A0-D322-4EEB-8DB3-0195AA849456}">
            <xm:f>Input!$D$3="#05"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14:cfRule type="expression" priority="2" id="{B93F4268-2E15-4014-BB44-522A197D3541}">
            <xm:f>Input!$D$3="#03"</xm:f>
            <x14:dxf>
              <font>
                <color theme="0"/>
              </font>
              <fill>
                <patternFill>
                  <bgColor rgb="FF2B77D0"/>
                </patternFill>
              </fill>
            </x14:dxf>
          </x14:cfRule>
          <xm:sqref>K3:L6 K8:L17 K19:L25 K27:L35 K37:L38 K40:L43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6A14C-A1A5-4748-BD84-E85F0AA93FF1}">
  <sheetPr>
    <tabColor rgb="FF00B0F0"/>
  </sheetPr>
  <dimension ref="A1:AF98"/>
  <sheetViews>
    <sheetView topLeftCell="G45" zoomScaleNormal="100" workbookViewId="0">
      <selection activeCell="T57" sqref="T57"/>
    </sheetView>
  </sheetViews>
  <sheetFormatPr defaultRowHeight="15" x14ac:dyDescent="0.25"/>
  <cols>
    <col min="1" max="1" width="20.28515625" bestFit="1" customWidth="1"/>
    <col min="4" max="4" width="17.42578125" customWidth="1"/>
    <col min="13" max="13" width="12.28515625" customWidth="1"/>
    <col min="14" max="14" width="11.5703125" bestFit="1" customWidth="1"/>
    <col min="15" max="15" width="9.140625" customWidth="1"/>
    <col min="20" max="20" width="11.5703125" bestFit="1" customWidth="1"/>
    <col min="22" max="22" width="14.28515625" customWidth="1"/>
    <col min="23" max="23" width="21.5703125" customWidth="1"/>
    <col min="24" max="24" width="12" customWidth="1"/>
    <col min="26" max="26" width="9.5703125" bestFit="1" customWidth="1"/>
    <col min="29" max="29" width="20.28515625" bestFit="1" customWidth="1"/>
  </cols>
  <sheetData>
    <row r="1" spans="1:27" ht="18.75" x14ac:dyDescent="0.3">
      <c r="A1" s="283"/>
      <c r="B1" s="283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ht="15.75" thickBo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spans="1:27" ht="15.75" thickBot="1" x14ac:dyDescent="0.3">
      <c r="A3" s="20" t="s">
        <v>351</v>
      </c>
      <c r="B3" s="281">
        <f>IF(Input!$D$13="Gentle",1.2,IF(Input!$D$13="Vigorous", 0.8,1))</f>
        <v>1</v>
      </c>
      <c r="C3" s="282"/>
      <c r="D3" s="281">
        <f>IF(Input!$D$13="Gentle",1.2,IF(Input!$D$13="Vigorous", 0.8,1))</f>
        <v>1</v>
      </c>
      <c r="E3" s="282"/>
      <c r="F3" s="281">
        <f>IF(Input!$D$13="Gentle",1.2,IF(Input!$D$13="Vigorous", 0.8,1))</f>
        <v>1</v>
      </c>
      <c r="G3" s="282"/>
      <c r="H3" s="281">
        <f>IF(Input!$D$13="Gentle",1.2,IF(Input!$D$13="Vigorous", 0.8,1))</f>
        <v>1</v>
      </c>
      <c r="I3" s="282"/>
      <c r="J3" s="281">
        <f>IF(Input!$D$13="Gentle",1.2,IF(Input!$D$13="Vigorous", 0.8,1))</f>
        <v>1</v>
      </c>
      <c r="K3" s="282"/>
      <c r="L3" s="281">
        <f>IF(Input!$D$13="Gentle",1.2,IF(Input!$D$13="Vigorous", 0.8,1))</f>
        <v>1</v>
      </c>
      <c r="M3" s="282"/>
      <c r="N3" s="281">
        <f>IF(Input!$D$13="Gentle",1.2,IF(Input!$D$13="Vigorous", 0.8,1))</f>
        <v>1</v>
      </c>
      <c r="O3" s="282"/>
      <c r="P3" s="281">
        <f>IF(Input!$D$13="Gentle",1.2,IF(Input!$D$13="Vigorous", 0.8,1))</f>
        <v>1</v>
      </c>
      <c r="Q3" s="282"/>
      <c r="R3" s="281">
        <f>IF(Input!$D$13="Gentle",1.2,IF(Input!$D$13="Vigorous", 0.8,1))</f>
        <v>1</v>
      </c>
      <c r="S3" s="282"/>
      <c r="T3" s="281">
        <f>IF(Input!$D$13="Gentle",1.2,IF(Input!$D$13="Vigorous", 0.8,1))</f>
        <v>1</v>
      </c>
      <c r="U3" s="282"/>
      <c r="V3" s="281">
        <f>IF(Input!$D$13="Gentle",1.2,IF(Input!$D$13="Vigorous", 0.8,1))</f>
        <v>1</v>
      </c>
      <c r="W3" s="282"/>
      <c r="X3" s="19"/>
      <c r="Y3" s="19"/>
      <c r="Z3" s="19"/>
      <c r="AA3" s="19"/>
    </row>
    <row r="4" spans="1:27" ht="15.75" thickBot="1" x14ac:dyDescent="0.3">
      <c r="A4" s="20" t="s">
        <v>23</v>
      </c>
      <c r="B4" s="20">
        <v>10</v>
      </c>
      <c r="C4" s="21"/>
      <c r="D4" s="20">
        <v>50</v>
      </c>
      <c r="E4" s="21"/>
      <c r="F4" s="20">
        <v>250</v>
      </c>
      <c r="G4" s="21"/>
      <c r="H4" s="20">
        <v>850</v>
      </c>
      <c r="I4" s="21"/>
      <c r="J4" s="20">
        <v>1200</v>
      </c>
      <c r="K4" s="21"/>
      <c r="L4" s="20">
        <v>2000</v>
      </c>
      <c r="M4" s="21"/>
      <c r="N4" s="20">
        <v>5000</v>
      </c>
      <c r="O4" s="21"/>
      <c r="P4" s="20">
        <v>10000</v>
      </c>
      <c r="Q4" s="21"/>
      <c r="R4" s="20">
        <v>20000</v>
      </c>
      <c r="S4" s="21"/>
      <c r="T4" s="20">
        <v>20000</v>
      </c>
      <c r="U4" s="21"/>
      <c r="V4" s="20">
        <v>20000</v>
      </c>
      <c r="W4" s="21"/>
      <c r="X4" s="19"/>
      <c r="Y4" s="19"/>
      <c r="Z4" s="19"/>
      <c r="AA4" s="19"/>
    </row>
    <row r="5" spans="1:27" ht="15.75" thickBot="1" x14ac:dyDescent="0.3">
      <c r="A5" s="19"/>
      <c r="B5" s="20" t="s">
        <v>19</v>
      </c>
      <c r="C5" s="21" t="s">
        <v>3</v>
      </c>
      <c r="D5" s="20" t="s">
        <v>19</v>
      </c>
      <c r="E5" s="21" t="s">
        <v>3</v>
      </c>
      <c r="F5" s="20" t="s">
        <v>19</v>
      </c>
      <c r="G5" s="21" t="s">
        <v>3</v>
      </c>
      <c r="H5" s="20" t="s">
        <v>19</v>
      </c>
      <c r="I5" s="21" t="s">
        <v>3</v>
      </c>
      <c r="J5" s="20" t="s">
        <v>19</v>
      </c>
      <c r="K5" s="21" t="s">
        <v>3</v>
      </c>
      <c r="L5" s="20" t="s">
        <v>19</v>
      </c>
      <c r="M5" s="21" t="s">
        <v>3</v>
      </c>
      <c r="N5" s="20" t="s">
        <v>19</v>
      </c>
      <c r="O5" s="21" t="s">
        <v>3</v>
      </c>
      <c r="P5" s="20" t="s">
        <v>19</v>
      </c>
      <c r="Q5" s="21" t="s">
        <v>3</v>
      </c>
      <c r="R5" s="20" t="s">
        <v>19</v>
      </c>
      <c r="S5" s="21" t="s">
        <v>3</v>
      </c>
      <c r="T5" s="20" t="s">
        <v>19</v>
      </c>
      <c r="U5" s="21" t="s">
        <v>3</v>
      </c>
      <c r="V5" s="20" t="s">
        <v>19</v>
      </c>
      <c r="W5" s="21" t="s">
        <v>3</v>
      </c>
      <c r="X5" s="19"/>
      <c r="Y5" s="19"/>
      <c r="Z5" s="19"/>
      <c r="AA5" s="19"/>
    </row>
    <row r="6" spans="1:27" ht="15.75" thickBot="1" x14ac:dyDescent="0.3">
      <c r="A6" s="19"/>
      <c r="B6" s="20" t="s">
        <v>24</v>
      </c>
      <c r="C6" s="21" t="s">
        <v>24</v>
      </c>
      <c r="D6" s="20" t="s">
        <v>25</v>
      </c>
      <c r="E6" s="21" t="s">
        <v>25</v>
      </c>
      <c r="F6" s="20" t="s">
        <v>26</v>
      </c>
      <c r="G6" s="21" t="s">
        <v>26</v>
      </c>
      <c r="H6" s="20" t="s">
        <v>27</v>
      </c>
      <c r="I6" s="21" t="s">
        <v>27</v>
      </c>
      <c r="J6" s="20" t="s">
        <v>28</v>
      </c>
      <c r="K6" s="21" t="s">
        <v>28</v>
      </c>
      <c r="L6" s="20" t="s">
        <v>29</v>
      </c>
      <c r="M6" s="21" t="s">
        <v>29</v>
      </c>
      <c r="N6" s="20" t="s">
        <v>30</v>
      </c>
      <c r="O6" s="21" t="s">
        <v>30</v>
      </c>
      <c r="P6" s="20" t="s">
        <v>31</v>
      </c>
      <c r="Q6" s="21" t="s">
        <v>31</v>
      </c>
      <c r="R6" s="20" t="s">
        <v>32</v>
      </c>
      <c r="S6" s="21" t="s">
        <v>32</v>
      </c>
      <c r="T6" s="20" t="s">
        <v>160</v>
      </c>
      <c r="U6" s="21" t="s">
        <v>160</v>
      </c>
      <c r="V6" s="20" t="s">
        <v>161</v>
      </c>
      <c r="W6" s="21" t="s">
        <v>161</v>
      </c>
      <c r="X6" s="19"/>
      <c r="Y6" s="19"/>
      <c r="Z6" s="19"/>
      <c r="AA6" s="19"/>
    </row>
    <row r="7" spans="1:27" x14ac:dyDescent="0.25">
      <c r="A7" s="19"/>
      <c r="B7" s="22">
        <f>($B$3)*10</f>
        <v>10</v>
      </c>
      <c r="C7" s="23">
        <v>1</v>
      </c>
      <c r="D7" s="22">
        <f>(D$3)*50</f>
        <v>50</v>
      </c>
      <c r="E7" s="23">
        <v>1</v>
      </c>
      <c r="F7" s="22">
        <f>(F$3)*250</f>
        <v>250</v>
      </c>
      <c r="G7" s="23">
        <v>1</v>
      </c>
      <c r="H7" s="22">
        <f>(H$3)*850</f>
        <v>850</v>
      </c>
      <c r="I7" s="23">
        <v>1</v>
      </c>
      <c r="J7" s="22">
        <f>(J$3)*1200</f>
        <v>1200</v>
      </c>
      <c r="K7" s="23">
        <v>1</v>
      </c>
      <c r="L7" s="22">
        <f>(L$3)*2000</f>
        <v>2000</v>
      </c>
      <c r="M7" s="23">
        <v>1</v>
      </c>
      <c r="N7" s="22">
        <f>(N$3)*5000</f>
        <v>5000</v>
      </c>
      <c r="O7" s="23">
        <v>1</v>
      </c>
      <c r="P7" s="22">
        <f>(P$3)*10000</f>
        <v>10000</v>
      </c>
      <c r="Q7" s="23">
        <v>1</v>
      </c>
      <c r="R7" s="22">
        <f>(R$3)*20000</f>
        <v>20000</v>
      </c>
      <c r="S7" s="23">
        <v>1</v>
      </c>
      <c r="T7" s="63">
        <v>30000</v>
      </c>
      <c r="U7" s="64">
        <v>1</v>
      </c>
      <c r="V7" s="63">
        <v>50000</v>
      </c>
      <c r="W7" s="64">
        <v>1</v>
      </c>
      <c r="X7" s="19"/>
      <c r="Y7" s="19"/>
      <c r="Z7" s="19"/>
      <c r="AA7" s="19"/>
    </row>
    <row r="8" spans="1:27" x14ac:dyDescent="0.25">
      <c r="A8" s="19"/>
      <c r="B8" s="24">
        <f>($B$3)*9.1</f>
        <v>9.1</v>
      </c>
      <c r="C8" s="25">
        <v>5</v>
      </c>
      <c r="D8" s="24">
        <f>(D$3)*45.5</f>
        <v>45.5</v>
      </c>
      <c r="E8" s="25">
        <v>5</v>
      </c>
      <c r="F8" s="24">
        <f>(F$3)*227.5</f>
        <v>227.5</v>
      </c>
      <c r="G8" s="25">
        <v>5</v>
      </c>
      <c r="H8" s="24">
        <f>(H$3)*773.5</f>
        <v>773.5</v>
      </c>
      <c r="I8" s="25">
        <v>5</v>
      </c>
      <c r="J8" s="24">
        <f>(J$3)*1092</f>
        <v>1092</v>
      </c>
      <c r="K8" s="25">
        <v>5</v>
      </c>
      <c r="L8" s="24">
        <f>(L$3)*1820</f>
        <v>1820</v>
      </c>
      <c r="M8" s="25">
        <v>5</v>
      </c>
      <c r="N8" s="24">
        <f>(N$3)*4550</f>
        <v>4550</v>
      </c>
      <c r="O8" s="25">
        <v>5</v>
      </c>
      <c r="P8" s="24">
        <f>(P$3)*9100</f>
        <v>9100</v>
      </c>
      <c r="Q8" s="25">
        <v>5</v>
      </c>
      <c r="R8" s="24">
        <f>(R$3)*18200</f>
        <v>18200</v>
      </c>
      <c r="S8" s="25">
        <v>5</v>
      </c>
      <c r="T8" s="65"/>
      <c r="U8" s="102"/>
      <c r="V8" s="65"/>
      <c r="W8" s="102"/>
      <c r="X8" s="19"/>
      <c r="Y8" s="19"/>
      <c r="Z8" s="19"/>
      <c r="AA8" s="19"/>
    </row>
    <row r="9" spans="1:27" x14ac:dyDescent="0.25">
      <c r="A9" s="19"/>
      <c r="B9" s="24">
        <f>($B$3)*8.3</f>
        <v>8.3000000000000007</v>
      </c>
      <c r="C9" s="25">
        <v>10</v>
      </c>
      <c r="D9" s="24">
        <f>(D$3)*41.5</f>
        <v>41.5</v>
      </c>
      <c r="E9" s="25">
        <v>10</v>
      </c>
      <c r="F9" s="24">
        <f>(F$3)*207.5</f>
        <v>207.5</v>
      </c>
      <c r="G9" s="25">
        <v>10</v>
      </c>
      <c r="H9" s="24">
        <f>(H$3)*705.5</f>
        <v>705.5</v>
      </c>
      <c r="I9" s="25">
        <v>10</v>
      </c>
      <c r="J9" s="24">
        <f>(J$3)*996</f>
        <v>996</v>
      </c>
      <c r="K9" s="25">
        <v>10</v>
      </c>
      <c r="L9" s="24">
        <f>(L$3)*1660</f>
        <v>1660</v>
      </c>
      <c r="M9" s="25">
        <v>10</v>
      </c>
      <c r="N9" s="24">
        <f>(N$3)*4150</f>
        <v>4150</v>
      </c>
      <c r="O9" s="25">
        <v>10</v>
      </c>
      <c r="P9" s="24">
        <f>(P$3)*8300</f>
        <v>8300</v>
      </c>
      <c r="Q9" s="25">
        <v>10</v>
      </c>
      <c r="R9" s="24">
        <f>(R$3)*16600</f>
        <v>16600</v>
      </c>
      <c r="S9" s="25">
        <v>10</v>
      </c>
      <c r="T9" s="65"/>
      <c r="U9" s="102"/>
      <c r="V9" s="65"/>
      <c r="W9" s="102"/>
      <c r="X9" s="19"/>
      <c r="Y9" s="19"/>
      <c r="Z9" s="19"/>
      <c r="AA9" s="19"/>
    </row>
    <row r="10" spans="1:27" x14ac:dyDescent="0.25">
      <c r="A10" s="19"/>
      <c r="B10" s="24">
        <f>($B$3)*7.7</f>
        <v>7.7</v>
      </c>
      <c r="C10" s="25">
        <v>15</v>
      </c>
      <c r="D10" s="24">
        <f>(D$3)*38.5</f>
        <v>38.5</v>
      </c>
      <c r="E10" s="25">
        <v>15</v>
      </c>
      <c r="F10" s="24">
        <f>(F$3)*192.5</f>
        <v>192.5</v>
      </c>
      <c r="G10" s="25">
        <v>15</v>
      </c>
      <c r="H10" s="24">
        <f>(H$3)*654.5</f>
        <v>654.5</v>
      </c>
      <c r="I10" s="25">
        <v>15</v>
      </c>
      <c r="J10" s="24">
        <f>(J$3)*924</f>
        <v>924</v>
      </c>
      <c r="K10" s="25">
        <v>15</v>
      </c>
      <c r="L10" s="24">
        <f>(L$3)*1540</f>
        <v>1540</v>
      </c>
      <c r="M10" s="25">
        <v>15</v>
      </c>
      <c r="N10" s="24">
        <f>(N$3)*3850</f>
        <v>3850</v>
      </c>
      <c r="O10" s="25">
        <v>15</v>
      </c>
      <c r="P10" s="24">
        <f>(P$3)*7700</f>
        <v>7700</v>
      </c>
      <c r="Q10" s="25">
        <v>15</v>
      </c>
      <c r="R10" s="24">
        <f>(R$3)*15400</f>
        <v>15400</v>
      </c>
      <c r="S10" s="25">
        <v>15</v>
      </c>
      <c r="T10" s="65"/>
      <c r="U10" s="102"/>
      <c r="V10" s="65"/>
      <c r="W10" s="102"/>
      <c r="X10" s="19"/>
      <c r="Y10" s="19"/>
      <c r="Z10" s="19"/>
      <c r="AA10" s="19"/>
    </row>
    <row r="11" spans="1:27" x14ac:dyDescent="0.25">
      <c r="A11" s="19"/>
      <c r="B11" s="24">
        <f>($B$3)*7.2</f>
        <v>7.2</v>
      </c>
      <c r="C11" s="25">
        <v>20</v>
      </c>
      <c r="D11" s="24">
        <f>(D$3)*36</f>
        <v>36</v>
      </c>
      <c r="E11" s="25">
        <v>20</v>
      </c>
      <c r="F11" s="24">
        <f>(F$3)*180</f>
        <v>180</v>
      </c>
      <c r="G11" s="25">
        <v>20</v>
      </c>
      <c r="H11" s="24">
        <f>(H$3)*612</f>
        <v>612</v>
      </c>
      <c r="I11" s="25">
        <v>20</v>
      </c>
      <c r="J11" s="24">
        <f>(J$3)*864</f>
        <v>864</v>
      </c>
      <c r="K11" s="25">
        <v>20</v>
      </c>
      <c r="L11" s="24">
        <f>(L$3)*1440</f>
        <v>1440</v>
      </c>
      <c r="M11" s="25">
        <v>20</v>
      </c>
      <c r="N11" s="24">
        <f>(N$3)*3600</f>
        <v>3600</v>
      </c>
      <c r="O11" s="25">
        <v>20</v>
      </c>
      <c r="P11" s="24">
        <f>(P$3)*7200</f>
        <v>7200</v>
      </c>
      <c r="Q11" s="25">
        <v>20</v>
      </c>
      <c r="R11" s="24">
        <f>(R$3)*14400</f>
        <v>14400</v>
      </c>
      <c r="S11" s="25">
        <v>20</v>
      </c>
      <c r="T11" s="65"/>
      <c r="U11" s="102"/>
      <c r="V11" s="65"/>
      <c r="W11" s="102"/>
      <c r="X11" s="19"/>
      <c r="Y11" s="19"/>
      <c r="Z11" s="19"/>
      <c r="AA11" s="19"/>
    </row>
    <row r="12" spans="1:27" x14ac:dyDescent="0.25">
      <c r="A12" s="19"/>
      <c r="B12" s="24">
        <f>($B$3)*6.8</f>
        <v>6.8</v>
      </c>
      <c r="C12" s="25">
        <v>25</v>
      </c>
      <c r="D12" s="24">
        <f>(D$3)*34</f>
        <v>34</v>
      </c>
      <c r="E12" s="25">
        <v>25</v>
      </c>
      <c r="F12" s="24">
        <f>(F$3)*170</f>
        <v>170</v>
      </c>
      <c r="G12" s="25">
        <v>25</v>
      </c>
      <c r="H12" s="24">
        <f>(H$3)*578</f>
        <v>578</v>
      </c>
      <c r="I12" s="25">
        <v>25</v>
      </c>
      <c r="J12" s="24">
        <f>(J$3)*816</f>
        <v>816</v>
      </c>
      <c r="K12" s="25">
        <v>25</v>
      </c>
      <c r="L12" s="24">
        <f>(L$3)*1360</f>
        <v>1360</v>
      </c>
      <c r="M12" s="25">
        <v>25</v>
      </c>
      <c r="N12" s="24">
        <f>(N$3)*3400</f>
        <v>3400</v>
      </c>
      <c r="O12" s="25">
        <v>25</v>
      </c>
      <c r="P12" s="24">
        <f>(P$3)*6800</f>
        <v>6800</v>
      </c>
      <c r="Q12" s="25">
        <v>25</v>
      </c>
      <c r="R12" s="24">
        <f>(R$3)*13600</f>
        <v>13600</v>
      </c>
      <c r="S12" s="25">
        <v>25</v>
      </c>
      <c r="T12" s="65"/>
      <c r="U12" s="102"/>
      <c r="V12" s="65"/>
      <c r="W12" s="102"/>
      <c r="X12" s="19"/>
      <c r="Y12" s="19"/>
      <c r="Z12" s="19"/>
      <c r="AA12" s="19"/>
    </row>
    <row r="13" spans="1:27" x14ac:dyDescent="0.25">
      <c r="A13" s="19"/>
      <c r="B13" s="24">
        <f>($B$3)*6.55</f>
        <v>6.55</v>
      </c>
      <c r="C13" s="25">
        <v>30</v>
      </c>
      <c r="D13" s="24">
        <f>(D$3)*32.75</f>
        <v>32.75</v>
      </c>
      <c r="E13" s="25">
        <v>30</v>
      </c>
      <c r="F13" s="24">
        <f>(F$3)*163.75</f>
        <v>163.75</v>
      </c>
      <c r="G13" s="25">
        <v>30</v>
      </c>
      <c r="H13" s="24">
        <f>(H$3)*556.75</f>
        <v>556.75</v>
      </c>
      <c r="I13" s="25">
        <v>30</v>
      </c>
      <c r="J13" s="24">
        <f>(J$3)*786</f>
        <v>786</v>
      </c>
      <c r="K13" s="25">
        <v>30</v>
      </c>
      <c r="L13" s="24">
        <f>(L$3)*1310</f>
        <v>1310</v>
      </c>
      <c r="M13" s="25">
        <v>30</v>
      </c>
      <c r="N13" s="24">
        <f>(N$3)*3275</f>
        <v>3275</v>
      </c>
      <c r="O13" s="25">
        <v>30</v>
      </c>
      <c r="P13" s="24">
        <f>(P$3)*6550</f>
        <v>6550</v>
      </c>
      <c r="Q13" s="25">
        <v>30</v>
      </c>
      <c r="R13" s="24">
        <f>(R$3)*13100</f>
        <v>13100</v>
      </c>
      <c r="S13" s="25">
        <v>30</v>
      </c>
      <c r="T13" s="65"/>
      <c r="U13" s="102"/>
      <c r="V13" s="65"/>
      <c r="W13" s="102"/>
      <c r="X13" s="19"/>
      <c r="Y13" s="19"/>
      <c r="Z13" s="19"/>
      <c r="AA13" s="19"/>
    </row>
    <row r="14" spans="1:27" x14ac:dyDescent="0.25">
      <c r="A14" s="19"/>
      <c r="B14" s="24">
        <f>($B$3)*6.3</f>
        <v>6.3</v>
      </c>
      <c r="C14" s="25">
        <v>35</v>
      </c>
      <c r="D14" s="24">
        <f>(D$3)*31.5</f>
        <v>31.5</v>
      </c>
      <c r="E14" s="25">
        <v>35</v>
      </c>
      <c r="F14" s="24">
        <f>(F$3)*157.5</f>
        <v>157.5</v>
      </c>
      <c r="G14" s="25">
        <v>35</v>
      </c>
      <c r="H14" s="24">
        <f>(H$3)*535.5</f>
        <v>535.5</v>
      </c>
      <c r="I14" s="25">
        <v>35</v>
      </c>
      <c r="J14" s="24">
        <f>(J$3)*756</f>
        <v>756</v>
      </c>
      <c r="K14" s="25">
        <v>35</v>
      </c>
      <c r="L14" s="24">
        <f>(L$3)*1260</f>
        <v>1260</v>
      </c>
      <c r="M14" s="25">
        <v>35</v>
      </c>
      <c r="N14" s="24">
        <f>(N$3)*3150</f>
        <v>3150</v>
      </c>
      <c r="O14" s="25">
        <v>35</v>
      </c>
      <c r="P14" s="24">
        <f>(P$3)*6300</f>
        <v>6300</v>
      </c>
      <c r="Q14" s="25">
        <v>35</v>
      </c>
      <c r="R14" s="24">
        <f>(R$3)*12600</f>
        <v>12600</v>
      </c>
      <c r="S14" s="25">
        <v>35</v>
      </c>
      <c r="T14" s="65"/>
      <c r="U14" s="102"/>
      <c r="V14" s="65"/>
      <c r="W14" s="102"/>
      <c r="X14" s="19"/>
      <c r="Y14" s="19"/>
      <c r="Z14" s="19"/>
      <c r="AA14" s="19"/>
    </row>
    <row r="15" spans="1:27" x14ac:dyDescent="0.25">
      <c r="A15" s="19"/>
      <c r="B15" s="24">
        <f>($B$3)*6.15</f>
        <v>6.15</v>
      </c>
      <c r="C15" s="25">
        <v>40</v>
      </c>
      <c r="D15" s="24">
        <f>(D$3)*30.75</f>
        <v>30.75</v>
      </c>
      <c r="E15" s="25">
        <v>40</v>
      </c>
      <c r="F15" s="24">
        <f>(F$3)*153.75</f>
        <v>153.75</v>
      </c>
      <c r="G15" s="25">
        <v>40</v>
      </c>
      <c r="H15" s="24">
        <f>(H$3)*522.75</f>
        <v>522.75</v>
      </c>
      <c r="I15" s="25">
        <v>40</v>
      </c>
      <c r="J15" s="24">
        <f>(J$3)*738</f>
        <v>738</v>
      </c>
      <c r="K15" s="25">
        <v>40</v>
      </c>
      <c r="L15" s="24">
        <f>(L$3)*1230</f>
        <v>1230</v>
      </c>
      <c r="M15" s="25">
        <v>40</v>
      </c>
      <c r="N15" s="24">
        <f>(N$3)*3075</f>
        <v>3075</v>
      </c>
      <c r="O15" s="25">
        <v>40</v>
      </c>
      <c r="P15" s="24">
        <f>(P$3)*6150</f>
        <v>6150</v>
      </c>
      <c r="Q15" s="25">
        <v>40</v>
      </c>
      <c r="R15" s="24">
        <f>(R$3)*12300</f>
        <v>12300</v>
      </c>
      <c r="S15" s="25">
        <v>40</v>
      </c>
      <c r="T15" s="65"/>
      <c r="U15" s="102"/>
      <c r="V15" s="65"/>
      <c r="W15" s="102"/>
      <c r="X15" s="19"/>
      <c r="Y15" s="19"/>
      <c r="Z15" s="19"/>
      <c r="AA15" s="19"/>
    </row>
    <row r="16" spans="1:27" x14ac:dyDescent="0.25">
      <c r="A16" s="19"/>
      <c r="B16" s="24">
        <f>($B$3)*6</f>
        <v>6</v>
      </c>
      <c r="C16" s="25">
        <v>45</v>
      </c>
      <c r="D16" s="24">
        <f>(D$3)*30</f>
        <v>30</v>
      </c>
      <c r="E16" s="25">
        <v>45</v>
      </c>
      <c r="F16" s="24">
        <f>(F$3)*150</f>
        <v>150</v>
      </c>
      <c r="G16" s="25">
        <v>45</v>
      </c>
      <c r="H16" s="24">
        <f>(H$3)*510</f>
        <v>510</v>
      </c>
      <c r="I16" s="25">
        <v>45</v>
      </c>
      <c r="J16" s="24">
        <f>(J$3)*720</f>
        <v>720</v>
      </c>
      <c r="K16" s="25">
        <v>45</v>
      </c>
      <c r="L16" s="24">
        <f>(L$3)*1200</f>
        <v>1200</v>
      </c>
      <c r="M16" s="25">
        <v>45</v>
      </c>
      <c r="N16" s="24">
        <f>(N$3)*3000</f>
        <v>3000</v>
      </c>
      <c r="O16" s="25">
        <v>45</v>
      </c>
      <c r="P16" s="24">
        <f>(P$3)*6000</f>
        <v>6000</v>
      </c>
      <c r="Q16" s="25">
        <v>45</v>
      </c>
      <c r="R16" s="24">
        <f>(R$3)*12000</f>
        <v>12000</v>
      </c>
      <c r="S16" s="25">
        <v>45</v>
      </c>
      <c r="T16" s="65"/>
      <c r="U16" s="102"/>
      <c r="V16" s="65"/>
      <c r="W16" s="102"/>
      <c r="X16" s="19"/>
      <c r="Y16" s="19"/>
      <c r="Z16" s="19"/>
      <c r="AA16" s="19"/>
    </row>
    <row r="17" spans="1:27" x14ac:dyDescent="0.25">
      <c r="A17" s="19"/>
      <c r="B17" s="24">
        <f>($B$3)*5.86</f>
        <v>5.86</v>
      </c>
      <c r="C17" s="25">
        <v>50</v>
      </c>
      <c r="D17" s="24">
        <f>(D$3)*29.3</f>
        <v>29.3</v>
      </c>
      <c r="E17" s="25">
        <v>50</v>
      </c>
      <c r="F17" s="24">
        <f>(F$3)*146.5</f>
        <v>146.5</v>
      </c>
      <c r="G17" s="25">
        <v>50</v>
      </c>
      <c r="H17" s="24">
        <f>(H$3)*498.1</f>
        <v>498.1</v>
      </c>
      <c r="I17" s="25">
        <v>50</v>
      </c>
      <c r="J17" s="24">
        <f>(J$3)*703.2</f>
        <v>703.2</v>
      </c>
      <c r="K17" s="25">
        <v>50</v>
      </c>
      <c r="L17" s="24">
        <f>(L$3)*1172</f>
        <v>1172</v>
      </c>
      <c r="M17" s="25">
        <v>50</v>
      </c>
      <c r="N17" s="24">
        <f>(N$3)*2930</f>
        <v>2930</v>
      </c>
      <c r="O17" s="25">
        <v>50</v>
      </c>
      <c r="P17" s="24">
        <f>(P$3)*5860</f>
        <v>5860</v>
      </c>
      <c r="Q17" s="25">
        <v>50</v>
      </c>
      <c r="R17" s="24">
        <f>(R$3)*11720</f>
        <v>11720</v>
      </c>
      <c r="S17" s="25">
        <v>50</v>
      </c>
      <c r="T17" s="65"/>
      <c r="U17" s="102"/>
      <c r="V17" s="65"/>
      <c r="W17" s="102"/>
      <c r="X17" s="19"/>
      <c r="Y17" s="19"/>
      <c r="Z17" s="19"/>
      <c r="AA17" s="19"/>
    </row>
    <row r="18" spans="1:27" x14ac:dyDescent="0.25">
      <c r="A18" s="19"/>
      <c r="B18" s="24">
        <f>($B$3)*5.7</f>
        <v>5.7</v>
      </c>
      <c r="C18" s="25">
        <v>55</v>
      </c>
      <c r="D18" s="24">
        <f>(D$3)*28.5</f>
        <v>28.5</v>
      </c>
      <c r="E18" s="25">
        <v>55</v>
      </c>
      <c r="F18" s="24">
        <f>(F$3)*142.5</f>
        <v>142.5</v>
      </c>
      <c r="G18" s="25">
        <v>55</v>
      </c>
      <c r="H18" s="24">
        <f>(H$3)*484.5</f>
        <v>484.5</v>
      </c>
      <c r="I18" s="25">
        <v>55</v>
      </c>
      <c r="J18" s="24">
        <f>(J$3)*684</f>
        <v>684</v>
      </c>
      <c r="K18" s="25">
        <v>55</v>
      </c>
      <c r="L18" s="24">
        <f>(L$3)*1140</f>
        <v>1140</v>
      </c>
      <c r="M18" s="25">
        <v>55</v>
      </c>
      <c r="N18" s="24">
        <f>(N$3)*2850</f>
        <v>2850</v>
      </c>
      <c r="O18" s="25">
        <v>55</v>
      </c>
      <c r="P18" s="24">
        <f>(P$3)*5700</f>
        <v>5700</v>
      </c>
      <c r="Q18" s="25">
        <v>55</v>
      </c>
      <c r="R18" s="24">
        <f>(R$3)*11400</f>
        <v>11400</v>
      </c>
      <c r="S18" s="25">
        <v>55</v>
      </c>
      <c r="T18" s="65"/>
      <c r="U18" s="102"/>
      <c r="V18" s="65"/>
      <c r="W18" s="102"/>
      <c r="X18" s="19"/>
      <c r="Y18" s="19"/>
      <c r="Z18" s="19"/>
      <c r="AA18" s="19"/>
    </row>
    <row r="19" spans="1:27" x14ac:dyDescent="0.25">
      <c r="A19" s="19"/>
      <c r="B19" s="24">
        <f>($B$3)*5.6</f>
        <v>5.6</v>
      </c>
      <c r="C19" s="25">
        <v>60</v>
      </c>
      <c r="D19" s="24">
        <f>(D$3)*28</f>
        <v>28</v>
      </c>
      <c r="E19" s="25">
        <v>60</v>
      </c>
      <c r="F19" s="24">
        <f>(F$3)*140</f>
        <v>140</v>
      </c>
      <c r="G19" s="25">
        <v>60</v>
      </c>
      <c r="H19" s="24">
        <f>(H$3)*476</f>
        <v>476</v>
      </c>
      <c r="I19" s="25">
        <v>60</v>
      </c>
      <c r="J19" s="24">
        <f>(J$3)*672</f>
        <v>672</v>
      </c>
      <c r="K19" s="25">
        <v>60</v>
      </c>
      <c r="L19" s="24">
        <f>(L$3)*1120</f>
        <v>1120</v>
      </c>
      <c r="M19" s="25">
        <v>60</v>
      </c>
      <c r="N19" s="24">
        <f>(N$3)*2800</f>
        <v>2800</v>
      </c>
      <c r="O19" s="25">
        <v>60</v>
      </c>
      <c r="P19" s="24">
        <f>(P$3)*5600</f>
        <v>5600</v>
      </c>
      <c r="Q19" s="25">
        <v>60</v>
      </c>
      <c r="R19" s="24">
        <f>(R$3)*11200</f>
        <v>11200</v>
      </c>
      <c r="S19" s="25">
        <v>60</v>
      </c>
      <c r="T19" s="65"/>
      <c r="U19" s="102"/>
      <c r="V19" s="65"/>
      <c r="W19" s="102"/>
      <c r="X19" s="19"/>
      <c r="Y19" s="19"/>
      <c r="Z19" s="19"/>
      <c r="AA19" s="19"/>
    </row>
    <row r="20" spans="1:27" x14ac:dyDescent="0.25">
      <c r="A20" s="19"/>
      <c r="B20" s="24">
        <f>($B$3)*5.5</f>
        <v>5.5</v>
      </c>
      <c r="C20" s="25">
        <v>65</v>
      </c>
      <c r="D20" s="24">
        <f>(D$3)*27.5</f>
        <v>27.5</v>
      </c>
      <c r="E20" s="25">
        <v>65</v>
      </c>
      <c r="F20" s="24">
        <f>(F$3)*137.5</f>
        <v>137.5</v>
      </c>
      <c r="G20" s="25">
        <v>65</v>
      </c>
      <c r="H20" s="24">
        <f>(H$3)*467.5</f>
        <v>467.5</v>
      </c>
      <c r="I20" s="25">
        <v>65</v>
      </c>
      <c r="J20" s="24">
        <f>(J$3)*660</f>
        <v>660</v>
      </c>
      <c r="K20" s="25">
        <v>65</v>
      </c>
      <c r="L20" s="24">
        <f>(L$3)*1100</f>
        <v>1100</v>
      </c>
      <c r="M20" s="25">
        <v>65</v>
      </c>
      <c r="N20" s="24">
        <f>(N$3)*2750</f>
        <v>2750</v>
      </c>
      <c r="O20" s="25">
        <v>65</v>
      </c>
      <c r="P20" s="24">
        <f>(P$3)*5500</f>
        <v>5500</v>
      </c>
      <c r="Q20" s="25">
        <v>65</v>
      </c>
      <c r="R20" s="24">
        <f>(R$3)*11000</f>
        <v>11000</v>
      </c>
      <c r="S20" s="25">
        <v>65</v>
      </c>
      <c r="T20" s="65"/>
      <c r="U20" s="102"/>
      <c r="V20" s="65"/>
      <c r="W20" s="102"/>
      <c r="X20" s="19"/>
      <c r="Y20" s="19"/>
      <c r="Z20" s="19"/>
      <c r="AA20" s="19"/>
    </row>
    <row r="21" spans="1:27" x14ac:dyDescent="0.25">
      <c r="A21" s="19"/>
      <c r="B21" s="24">
        <f>($B$3)*5.4</f>
        <v>5.4</v>
      </c>
      <c r="C21" s="25">
        <v>70</v>
      </c>
      <c r="D21" s="24">
        <f>(D$3)*27</f>
        <v>27</v>
      </c>
      <c r="E21" s="25">
        <v>70</v>
      </c>
      <c r="F21" s="24">
        <f>(F$3)*135</f>
        <v>135</v>
      </c>
      <c r="G21" s="25">
        <v>70</v>
      </c>
      <c r="H21" s="24">
        <f>(H$3)*459</f>
        <v>459</v>
      </c>
      <c r="I21" s="25">
        <v>70</v>
      </c>
      <c r="J21" s="24">
        <f>(J$3)*648</f>
        <v>648</v>
      </c>
      <c r="K21" s="25">
        <v>70</v>
      </c>
      <c r="L21" s="24">
        <f>(L$3)*1080</f>
        <v>1080</v>
      </c>
      <c r="M21" s="25">
        <v>70</v>
      </c>
      <c r="N21" s="24">
        <f>(N$3)*2700</f>
        <v>2700</v>
      </c>
      <c r="O21" s="25">
        <v>70</v>
      </c>
      <c r="P21" s="24">
        <f>(P$3)*5400</f>
        <v>5400</v>
      </c>
      <c r="Q21" s="25">
        <v>70</v>
      </c>
      <c r="R21" s="24">
        <f>(R$3)*10800</f>
        <v>10800</v>
      </c>
      <c r="S21" s="25">
        <v>70</v>
      </c>
      <c r="T21" s="65"/>
      <c r="U21" s="102"/>
      <c r="V21" s="65"/>
      <c r="W21" s="102"/>
      <c r="X21" s="19"/>
      <c r="Y21" s="19"/>
      <c r="Z21" s="19"/>
      <c r="AA21" s="19"/>
    </row>
    <row r="22" spans="1:27" x14ac:dyDescent="0.25">
      <c r="A22" s="19"/>
      <c r="B22" s="24">
        <f>($B$3)*5.3</f>
        <v>5.3</v>
      </c>
      <c r="C22" s="25">
        <v>75</v>
      </c>
      <c r="D22" s="24">
        <f>(D$3)*26.5</f>
        <v>26.5</v>
      </c>
      <c r="E22" s="25">
        <v>75</v>
      </c>
      <c r="F22" s="24">
        <f>(F$3)*132.5</f>
        <v>132.5</v>
      </c>
      <c r="G22" s="25">
        <v>75</v>
      </c>
      <c r="H22" s="24">
        <f>(H$3)*450.5</f>
        <v>450.5</v>
      </c>
      <c r="I22" s="25">
        <v>75</v>
      </c>
      <c r="J22" s="24">
        <f>(J$3)*636</f>
        <v>636</v>
      </c>
      <c r="K22" s="25">
        <v>75</v>
      </c>
      <c r="L22" s="24">
        <f>(L$3)*1060</f>
        <v>1060</v>
      </c>
      <c r="M22" s="25">
        <v>75</v>
      </c>
      <c r="N22" s="24">
        <f>(N$3)*2650</f>
        <v>2650</v>
      </c>
      <c r="O22" s="25">
        <v>75</v>
      </c>
      <c r="P22" s="24">
        <f>(P$3)*5300</f>
        <v>5300</v>
      </c>
      <c r="Q22" s="25">
        <v>75</v>
      </c>
      <c r="R22" s="24">
        <f>(R$3)*10600</f>
        <v>10600</v>
      </c>
      <c r="S22" s="25">
        <v>75</v>
      </c>
      <c r="T22" s="65"/>
      <c r="U22" s="102"/>
      <c r="V22" s="65"/>
      <c r="W22" s="102"/>
      <c r="X22" s="19"/>
      <c r="Y22" s="19"/>
      <c r="Z22" s="19"/>
      <c r="AA22" s="19"/>
    </row>
    <row r="23" spans="1:27" x14ac:dyDescent="0.25">
      <c r="A23" s="19"/>
      <c r="B23" s="24">
        <f>($B$3)*5.2</f>
        <v>5.2</v>
      </c>
      <c r="C23" s="25">
        <v>80</v>
      </c>
      <c r="D23" s="24">
        <f>(D$3)*26</f>
        <v>26</v>
      </c>
      <c r="E23" s="25">
        <v>80</v>
      </c>
      <c r="F23" s="24">
        <f>(F$3)*130</f>
        <v>130</v>
      </c>
      <c r="G23" s="25">
        <v>80</v>
      </c>
      <c r="H23" s="24">
        <f>(H$3)*442</f>
        <v>442</v>
      </c>
      <c r="I23" s="25">
        <v>80</v>
      </c>
      <c r="J23" s="24">
        <f>(J$3)*624</f>
        <v>624</v>
      </c>
      <c r="K23" s="25">
        <v>80</v>
      </c>
      <c r="L23" s="24">
        <f>(L$3)*1040</f>
        <v>1040</v>
      </c>
      <c r="M23" s="25">
        <v>80</v>
      </c>
      <c r="N23" s="24">
        <f>(N$3)*2600</f>
        <v>2600</v>
      </c>
      <c r="O23" s="25">
        <v>80</v>
      </c>
      <c r="P23" s="24">
        <f>(P$3)*5200</f>
        <v>5200</v>
      </c>
      <c r="Q23" s="25">
        <v>80</v>
      </c>
      <c r="R23" s="24">
        <f>(R$3)*10400</f>
        <v>10400</v>
      </c>
      <c r="S23" s="25">
        <v>80</v>
      </c>
      <c r="T23" s="65"/>
      <c r="U23" s="102"/>
      <c r="V23" s="65"/>
      <c r="W23" s="102"/>
      <c r="X23" s="19"/>
      <c r="Y23" s="19"/>
      <c r="Z23" s="19"/>
      <c r="AA23" s="19"/>
    </row>
    <row r="24" spans="1:27" x14ac:dyDescent="0.25">
      <c r="A24" s="19"/>
      <c r="B24" s="24">
        <f>($B$3)*5.1</f>
        <v>5.0999999999999996</v>
      </c>
      <c r="C24" s="25">
        <v>85</v>
      </c>
      <c r="D24" s="24">
        <f>(D$3)*25.5</f>
        <v>25.5</v>
      </c>
      <c r="E24" s="25">
        <v>85</v>
      </c>
      <c r="F24" s="24">
        <f>(F$3)*127.5</f>
        <v>127.5</v>
      </c>
      <c r="G24" s="25">
        <v>85</v>
      </c>
      <c r="H24" s="24">
        <f>(H$3)*433.5</f>
        <v>433.5</v>
      </c>
      <c r="I24" s="25">
        <v>85</v>
      </c>
      <c r="J24" s="24">
        <f>(J$3)*612</f>
        <v>612</v>
      </c>
      <c r="K24" s="25">
        <v>85</v>
      </c>
      <c r="L24" s="24">
        <f>(L$3)*1020</f>
        <v>1020</v>
      </c>
      <c r="M24" s="25">
        <v>85</v>
      </c>
      <c r="N24" s="24">
        <f>(N$3)*2550</f>
        <v>2550</v>
      </c>
      <c r="O24" s="25">
        <v>85</v>
      </c>
      <c r="P24" s="24">
        <f>(P$3)*5100</f>
        <v>5100</v>
      </c>
      <c r="Q24" s="25">
        <v>85</v>
      </c>
      <c r="R24" s="24">
        <f>(R$3)*10200</f>
        <v>10200</v>
      </c>
      <c r="S24" s="25">
        <v>85</v>
      </c>
      <c r="T24" s="65"/>
      <c r="U24" s="102"/>
      <c r="V24" s="65"/>
      <c r="W24" s="102"/>
      <c r="X24" s="19"/>
      <c r="Y24" s="19"/>
      <c r="Z24" s="19"/>
      <c r="AA24" s="19"/>
    </row>
    <row r="25" spans="1:27" x14ac:dyDescent="0.25">
      <c r="A25" s="19"/>
      <c r="B25" s="24">
        <f>($B$3)*5</f>
        <v>5</v>
      </c>
      <c r="C25" s="25">
        <v>90</v>
      </c>
      <c r="D25" s="24">
        <f>(D$3)*25</f>
        <v>25</v>
      </c>
      <c r="E25" s="25">
        <v>90</v>
      </c>
      <c r="F25" s="24">
        <f>(F$3)*125</f>
        <v>125</v>
      </c>
      <c r="G25" s="25">
        <v>90</v>
      </c>
      <c r="H25" s="24">
        <f>(H$3)*425</f>
        <v>425</v>
      </c>
      <c r="I25" s="25">
        <v>90</v>
      </c>
      <c r="J25" s="24">
        <f>(J$3)*600</f>
        <v>600</v>
      </c>
      <c r="K25" s="25">
        <v>90</v>
      </c>
      <c r="L25" s="24">
        <f>(L$3)*1000</f>
        <v>1000</v>
      </c>
      <c r="M25" s="25">
        <v>90</v>
      </c>
      <c r="N25" s="24">
        <f>(N$3)*2500</f>
        <v>2500</v>
      </c>
      <c r="O25" s="25">
        <v>90</v>
      </c>
      <c r="P25" s="24">
        <f>(P$3)*5000</f>
        <v>5000</v>
      </c>
      <c r="Q25" s="25">
        <v>90</v>
      </c>
      <c r="R25" s="24">
        <f>(R$3)*10000</f>
        <v>10000</v>
      </c>
      <c r="S25" s="25">
        <v>90</v>
      </c>
      <c r="T25" s="65"/>
      <c r="U25" s="102"/>
      <c r="V25" s="65"/>
      <c r="W25" s="102"/>
      <c r="X25" s="19"/>
      <c r="Y25" s="19"/>
      <c r="Z25" s="19"/>
      <c r="AA25" s="19"/>
    </row>
    <row r="26" spans="1:27" x14ac:dyDescent="0.25">
      <c r="A26" s="19"/>
      <c r="B26" s="24">
        <f>($B$3)*4.9</f>
        <v>4.9000000000000004</v>
      </c>
      <c r="C26" s="25">
        <v>95</v>
      </c>
      <c r="D26" s="24">
        <f>(D$3)*24.5</f>
        <v>24.5</v>
      </c>
      <c r="E26" s="25">
        <v>95</v>
      </c>
      <c r="F26" s="24">
        <f>(F$3)*122.5</f>
        <v>122.5</v>
      </c>
      <c r="G26" s="25">
        <v>95</v>
      </c>
      <c r="H26" s="24">
        <f>(H$3)*416.5</f>
        <v>416.5</v>
      </c>
      <c r="I26" s="25">
        <v>95</v>
      </c>
      <c r="J26" s="24">
        <f>(J$3)*588</f>
        <v>588</v>
      </c>
      <c r="K26" s="25">
        <v>95</v>
      </c>
      <c r="L26" s="24">
        <f>(L$3)*980</f>
        <v>980</v>
      </c>
      <c r="M26" s="25">
        <v>95</v>
      </c>
      <c r="N26" s="24">
        <f>(N$3)*2450</f>
        <v>2450</v>
      </c>
      <c r="O26" s="25">
        <v>95</v>
      </c>
      <c r="P26" s="24">
        <f>(P$3)*4900</f>
        <v>4900</v>
      </c>
      <c r="Q26" s="25">
        <v>95</v>
      </c>
      <c r="R26" s="24">
        <f>(R$3)*9800</f>
        <v>9800</v>
      </c>
      <c r="S26" s="25">
        <v>95</v>
      </c>
      <c r="T26" s="65"/>
      <c r="U26" s="102"/>
      <c r="V26" s="65"/>
      <c r="W26" s="102"/>
      <c r="X26" s="19"/>
      <c r="Y26" s="19"/>
      <c r="Z26" s="19"/>
      <c r="AA26" s="19"/>
    </row>
    <row r="27" spans="1:27" x14ac:dyDescent="0.25">
      <c r="A27" s="19"/>
      <c r="B27" s="24">
        <f>($B$3)*4.85</f>
        <v>4.8499999999999996</v>
      </c>
      <c r="C27" s="25">
        <v>100</v>
      </c>
      <c r="D27" s="24">
        <f>(D$3)*24.25</f>
        <v>24.25</v>
      </c>
      <c r="E27" s="25">
        <v>100</v>
      </c>
      <c r="F27" s="24">
        <f>(F$3)*121.25</f>
        <v>121.25</v>
      </c>
      <c r="G27" s="25">
        <v>100</v>
      </c>
      <c r="H27" s="24">
        <f>(H$3)*412.25</f>
        <v>412.25</v>
      </c>
      <c r="I27" s="25">
        <v>100</v>
      </c>
      <c r="J27" s="24">
        <f>(J$3)*582</f>
        <v>582</v>
      </c>
      <c r="K27" s="25">
        <v>100</v>
      </c>
      <c r="L27" s="24">
        <f>(L$3)*970</f>
        <v>970</v>
      </c>
      <c r="M27" s="25">
        <v>100</v>
      </c>
      <c r="N27" s="24">
        <f>(N$3)*2425</f>
        <v>2425</v>
      </c>
      <c r="O27" s="25">
        <v>100</v>
      </c>
      <c r="P27" s="24">
        <f>(P$3)*4850</f>
        <v>4850</v>
      </c>
      <c r="Q27" s="25">
        <v>100</v>
      </c>
      <c r="R27" s="24">
        <f>(R$3)*9700</f>
        <v>9700</v>
      </c>
      <c r="S27" s="25">
        <v>100</v>
      </c>
      <c r="T27" s="65"/>
      <c r="U27" s="102"/>
      <c r="V27" s="65"/>
      <c r="W27" s="102"/>
      <c r="X27" s="19"/>
      <c r="Y27" s="19"/>
      <c r="Z27" s="19"/>
      <c r="AA27" s="19"/>
    </row>
    <row r="28" spans="1:27" x14ac:dyDescent="0.25">
      <c r="A28" s="19"/>
      <c r="B28" s="24">
        <f>($B$3)*4.3</f>
        <v>4.3</v>
      </c>
      <c r="C28" s="25">
        <v>150</v>
      </c>
      <c r="D28" s="24">
        <f>(D$3)*21.5</f>
        <v>21.5</v>
      </c>
      <c r="E28" s="25">
        <v>150</v>
      </c>
      <c r="F28" s="24">
        <f>(F$3)*107.5</f>
        <v>107.5</v>
      </c>
      <c r="G28" s="25">
        <v>150</v>
      </c>
      <c r="H28" s="24">
        <f>(H$3)*365.5</f>
        <v>365.5</v>
      </c>
      <c r="I28" s="25">
        <v>150</v>
      </c>
      <c r="J28" s="24">
        <f>(J$3)*516</f>
        <v>516</v>
      </c>
      <c r="K28" s="25">
        <v>150</v>
      </c>
      <c r="L28" s="24">
        <f>(L$3)*860</f>
        <v>860</v>
      </c>
      <c r="M28" s="25">
        <v>150</v>
      </c>
      <c r="N28" s="24">
        <f>(N$3)*2150</f>
        <v>2150</v>
      </c>
      <c r="O28" s="25">
        <v>150</v>
      </c>
      <c r="P28" s="24">
        <f>(P$3)*4300</f>
        <v>4300</v>
      </c>
      <c r="Q28" s="25">
        <v>150</v>
      </c>
      <c r="R28" s="24">
        <f>(R$3)*8600</f>
        <v>8600</v>
      </c>
      <c r="S28" s="25">
        <v>150</v>
      </c>
      <c r="T28" s="65"/>
      <c r="U28" s="102"/>
      <c r="V28" s="65"/>
      <c r="W28" s="102"/>
      <c r="X28" s="19"/>
      <c r="Y28" s="19"/>
      <c r="Z28" s="19"/>
      <c r="AA28" s="19"/>
    </row>
    <row r="29" spans="1:27" x14ac:dyDescent="0.25">
      <c r="A29" s="19"/>
      <c r="B29" s="24">
        <f>($B$3)*3.9</f>
        <v>3.9</v>
      </c>
      <c r="C29" s="25">
        <v>200</v>
      </c>
      <c r="D29" s="24">
        <f>(D$3)*19.5</f>
        <v>19.5</v>
      </c>
      <c r="E29" s="25">
        <v>200</v>
      </c>
      <c r="F29" s="24">
        <f>(F$3)*97.5</f>
        <v>97.5</v>
      </c>
      <c r="G29" s="25">
        <v>200</v>
      </c>
      <c r="H29" s="24">
        <f>(H$3)*331.5</f>
        <v>331.5</v>
      </c>
      <c r="I29" s="25">
        <v>200</v>
      </c>
      <c r="J29" s="24">
        <f>(J$3)*468</f>
        <v>468</v>
      </c>
      <c r="K29" s="25">
        <v>200</v>
      </c>
      <c r="L29" s="24">
        <f>(L$3)*780</f>
        <v>780</v>
      </c>
      <c r="M29" s="25">
        <v>200</v>
      </c>
      <c r="N29" s="24">
        <f>(N$3)*1950</f>
        <v>1950</v>
      </c>
      <c r="O29" s="25">
        <v>200</v>
      </c>
      <c r="P29" s="24">
        <f>(P$3)*3900</f>
        <v>3900</v>
      </c>
      <c r="Q29" s="25">
        <v>200</v>
      </c>
      <c r="R29" s="24">
        <f>(R$3)*7800</f>
        <v>7800</v>
      </c>
      <c r="S29" s="25">
        <v>200</v>
      </c>
      <c r="T29" s="65"/>
      <c r="U29" s="102"/>
      <c r="V29" s="65"/>
      <c r="W29" s="102"/>
      <c r="X29" s="19"/>
      <c r="Y29" s="19"/>
      <c r="Z29" s="19"/>
      <c r="AA29" s="19"/>
    </row>
    <row r="30" spans="1:27" x14ac:dyDescent="0.25">
      <c r="A30" s="19"/>
      <c r="B30" s="24">
        <f>($B$3)*3.55</f>
        <v>3.55</v>
      </c>
      <c r="C30" s="25">
        <v>250</v>
      </c>
      <c r="D30" s="24">
        <f>(D$3)*17.75</f>
        <v>17.75</v>
      </c>
      <c r="E30" s="25">
        <v>250</v>
      </c>
      <c r="F30" s="24">
        <f>(F$3)*88.75</f>
        <v>88.75</v>
      </c>
      <c r="G30" s="25">
        <v>250</v>
      </c>
      <c r="H30" s="24">
        <f>(H$3)*301.75</f>
        <v>301.75</v>
      </c>
      <c r="I30" s="25">
        <v>250</v>
      </c>
      <c r="J30" s="24">
        <f>(J$3)*426</f>
        <v>426</v>
      </c>
      <c r="K30" s="25">
        <v>250</v>
      </c>
      <c r="L30" s="24">
        <f>(L$3)*710</f>
        <v>710</v>
      </c>
      <c r="M30" s="25">
        <v>250</v>
      </c>
      <c r="N30" s="24">
        <f>(N$3)*1775</f>
        <v>1775</v>
      </c>
      <c r="O30" s="25">
        <v>250</v>
      </c>
      <c r="P30" s="24">
        <f>(P$3)*3550</f>
        <v>3550</v>
      </c>
      <c r="Q30" s="25">
        <v>250</v>
      </c>
      <c r="R30" s="24">
        <f>(R$3)*7100</f>
        <v>7100</v>
      </c>
      <c r="S30" s="25">
        <v>250</v>
      </c>
      <c r="T30" s="65"/>
      <c r="U30" s="102"/>
      <c r="V30" s="65"/>
      <c r="W30" s="102"/>
      <c r="X30" s="19"/>
      <c r="Y30" s="19"/>
      <c r="Z30" s="19"/>
      <c r="AA30" s="19"/>
    </row>
    <row r="31" spans="1:27" x14ac:dyDescent="0.25">
      <c r="A31" s="19"/>
      <c r="B31" s="24">
        <f>($B$3)*3.2</f>
        <v>3.2</v>
      </c>
      <c r="C31" s="25">
        <v>300</v>
      </c>
      <c r="D31" s="24">
        <f>(D$3)*16</f>
        <v>16</v>
      </c>
      <c r="E31" s="25">
        <v>300</v>
      </c>
      <c r="F31" s="24">
        <f>(F$3)*80</f>
        <v>80</v>
      </c>
      <c r="G31" s="25">
        <v>300</v>
      </c>
      <c r="H31" s="24">
        <f>(H$3)*272</f>
        <v>272</v>
      </c>
      <c r="I31" s="25">
        <v>300</v>
      </c>
      <c r="J31" s="24">
        <f>(J$3)*384</f>
        <v>384</v>
      </c>
      <c r="K31" s="25">
        <v>300</v>
      </c>
      <c r="L31" s="24">
        <f>(L$3)*640</f>
        <v>640</v>
      </c>
      <c r="M31" s="25">
        <v>300</v>
      </c>
      <c r="N31" s="24">
        <f>(N$3)*1600</f>
        <v>1600</v>
      </c>
      <c r="O31" s="25">
        <v>300</v>
      </c>
      <c r="P31" s="24">
        <f>(P$3)*3200</f>
        <v>3200</v>
      </c>
      <c r="Q31" s="25">
        <v>300</v>
      </c>
      <c r="R31" s="24">
        <f>(R$3)*6400</f>
        <v>6400</v>
      </c>
      <c r="S31" s="25">
        <v>300</v>
      </c>
      <c r="T31" s="65"/>
      <c r="U31" s="102"/>
      <c r="V31" s="65"/>
      <c r="W31" s="102"/>
      <c r="X31" s="19"/>
      <c r="Y31" s="19"/>
      <c r="Z31" s="19"/>
      <c r="AA31" s="19"/>
    </row>
    <row r="32" spans="1:27" x14ac:dyDescent="0.25">
      <c r="A32" s="19"/>
      <c r="B32" s="24">
        <f>($B$3)*2.9</f>
        <v>2.9</v>
      </c>
      <c r="C32" s="25">
        <v>350</v>
      </c>
      <c r="D32" s="24">
        <f>(D$3)*14.5</f>
        <v>14.5</v>
      </c>
      <c r="E32" s="25">
        <v>350</v>
      </c>
      <c r="F32" s="24">
        <f>(F$3)*72.5</f>
        <v>72.5</v>
      </c>
      <c r="G32" s="25">
        <v>350</v>
      </c>
      <c r="H32" s="24">
        <f>(H$3)*246.5</f>
        <v>246.5</v>
      </c>
      <c r="I32" s="25">
        <v>350</v>
      </c>
      <c r="J32" s="24">
        <f>(J$3)*348</f>
        <v>348</v>
      </c>
      <c r="K32" s="25">
        <v>350</v>
      </c>
      <c r="L32" s="24">
        <f>(L$3)*580</f>
        <v>580</v>
      </c>
      <c r="M32" s="25">
        <v>350</v>
      </c>
      <c r="N32" s="24">
        <f>(N$3)*1450</f>
        <v>1450</v>
      </c>
      <c r="O32" s="25">
        <v>350</v>
      </c>
      <c r="P32" s="24">
        <f>(P$3)*2900</f>
        <v>2900</v>
      </c>
      <c r="Q32" s="25">
        <v>350</v>
      </c>
      <c r="R32" s="24">
        <f>(R$3)*5800</f>
        <v>5800</v>
      </c>
      <c r="S32" s="25">
        <v>350</v>
      </c>
      <c r="T32" s="65"/>
      <c r="U32" s="102"/>
      <c r="V32" s="65"/>
      <c r="W32" s="102"/>
      <c r="X32" s="19"/>
      <c r="Y32" s="19"/>
      <c r="Z32" s="19"/>
      <c r="AA32" s="19"/>
    </row>
    <row r="33" spans="1:31" x14ac:dyDescent="0.25">
      <c r="A33" s="19"/>
      <c r="B33" s="24">
        <f>($B$3)*2.6</f>
        <v>2.6</v>
      </c>
      <c r="C33" s="25">
        <v>400</v>
      </c>
      <c r="D33" s="24">
        <f>(D$3)*13</f>
        <v>13</v>
      </c>
      <c r="E33" s="25">
        <v>400</v>
      </c>
      <c r="F33" s="24">
        <f>(F$3)*65</f>
        <v>65</v>
      </c>
      <c r="G33" s="25">
        <v>400</v>
      </c>
      <c r="H33" s="24">
        <f>(H$3)*221</f>
        <v>221</v>
      </c>
      <c r="I33" s="25">
        <v>400</v>
      </c>
      <c r="J33" s="24">
        <f>(J$3)*312</f>
        <v>312</v>
      </c>
      <c r="K33" s="25">
        <v>400</v>
      </c>
      <c r="L33" s="24">
        <f>(L$3)*520</f>
        <v>520</v>
      </c>
      <c r="M33" s="25">
        <v>400</v>
      </c>
      <c r="N33" s="24">
        <f>(N$3)*1300</f>
        <v>1300</v>
      </c>
      <c r="O33" s="25">
        <v>400</v>
      </c>
      <c r="P33" s="24">
        <f>(P$3)*2600</f>
        <v>2600</v>
      </c>
      <c r="Q33" s="25">
        <v>400</v>
      </c>
      <c r="R33" s="24">
        <f>(R$3)*5200</f>
        <v>5200</v>
      </c>
      <c r="S33" s="25">
        <v>400</v>
      </c>
      <c r="T33" s="65"/>
      <c r="U33" s="102"/>
      <c r="V33" s="65"/>
      <c r="W33" s="102"/>
      <c r="X33" s="19"/>
      <c r="Y33" s="19"/>
      <c r="Z33" s="19"/>
      <c r="AA33" s="19"/>
    </row>
    <row r="34" spans="1:31" x14ac:dyDescent="0.25">
      <c r="A34" s="19"/>
      <c r="B34" s="24">
        <f>($B$3)*2.35</f>
        <v>2.35</v>
      </c>
      <c r="C34" s="25">
        <v>450</v>
      </c>
      <c r="D34" s="24">
        <f>(D$3)*11.75</f>
        <v>11.75</v>
      </c>
      <c r="E34" s="25">
        <v>450</v>
      </c>
      <c r="F34" s="24">
        <f>(F$3)*58.75</f>
        <v>58.75</v>
      </c>
      <c r="G34" s="25">
        <v>450</v>
      </c>
      <c r="H34" s="24">
        <f>(H$3)*199.75</f>
        <v>199.75</v>
      </c>
      <c r="I34" s="25">
        <v>450</v>
      </c>
      <c r="J34" s="24">
        <f>(J$3)*282</f>
        <v>282</v>
      </c>
      <c r="K34" s="25">
        <v>450</v>
      </c>
      <c r="L34" s="24">
        <f>(L$3)*470</f>
        <v>470</v>
      </c>
      <c r="M34" s="25">
        <v>450</v>
      </c>
      <c r="N34" s="24">
        <f>(N$3)*1175</f>
        <v>1175</v>
      </c>
      <c r="O34" s="25">
        <v>450</v>
      </c>
      <c r="P34" s="24">
        <f>(P$3)*2350</f>
        <v>2350</v>
      </c>
      <c r="Q34" s="25">
        <v>450</v>
      </c>
      <c r="R34" s="24">
        <f>(R$3)*4700</f>
        <v>4700</v>
      </c>
      <c r="S34" s="25">
        <v>450</v>
      </c>
      <c r="T34" s="65"/>
      <c r="U34" s="102"/>
      <c r="V34" s="65"/>
      <c r="W34" s="102"/>
      <c r="X34" s="19"/>
      <c r="Y34" s="19"/>
      <c r="Z34" s="19"/>
      <c r="AA34" s="19"/>
    </row>
    <row r="35" spans="1:31" x14ac:dyDescent="0.25">
      <c r="A35" s="19"/>
      <c r="B35" s="24">
        <f>($B$3)*2.1</f>
        <v>2.1</v>
      </c>
      <c r="C35" s="25">
        <v>500</v>
      </c>
      <c r="D35" s="24">
        <f>(D$3)*10.5</f>
        <v>10.5</v>
      </c>
      <c r="E35" s="25">
        <v>500</v>
      </c>
      <c r="F35" s="24">
        <f>(F$3)*52.5</f>
        <v>52.5</v>
      </c>
      <c r="G35" s="25">
        <v>500</v>
      </c>
      <c r="H35" s="24">
        <f>(H$3)*178.5</f>
        <v>178.5</v>
      </c>
      <c r="I35" s="25">
        <v>500</v>
      </c>
      <c r="J35" s="24">
        <f>(J$3)*252</f>
        <v>252</v>
      </c>
      <c r="K35" s="25">
        <v>500</v>
      </c>
      <c r="L35" s="24">
        <f>(L$3)*420</f>
        <v>420</v>
      </c>
      <c r="M35" s="25">
        <v>500</v>
      </c>
      <c r="N35" s="24">
        <f>(N$3)*1050</f>
        <v>1050</v>
      </c>
      <c r="O35" s="25">
        <v>500</v>
      </c>
      <c r="P35" s="24">
        <f>(P$3)*2100</f>
        <v>2100</v>
      </c>
      <c r="Q35" s="25">
        <v>500</v>
      </c>
      <c r="R35" s="24">
        <f>(R$3)*4200</f>
        <v>4200</v>
      </c>
      <c r="S35" s="25">
        <v>500</v>
      </c>
      <c r="T35" s="65"/>
      <c r="U35" s="102"/>
      <c r="V35" s="65"/>
      <c r="W35" s="102"/>
      <c r="X35" s="19"/>
      <c r="Y35" s="19"/>
      <c r="Z35" s="19"/>
      <c r="AA35" s="19"/>
    </row>
    <row r="36" spans="1:31" x14ac:dyDescent="0.25">
      <c r="A36" s="19"/>
      <c r="B36" s="24">
        <f>($B$3)*1.9</f>
        <v>1.9</v>
      </c>
      <c r="C36" s="25">
        <v>550</v>
      </c>
      <c r="D36" s="24">
        <f>(D$3)*9.5</f>
        <v>9.5</v>
      </c>
      <c r="E36" s="25">
        <v>550</v>
      </c>
      <c r="F36" s="24">
        <f>(F$3)*47.5</f>
        <v>47.5</v>
      </c>
      <c r="G36" s="25">
        <v>550</v>
      </c>
      <c r="H36" s="24">
        <f>(H$3)*161.5</f>
        <v>161.5</v>
      </c>
      <c r="I36" s="25">
        <v>550</v>
      </c>
      <c r="J36" s="24">
        <f>(J$3)*228</f>
        <v>228</v>
      </c>
      <c r="K36" s="25">
        <v>550</v>
      </c>
      <c r="L36" s="24">
        <f>(L$3)*380</f>
        <v>380</v>
      </c>
      <c r="M36" s="25">
        <v>550</v>
      </c>
      <c r="N36" s="24">
        <f>(N$3)*950</f>
        <v>950</v>
      </c>
      <c r="O36" s="25">
        <v>550</v>
      </c>
      <c r="P36" s="24">
        <f>(P$3)*1900</f>
        <v>1900</v>
      </c>
      <c r="Q36" s="25">
        <v>550</v>
      </c>
      <c r="R36" s="24">
        <f>(R$3)*3800</f>
        <v>3800</v>
      </c>
      <c r="S36" s="25">
        <v>550</v>
      </c>
      <c r="T36" s="65"/>
      <c r="U36" s="102"/>
      <c r="V36" s="65"/>
      <c r="W36" s="102"/>
      <c r="X36" s="19"/>
      <c r="Y36" s="19"/>
      <c r="Z36" s="19"/>
      <c r="AA36" s="19"/>
    </row>
    <row r="37" spans="1:31" x14ac:dyDescent="0.25">
      <c r="A37" s="19"/>
      <c r="B37" s="24">
        <f>($B$3)*1.7</f>
        <v>1.7</v>
      </c>
      <c r="C37" s="25">
        <v>600</v>
      </c>
      <c r="D37" s="24">
        <f>(D$3)*8.5</f>
        <v>8.5</v>
      </c>
      <c r="E37" s="25">
        <v>600</v>
      </c>
      <c r="F37" s="24">
        <f>(F$3)*42.5</f>
        <v>42.5</v>
      </c>
      <c r="G37" s="25">
        <v>600</v>
      </c>
      <c r="H37" s="24">
        <f>(H$3)*144.5</f>
        <v>144.5</v>
      </c>
      <c r="I37" s="25">
        <v>600</v>
      </c>
      <c r="J37" s="24">
        <f>(J$3)*204</f>
        <v>204</v>
      </c>
      <c r="K37" s="25">
        <v>600</v>
      </c>
      <c r="L37" s="24">
        <f>(L$3)*340</f>
        <v>340</v>
      </c>
      <c r="M37" s="25">
        <v>600</v>
      </c>
      <c r="N37" s="24">
        <f>(N$3)*850</f>
        <v>850</v>
      </c>
      <c r="O37" s="25">
        <v>600</v>
      </c>
      <c r="P37" s="24">
        <f>(P$3)*1700</f>
        <v>1700</v>
      </c>
      <c r="Q37" s="25">
        <v>600</v>
      </c>
      <c r="R37" s="24">
        <f>(R$3)*3400</f>
        <v>3400</v>
      </c>
      <c r="S37" s="25">
        <v>600</v>
      </c>
      <c r="T37" s="65"/>
      <c r="U37" s="102"/>
      <c r="V37" s="65"/>
      <c r="W37" s="102"/>
      <c r="X37" s="19"/>
      <c r="Y37" s="19"/>
      <c r="Z37" s="19"/>
      <c r="AA37" s="19"/>
    </row>
    <row r="38" spans="1:31" x14ac:dyDescent="0.25">
      <c r="A38" s="19"/>
      <c r="B38" s="24">
        <f>($B$3)*1.5</f>
        <v>1.5</v>
      </c>
      <c r="C38" s="25">
        <v>650</v>
      </c>
      <c r="D38" s="24">
        <f>(D$3)*7.5</f>
        <v>7.5</v>
      </c>
      <c r="E38" s="25">
        <v>650</v>
      </c>
      <c r="F38" s="24">
        <f>(F$3)*37.5</f>
        <v>37.5</v>
      </c>
      <c r="G38" s="25">
        <v>650</v>
      </c>
      <c r="H38" s="24">
        <f>(H$3)*127.5</f>
        <v>127.5</v>
      </c>
      <c r="I38" s="25">
        <v>650</v>
      </c>
      <c r="J38" s="24">
        <f>(J$3)*180</f>
        <v>180</v>
      </c>
      <c r="K38" s="25">
        <v>650</v>
      </c>
      <c r="L38" s="24">
        <f>(L$3)*300</f>
        <v>300</v>
      </c>
      <c r="M38" s="25">
        <v>650</v>
      </c>
      <c r="N38" s="24">
        <f>(N$3)*750</f>
        <v>750</v>
      </c>
      <c r="O38" s="25">
        <v>650</v>
      </c>
      <c r="P38" s="24">
        <f>(P$3)*1500</f>
        <v>1500</v>
      </c>
      <c r="Q38" s="25">
        <v>650</v>
      </c>
      <c r="R38" s="24">
        <f>(R$3)*3000</f>
        <v>3000</v>
      </c>
      <c r="S38" s="25">
        <v>650</v>
      </c>
      <c r="T38" s="65"/>
      <c r="U38" s="102"/>
      <c r="V38" s="65"/>
      <c r="W38" s="102"/>
      <c r="X38" s="19"/>
      <c r="Y38" s="19"/>
      <c r="Z38" s="19"/>
      <c r="AA38" s="19"/>
    </row>
    <row r="39" spans="1:31" x14ac:dyDescent="0.25">
      <c r="A39" s="19"/>
      <c r="B39" s="24">
        <f>($B$3)*1.32</f>
        <v>1.32</v>
      </c>
      <c r="C39" s="25">
        <v>700</v>
      </c>
      <c r="D39" s="24">
        <f>(D$3)*6.6</f>
        <v>6.6</v>
      </c>
      <c r="E39" s="25">
        <v>700</v>
      </c>
      <c r="F39" s="24">
        <f>(F$3)*33</f>
        <v>33</v>
      </c>
      <c r="G39" s="25">
        <v>700</v>
      </c>
      <c r="H39" s="24">
        <f>(H$3)*112.2</f>
        <v>112.2</v>
      </c>
      <c r="I39" s="25">
        <v>700</v>
      </c>
      <c r="J39" s="24">
        <f>(J$3)*158.4</f>
        <v>158.4</v>
      </c>
      <c r="K39" s="25">
        <v>700</v>
      </c>
      <c r="L39" s="24">
        <f>(L$3)*264</f>
        <v>264</v>
      </c>
      <c r="M39" s="25">
        <v>700</v>
      </c>
      <c r="N39" s="24">
        <f>(N$3)*660</f>
        <v>660</v>
      </c>
      <c r="O39" s="25">
        <v>700</v>
      </c>
      <c r="P39" s="24">
        <f>(P$3)*1320</f>
        <v>1320</v>
      </c>
      <c r="Q39" s="25">
        <v>700</v>
      </c>
      <c r="R39" s="24">
        <f>(R$3)*2640</f>
        <v>2640</v>
      </c>
      <c r="S39" s="25">
        <v>700</v>
      </c>
      <c r="T39" s="65"/>
      <c r="U39" s="102"/>
      <c r="V39" s="65"/>
      <c r="W39" s="102"/>
      <c r="X39" s="19"/>
      <c r="Y39" s="19"/>
      <c r="Z39" s="19"/>
      <c r="AA39" s="19"/>
    </row>
    <row r="40" spans="1:31" x14ac:dyDescent="0.25">
      <c r="A40" s="19"/>
      <c r="B40" s="24">
        <f>($B$3)*1.15</f>
        <v>1.1499999999999999</v>
      </c>
      <c r="C40" s="25">
        <v>750</v>
      </c>
      <c r="D40" s="24">
        <f>(D$3)*5.75</f>
        <v>5.75</v>
      </c>
      <c r="E40" s="25">
        <v>750</v>
      </c>
      <c r="F40" s="24">
        <f>(F$3)*28.75</f>
        <v>28.75</v>
      </c>
      <c r="G40" s="25">
        <v>750</v>
      </c>
      <c r="H40" s="24">
        <f>(H$3)*97.75</f>
        <v>97.75</v>
      </c>
      <c r="I40" s="25">
        <v>750</v>
      </c>
      <c r="J40" s="24">
        <f>(J$3)*138</f>
        <v>138</v>
      </c>
      <c r="K40" s="25">
        <v>750</v>
      </c>
      <c r="L40" s="24">
        <f>(L$3)*230</f>
        <v>230</v>
      </c>
      <c r="M40" s="25">
        <v>750</v>
      </c>
      <c r="N40" s="24">
        <f>(N$3)*575</f>
        <v>575</v>
      </c>
      <c r="O40" s="25">
        <v>750</v>
      </c>
      <c r="P40" s="24">
        <f>(P$3)*1150</f>
        <v>1150</v>
      </c>
      <c r="Q40" s="25">
        <v>750</v>
      </c>
      <c r="R40" s="24">
        <f>(R$3)*2300</f>
        <v>2300</v>
      </c>
      <c r="S40" s="25">
        <v>750</v>
      </c>
      <c r="T40" s="65"/>
      <c r="U40" s="102"/>
      <c r="V40" s="65"/>
      <c r="W40" s="102"/>
      <c r="X40" s="19"/>
      <c r="Y40" s="19"/>
      <c r="Z40" s="19"/>
      <c r="AA40" s="19"/>
    </row>
    <row r="41" spans="1:31" ht="15.75" thickBot="1" x14ac:dyDescent="0.3">
      <c r="A41" s="19"/>
      <c r="B41" s="26">
        <f>($B$3)*1</f>
        <v>1</v>
      </c>
      <c r="C41" s="27">
        <v>800</v>
      </c>
      <c r="D41" s="26">
        <f>(D$3)*5</f>
        <v>5</v>
      </c>
      <c r="E41" s="27">
        <v>800</v>
      </c>
      <c r="F41" s="26">
        <f>(F$3)*25</f>
        <v>25</v>
      </c>
      <c r="G41" s="27">
        <v>800</v>
      </c>
      <c r="H41" s="26">
        <f>(H$3)*85</f>
        <v>85</v>
      </c>
      <c r="I41" s="27">
        <v>800</v>
      </c>
      <c r="J41" s="26">
        <f>(J$3)*120</f>
        <v>120</v>
      </c>
      <c r="K41" s="27">
        <v>800</v>
      </c>
      <c r="L41" s="26">
        <f>(L$3)*200</f>
        <v>200</v>
      </c>
      <c r="M41" s="27">
        <v>800</v>
      </c>
      <c r="N41" s="26">
        <f>(N$3)*500</f>
        <v>500</v>
      </c>
      <c r="O41" s="27">
        <v>800</v>
      </c>
      <c r="P41" s="26">
        <f>(P$3)*1000</f>
        <v>1000</v>
      </c>
      <c r="Q41" s="27">
        <v>800</v>
      </c>
      <c r="R41" s="26">
        <f>(R$3)*2000</f>
        <v>2000</v>
      </c>
      <c r="S41" s="27">
        <v>800</v>
      </c>
      <c r="T41" s="67"/>
      <c r="U41" s="121"/>
      <c r="V41" s="67"/>
      <c r="W41" s="121"/>
      <c r="X41" s="19"/>
      <c r="Y41" s="19"/>
      <c r="Z41" s="19"/>
      <c r="AA41" s="19"/>
    </row>
    <row r="42" spans="1:31" x14ac:dyDescent="0.25">
      <c r="A42" s="19" t="s">
        <v>353</v>
      </c>
      <c r="B42" s="60" cm="1">
        <f t="array" ref="B42">IF(VLOOKUP(Input!$D$15,C$7:C$41,1,TRUE)=Input!$D$15,INDEX(B$7:B$41,MATCH(VLOOKUP(Input!$D$15,C$7:C$41,1,TRUE),C$7:C$41)),INDEX(B$7:B$41,MATCH(VLOOKUP(Input!$D$15,C$7:C$41,1,TRUE),C$7:C$41)+1))</f>
        <v>10</v>
      </c>
      <c r="C42" s="61"/>
      <c r="D42" s="60" cm="1">
        <f t="array" ref="D42">IF(VLOOKUP(Input!$D$15,E$7:E$41,1,TRUE)=Input!$D$15,INDEX(D$7:D$41,MATCH(VLOOKUP(Input!$D$15,E$7:E$41,1,TRUE),E$7:E$41)),INDEX(D$7:D$41,MATCH(VLOOKUP(Input!$D$15,E$7:E$41,1,TRUE),E$7:E$41)+1))</f>
        <v>50</v>
      </c>
      <c r="E42" s="61"/>
      <c r="F42" s="60" cm="1">
        <f t="array" ref="F42">IF(VLOOKUP(Input!$D$15,G$7:G$41,1,TRUE)=Input!$D$15,INDEX(F$7:F$41,MATCH(VLOOKUP(Input!$D$15,G$7:G$41,1,TRUE),G$7:G$41)),INDEX(F$7:F$41,MATCH(VLOOKUP(Input!$D$15,G$7:G$41,1,TRUE),G$7:G$41)+1))</f>
        <v>250</v>
      </c>
      <c r="G42" s="61"/>
      <c r="H42" s="60" cm="1">
        <f t="array" ref="H42">IF(VLOOKUP(Input!$D$15,I$7:I$41,1,TRUE)=Input!$D$15,INDEX(H$7:H$41,MATCH(VLOOKUP(Input!$D$15,I$7:I$41,1,TRUE),I$7:I$41)),INDEX(H$7:H$41,MATCH(VLOOKUP(Input!$D$15,I$7:I$41,1,TRUE),I$7:I$41)+1))</f>
        <v>850</v>
      </c>
      <c r="I42" s="61"/>
      <c r="J42" s="60" cm="1">
        <f t="array" ref="J42">IF(VLOOKUP(Input!$D$15,K$7:K$41,1,TRUE)=Input!$D$15,INDEX(J$7:J$41,MATCH(VLOOKUP(Input!$D$15,K$7:K$41,1,TRUE),K$7:K$41)),INDEX(J$7:J$41,MATCH(VLOOKUP(Input!$D$15,K$7:K$41,1,TRUE),K$7:K$41)+1))</f>
        <v>1200</v>
      </c>
      <c r="K42" s="61"/>
      <c r="L42" s="60" cm="1">
        <f t="array" ref="L42">IF(VLOOKUP(Input!$D$15,M$7:M$41,1,TRUE)=Input!$D$15,INDEX(L$7:L$41,MATCH(VLOOKUP(Input!$D$15,M$7:M$41,1,TRUE),M$7:M$41)),INDEX(L$7:L$41,MATCH(VLOOKUP(Input!$D$15,M$7:M$41,1,TRUE),M$7:M$41)+1))</f>
        <v>2000</v>
      </c>
      <c r="M42" s="61"/>
      <c r="N42" s="60" cm="1">
        <f t="array" ref="N42">IF(VLOOKUP(Input!$D$15,O$7:O$41,1,TRUE)=Input!$D$15,INDEX(N$7:N$41,MATCH(VLOOKUP(Input!$D$15,O$7:O$41,1,TRUE),O$7:O$41)),INDEX(N$7:N$41,MATCH(VLOOKUP(Input!$D$15,O$7:O$41,1,TRUE),O$7:O$41)+1))</f>
        <v>5000</v>
      </c>
      <c r="O42" s="61"/>
      <c r="P42" s="60" cm="1">
        <f t="array" ref="P42">IF(VLOOKUP(Input!$D$15,Q$7:Q$41,1,TRUE)=Input!$D$15,INDEX(P$7:P$41,MATCH(VLOOKUP(Input!$D$15,Q$7:Q$41,1,TRUE),Q$7:Q$41)),INDEX(P$7:P$41,MATCH(VLOOKUP(Input!$D$15,Q$7:Q$41,1,TRUE),Q$7:Q$41)+1))</f>
        <v>10000</v>
      </c>
      <c r="Q42" s="61"/>
      <c r="R42" s="60" cm="1">
        <f t="array" ref="R42">IF(VLOOKUP(Input!$D$15,S$7:S$41,1,TRUE)=Input!$D$15,INDEX(R$7:R$41,MATCH(VLOOKUP(Input!$D$15,S$7:S$41,1,TRUE),S$7:S$41)),INDEX(R$7:R$41,MATCH(VLOOKUP(Input!$D$15,S$7:S$41,1,TRUE),S$7:S$41)+1))</f>
        <v>20000</v>
      </c>
      <c r="S42" s="19"/>
      <c r="T42" s="60" cm="1">
        <f t="array" ref="T42">IF(VLOOKUP(Input!$D$15,U$7:U$41,1,TRUE)=Input!$D$15,INDEX(T$7:T$41,MATCH(VLOOKUP(Input!$D$15,U$7:U$41,1,TRUE),U$7:U$41)),INDEX(T$7:T$41,MATCH(VLOOKUP(Input!$D$15,U$7:U$41,1,TRUE),U$7:U$41)+1))</f>
        <v>30000</v>
      </c>
      <c r="U42" s="19"/>
      <c r="V42" s="60" cm="1">
        <f t="array" ref="V42">IF(VLOOKUP(Input!$D$15,W$7:W$41,1,TRUE)=Input!$D$15,INDEX(V$7:V$41,MATCH(VLOOKUP(Input!$D$15,W$7:W$41,1,TRUE),W$7:W$41)),INDEX(V$7:V$41,MATCH(VLOOKUP(Input!$D$15,W$7:W$41,1,TRUE),W$7:W$41)+1))</f>
        <v>50000</v>
      </c>
      <c r="W42" s="19"/>
      <c r="X42" s="19"/>
      <c r="Y42" s="19"/>
      <c r="Z42" s="19"/>
      <c r="AA42" s="19"/>
    </row>
    <row r="43" spans="1:31" ht="15.75" thickBot="1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spans="1:31" ht="15.75" thickBot="1" x14ac:dyDescent="0.3">
      <c r="A44" s="20" t="s">
        <v>41</v>
      </c>
      <c r="B44" s="21" t="str">
        <f>IF($R$42&lt;Input!D12,"N/A",IF(Input!D12&lt;=ZG!$B$42,ZG!$B$6,IF(Input!D12&lt;=ZG!$D$42,ZG!$D$6,IF(Input!D12&lt;=ZG!$F$42,ZG!$F$6,IF(Input!D12&lt;=ZG!$H$42,ZG!$H$6,IF(Input!D12&lt;=ZG!$J$42,ZG!$J$6,IF(Input!D12&lt;=ZG!$L$42,ZG!$L$6,IF(Input!D12&lt;=ZG!$N$42,$N$6,IF(Input!D12&lt;=ZG!$P$42,ZG!$P$6,IF(Input!D12&lt;=ZG!$R$42,ZG!$R$6,))))))))))</f>
        <v>ZG9</v>
      </c>
      <c r="C44" s="19"/>
      <c r="D44" t="s">
        <v>188</v>
      </c>
      <c r="E44" s="19" t="str">
        <f>IF($V$42&lt;Input!D12,"N/A",IF(Input!D12&lt;=ZG!$B$42,ZG!$B$6,IF(Input!D12&lt;=ZG!$D$42,ZG!$D$6,IF(Input!D12&lt;=ZG!$F$42,ZG!$F$6,IF(Input!D12&lt;=ZG!$H$42,ZG!$H$6,IF(Input!D12&lt;=ZG!$J$42,ZG!$J$6,IF(Input!D12&lt;=ZG!$L$42,ZG!$L$6,IF(Input!D12&lt;=ZG!$N$42,$N$6,IF(Input!D12&lt;=ZG!$P$42,ZG!$P$6,IF(Input!D12&lt;=ZG!$R$42,$R$6,IF(Input!D12&lt;=$T$42,$T$6,IF(Input!D12&lt;=$V$42,$V$6,))))))))))))</f>
        <v>ZG9</v>
      </c>
      <c r="F44" s="62" t="str">
        <f>IF(Input!D12&lt;=ZG!$B$42,ZG!$B$6,IF(Input!D12&lt;=ZG!$D$42,ZG!$D$6,IF(Input!D12&lt;=ZG!$F$42,ZG!$F$6,IF(Input!D12&lt;=ZG!$H$42,ZG!$H$6,IF(Input!D12&lt;=ZG!$J$42,ZG!$J$6,IF(Input!D12&lt;=ZG!$L$42,ZG!$L$6,IF(Input!D12&lt;=ZG!$N$42,$N$6,IF(Input!D12&lt;=ZG!$P$42,ZG!$P$6,IF(Input!D12&lt;=ZG!$R$42,ZG!$R$6,)))))))))</f>
        <v>ZG9</v>
      </c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 spans="1:31" x14ac:dyDescent="0.25">
      <c r="A45" s="19" t="s">
        <v>156</v>
      </c>
      <c r="B45" s="19">
        <f>Input!$D$27</f>
        <v>0</v>
      </c>
      <c r="C45" s="19"/>
      <c r="D45" s="19"/>
      <c r="E45" s="19"/>
      <c r="F45" s="62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 spans="1:31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spans="1:31" ht="30.75" thickBot="1" x14ac:dyDescent="0.3">
      <c r="B47" s="37" t="s">
        <v>42</v>
      </c>
      <c r="C47" s="37" t="s">
        <v>43</v>
      </c>
      <c r="D47" s="38" t="s">
        <v>44</v>
      </c>
      <c r="E47" s="37" t="s">
        <v>129</v>
      </c>
      <c r="F47" s="37" t="s">
        <v>45</v>
      </c>
      <c r="G47" s="37" t="s">
        <v>46</v>
      </c>
      <c r="H47" s="37" t="s">
        <v>47</v>
      </c>
      <c r="I47" s="39" t="s">
        <v>48</v>
      </c>
      <c r="J47" s="39" t="s">
        <v>49</v>
      </c>
      <c r="K47" s="37" t="s">
        <v>50</v>
      </c>
      <c r="L47" s="37" t="s">
        <v>51</v>
      </c>
      <c r="M47" s="174" t="s">
        <v>187</v>
      </c>
      <c r="N47" s="216" t="s">
        <v>317</v>
      </c>
      <c r="O47" s="19"/>
      <c r="P47" s="19"/>
      <c r="Q47" s="19"/>
      <c r="R47" s="19"/>
      <c r="S47" s="19"/>
      <c r="T47" s="19"/>
      <c r="U47" s="19"/>
      <c r="V47" s="69"/>
      <c r="W47" s="19"/>
      <c r="X47" s="19"/>
      <c r="Y47" s="233"/>
      <c r="Z47" s="233"/>
      <c r="AA47" s="233"/>
    </row>
    <row r="48" spans="1:31" ht="15.75" thickBot="1" x14ac:dyDescent="0.3">
      <c r="B48" s="3" t="s">
        <v>24</v>
      </c>
      <c r="C48" s="40">
        <v>490</v>
      </c>
      <c r="D48" s="41">
        <v>70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IF($B$44=$B48,Input!$D$12,IF($B$45=B48,Input!$D$12,10))</f>
        <v>10</v>
      </c>
      <c r="H48" s="42">
        <f>$E48*$F48*($C48/60)^3*($D48/1000)^5</f>
        <v>6.1196431837754623</v>
      </c>
      <c r="I48" s="53">
        <v>1</v>
      </c>
      <c r="J48" s="44">
        <f t="shared" ref="J48:J64" si="0">9549*H48/C48/1000</f>
        <v>0.11925810767728957</v>
      </c>
      <c r="K48" s="177">
        <f t="shared" ref="K48:K64" si="1">H48/G48</f>
        <v>0.61196431837754628</v>
      </c>
      <c r="L48" s="177">
        <f>3.14*$D48/1000*$C$48/60</f>
        <v>1.7950333333333335</v>
      </c>
      <c r="M48" s="215">
        <v>55</v>
      </c>
      <c r="N48" s="40">
        <v>1.1599999999999999</v>
      </c>
      <c r="O48" s="19"/>
      <c r="P48" s="19"/>
      <c r="Q48" s="19"/>
      <c r="R48" s="19"/>
      <c r="S48" s="19"/>
      <c r="T48" s="19"/>
      <c r="U48" s="19"/>
      <c r="V48" s="317" t="s">
        <v>358</v>
      </c>
      <c r="W48" s="232"/>
      <c r="X48" s="227" t="s">
        <v>336</v>
      </c>
      <c r="Y48" s="236" t="s">
        <v>345</v>
      </c>
      <c r="Z48" s="227" t="s">
        <v>341</v>
      </c>
      <c r="AA48" s="236" t="s">
        <v>345</v>
      </c>
      <c r="AC48" s="19"/>
      <c r="AD48" s="19"/>
      <c r="AE48" s="19"/>
    </row>
    <row r="49" spans="1:30" ht="24.95" customHeight="1" x14ac:dyDescent="0.25">
      <c r="A49" s="248" t="s">
        <v>52</v>
      </c>
      <c r="B49" s="309" t="s">
        <v>24</v>
      </c>
      <c r="C49" s="309">
        <v>490</v>
      </c>
      <c r="D49" s="310">
        <v>70</v>
      </c>
      <c r="E49" s="309">
        <v>6.6849999999999996</v>
      </c>
      <c r="F49" s="309">
        <v>1000</v>
      </c>
      <c r="G49" s="309">
        <f>IF($B$44=$B49,Input!$D$12,IF($B$45=B49,Input!$D$12,10))</f>
        <v>10</v>
      </c>
      <c r="H49" s="311">
        <f t="shared" ref="H49:H64" si="2">$E49*$F49*($C49/60)^3*($D49/1000)^5</f>
        <v>6.1196431837754623</v>
      </c>
      <c r="I49" s="312">
        <v>1</v>
      </c>
      <c r="J49" s="313">
        <f t="shared" si="0"/>
        <v>0.11925810767728957</v>
      </c>
      <c r="K49" s="313">
        <f t="shared" si="1"/>
        <v>0.61196431837754628</v>
      </c>
      <c r="L49" s="313">
        <f t="shared" ref="L49:L65" si="3">3.14*$D49/1000*C49/60</f>
        <v>1.7950333333333335</v>
      </c>
      <c r="M49" s="314">
        <v>55</v>
      </c>
      <c r="N49" s="309">
        <v>1.1599999999999999</v>
      </c>
      <c r="O49" s="19"/>
      <c r="P49" s="19"/>
      <c r="Q49" s="19"/>
      <c r="R49" s="19"/>
      <c r="S49" s="19"/>
      <c r="T49" s="19"/>
      <c r="U49" s="19"/>
      <c r="V49" s="317"/>
      <c r="W49" s="229" t="s">
        <v>53</v>
      </c>
      <c r="X49" s="318">
        <f>IF($B$45=0,
IF($B$44="N/A","N/A",IF(Input!D14&lt;=1000,VLOOKUP($B$44,ZG!$B$48:$N$69,2,FALSE),ROUNDDOWN(SQRT((213500000000000000*VLOOKUP($B$44,$B$48:$N$69,9,FALSE))/(9.549*VLOOKUP($B$44,$B$48:$N$69,4,FALSE)*(VLOOKUP($B$44,$B$48:$N$69,5,FALSE)/1000)*(VLOOKUP($B$44,$B$48:$N$69,3,FALSE)^5))),0))),
IF(Input!D14&lt;=1000,VLOOKUP($B$45,ZG!$B$48:$N$69,2,FALSE),ROUNDDOWN(SQRT((213500000000000000*VLOOKUP($B$45,$B$48:$N$69,9,FALSE))/(9.549*VLOOKUP($B$45,$B$48:$N$69,4,FALSE)*(VLOOKUP($B$45,$B$48:$N$69,5,FALSE)/1000)*(VLOOKUP($B$45,$B$48:$N$69,3,FALSE)^5))),0)))</f>
        <v>243</v>
      </c>
      <c r="Y49" s="64" t="s">
        <v>342</v>
      </c>
      <c r="Z49" s="318">
        <f>$X$49</f>
        <v>243</v>
      </c>
      <c r="AA49" s="326" t="s">
        <v>342</v>
      </c>
      <c r="AD49" s="100"/>
    </row>
    <row r="50" spans="1:30" ht="24.95" customHeight="1" x14ac:dyDescent="0.25">
      <c r="B50" s="3" t="s">
        <v>25</v>
      </c>
      <c r="C50" s="40">
        <v>490</v>
      </c>
      <c r="D50" s="41">
        <v>96</v>
      </c>
      <c r="E50" s="3">
        <v>6.6849999999999996</v>
      </c>
      <c r="F50" s="3">
        <f>IF(ZG!$B$44=$B50,Input!$D$14,IF($B$45=$B50,Input!$D$14,1000))</f>
        <v>1000</v>
      </c>
      <c r="G50" s="3">
        <f>IF($B$44=$B50,Input!$D$12,IF($B$45=B50,Input!$D$12,50))</f>
        <v>50</v>
      </c>
      <c r="H50" s="42">
        <f t="shared" si="2"/>
        <v>29.688760463523831</v>
      </c>
      <c r="I50" s="53">
        <v>1</v>
      </c>
      <c r="J50" s="44">
        <f t="shared" si="0"/>
        <v>0.57856729319630429</v>
      </c>
      <c r="K50" s="175">
        <f t="shared" si="1"/>
        <v>0.59377520927047667</v>
      </c>
      <c r="L50" s="177">
        <f t="shared" si="3"/>
        <v>2.4617599999999999</v>
      </c>
      <c r="M50" s="215">
        <v>55</v>
      </c>
      <c r="N50" s="40">
        <v>1.1599999999999999</v>
      </c>
      <c r="O50" s="19"/>
      <c r="P50" s="19"/>
      <c r="Q50" s="19"/>
      <c r="R50" s="19"/>
      <c r="S50" s="19"/>
      <c r="T50" s="19"/>
      <c r="U50" s="19"/>
      <c r="V50" s="317"/>
      <c r="W50" s="230" t="s">
        <v>13</v>
      </c>
      <c r="X50" s="330">
        <f>IF($B$45=0,
IF($X$49=$B$44,"N/A",(VLOOKUP($B$44,ZG!$B$48:$N$69,4,FALSE)*Input!$D$14*($X$49/60)^3*((VLOOKUP($B$44,ZG!$B$48:$N$69,3,FALSE))/1000)^5)/Input!$D$12),
(VLOOKUP($B$45,ZG!$B$48:$N$69,4,FALSE)*Input!$D$14*($X$49/60)^3*((VLOOKUP($B$45,ZG!$B$48:$N$69,3,FALSE))/1000)^5)/Input!$D$12)</f>
        <v>0.10802066145558185</v>
      </c>
      <c r="Y50" s="102" t="s">
        <v>14</v>
      </c>
      <c r="Z50" s="319">
        <f>$X$50/0.264172</f>
        <v>0.40890276583279772</v>
      </c>
      <c r="AA50" s="234" t="s">
        <v>343</v>
      </c>
      <c r="AD50" s="100"/>
    </row>
    <row r="51" spans="1:30" ht="24.95" customHeight="1" x14ac:dyDescent="0.25">
      <c r="A51" s="248" t="s">
        <v>52</v>
      </c>
      <c r="B51" s="309" t="s">
        <v>25</v>
      </c>
      <c r="C51" s="309">
        <v>490</v>
      </c>
      <c r="D51" s="310">
        <v>96</v>
      </c>
      <c r="E51" s="309">
        <v>6.6849999999999996</v>
      </c>
      <c r="F51" s="309">
        <v>1000</v>
      </c>
      <c r="G51" s="309">
        <f>IF($B$44=$B51,Input!$D$12,IF($B$45=B51,Input!$D$12,50))</f>
        <v>50</v>
      </c>
      <c r="H51" s="311">
        <f t="shared" si="2"/>
        <v>29.688760463523831</v>
      </c>
      <c r="I51" s="312">
        <v>1</v>
      </c>
      <c r="J51" s="313">
        <f t="shared" si="0"/>
        <v>0.57856729319630429</v>
      </c>
      <c r="K51" s="311">
        <f t="shared" si="1"/>
        <v>0.59377520927047667</v>
      </c>
      <c r="L51" s="313">
        <f t="shared" si="3"/>
        <v>2.4617599999999999</v>
      </c>
      <c r="M51" s="314">
        <v>55</v>
      </c>
      <c r="N51" s="309">
        <v>1.1599999999999999</v>
      </c>
      <c r="O51" s="19"/>
      <c r="P51" s="19"/>
      <c r="Q51" s="19"/>
      <c r="R51" s="19"/>
      <c r="S51" s="19"/>
      <c r="T51" s="19"/>
      <c r="U51" s="19"/>
      <c r="V51" s="317"/>
      <c r="W51" s="230" t="s">
        <v>15</v>
      </c>
      <c r="X51" s="328">
        <f>IF($B$45=0,
IF($X$49=$B$44,"N/A",3.14*VLOOKUP($B$44,$B$48:$N$69,3,FALSE)/1000*$X$49/60),
3.14*VLOOKUP($B$45,$B$48:$N$69,3,FALSE)/1000*$X$49/60)</f>
        <v>3.8150999999999997</v>
      </c>
      <c r="Y51" s="234" t="s">
        <v>16</v>
      </c>
      <c r="Z51" s="320">
        <f>$X$51*196.85</f>
        <v>751.00243499999988</v>
      </c>
      <c r="AA51" s="234" t="s">
        <v>344</v>
      </c>
      <c r="AD51" s="100"/>
    </row>
    <row r="52" spans="1:30" ht="30.75" thickBot="1" x14ac:dyDescent="0.3">
      <c r="B52" s="3" t="s">
        <v>26</v>
      </c>
      <c r="C52" s="40">
        <v>490</v>
      </c>
      <c r="D52" s="41">
        <v>117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IF($B$44=$B52,Input!$D$12,IF($B$45=B52,Input!$D$12,250))</f>
        <v>250</v>
      </c>
      <c r="H52" s="42">
        <f t="shared" si="2"/>
        <v>79.829830888638114</v>
      </c>
      <c r="I52" s="53">
        <v>2</v>
      </c>
      <c r="J52" s="44">
        <f t="shared" si="0"/>
        <v>1.5557041941951129</v>
      </c>
      <c r="K52" s="175">
        <f t="shared" si="1"/>
        <v>0.31931932355455245</v>
      </c>
      <c r="L52" s="177">
        <f t="shared" si="3"/>
        <v>3.00027</v>
      </c>
      <c r="M52" s="215">
        <v>94</v>
      </c>
      <c r="N52" s="40">
        <v>1.1499999999999999</v>
      </c>
      <c r="O52" s="19"/>
      <c r="P52" s="19"/>
      <c r="Q52" s="19"/>
      <c r="R52" s="19"/>
      <c r="S52" s="19"/>
      <c r="T52" s="19"/>
      <c r="U52" s="19"/>
      <c r="W52" s="327" t="s">
        <v>364</v>
      </c>
      <c r="X52" s="333" t="str">
        <f>CONCATENATE(MROUND(Input!$D$12/$X$58*5,0.5)," min")</f>
        <v>6,5 min</v>
      </c>
      <c r="Y52" s="34"/>
      <c r="Z52" s="332" t="str">
        <f>$X$52</f>
        <v>6,5 min</v>
      </c>
      <c r="AA52" s="34"/>
      <c r="AD52" s="100"/>
    </row>
    <row r="53" spans="1:30" ht="24.95" customHeight="1" x14ac:dyDescent="0.25">
      <c r="A53" s="248" t="s">
        <v>52</v>
      </c>
      <c r="B53" s="309" t="s">
        <v>26</v>
      </c>
      <c r="C53" s="309">
        <v>490</v>
      </c>
      <c r="D53" s="310">
        <v>117</v>
      </c>
      <c r="E53" s="309">
        <v>6.6849999999999996</v>
      </c>
      <c r="F53" s="309">
        <v>1000</v>
      </c>
      <c r="G53" s="309">
        <f>IF($B$44=$B53,Input!$D$12,IF($B$45=B53,Input!$D$12,250))</f>
        <v>250</v>
      </c>
      <c r="H53" s="311">
        <f t="shared" si="2"/>
        <v>79.829830888638114</v>
      </c>
      <c r="I53" s="312">
        <v>2</v>
      </c>
      <c r="J53" s="313">
        <f t="shared" si="0"/>
        <v>1.5557041941951129</v>
      </c>
      <c r="K53" s="311">
        <f t="shared" si="1"/>
        <v>0.31931932355455245</v>
      </c>
      <c r="L53" s="313">
        <f t="shared" si="3"/>
        <v>3.00027</v>
      </c>
      <c r="M53" s="314">
        <v>94</v>
      </c>
      <c r="N53" s="309">
        <v>1.1499999999999999</v>
      </c>
      <c r="O53" s="19"/>
      <c r="P53" s="19"/>
      <c r="Q53" s="19"/>
      <c r="R53" s="19"/>
      <c r="S53" s="19"/>
      <c r="T53" s="19"/>
      <c r="U53" s="19"/>
      <c r="V53" s="317" t="s">
        <v>352</v>
      </c>
      <c r="W53" s="229" t="s">
        <v>359</v>
      </c>
      <c r="X53" s="223">
        <f>IF(Input!$E$27=0,$X$49,Input!$E$27)</f>
        <v>145</v>
      </c>
      <c r="Y53" s="102" t="s">
        <v>342</v>
      </c>
      <c r="Z53" s="228">
        <f>$X$53</f>
        <v>145</v>
      </c>
      <c r="AA53" s="234" t="s">
        <v>342</v>
      </c>
      <c r="AD53" s="100"/>
    </row>
    <row r="54" spans="1:30" ht="24.95" customHeight="1" x14ac:dyDescent="0.25">
      <c r="B54" s="3" t="s">
        <v>27</v>
      </c>
      <c r="C54" s="40">
        <v>490</v>
      </c>
      <c r="D54" s="41">
        <v>148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IF($B$44=$B54,Input!$D$12,IF($B$45=B54,Input!$D$12,850))</f>
        <v>850</v>
      </c>
      <c r="H54" s="42">
        <f t="shared" si="2"/>
        <v>258.5499615410568</v>
      </c>
      <c r="I54" s="53">
        <v>6</v>
      </c>
      <c r="J54" s="54">
        <f t="shared" si="0"/>
        <v>5.038558332154186</v>
      </c>
      <c r="K54" s="175">
        <f t="shared" si="1"/>
        <v>0.30417642534241979</v>
      </c>
      <c r="L54" s="177">
        <f t="shared" si="3"/>
        <v>3.7952133333333338</v>
      </c>
      <c r="M54" s="215">
        <v>94</v>
      </c>
      <c r="N54" s="40">
        <v>1.1000000000000001</v>
      </c>
      <c r="O54" s="19"/>
      <c r="P54" s="19"/>
      <c r="Q54" s="19"/>
      <c r="R54" s="19"/>
      <c r="S54" s="19"/>
      <c r="T54" s="19"/>
      <c r="U54" s="19"/>
      <c r="V54" s="317"/>
      <c r="W54" s="230" t="s">
        <v>13</v>
      </c>
      <c r="X54" s="319">
        <f>IF($B$45=0,
IF($B$44=$X$49,"N/A",(VLOOKUP($B$44,ZG!$B$48:$N$69,4,FALSE)*Input!$D$14*($X$53/60)^3*(((VLOOKUP($B$44,ZG!$B$48:$N$69,3,FALSE))/1000)^5)/Input!$D$12)),
(VLOOKUP($B$45,ZG!$B$48:$N$69,4,FALSE)*Input!$D$14*($X$53/60)^3*(((VLOOKUP($B$45,ZG!$B$48:$N$69,3,FALSE))/1000)^5)/Input!$D$12))</f>
        <v>2.2950492956015617E-2</v>
      </c>
      <c r="Y54" s="102" t="s">
        <v>14</v>
      </c>
      <c r="Z54" s="321">
        <f>$X$54/0.264172</f>
        <v>8.6877083703101071E-2</v>
      </c>
      <c r="AA54" s="234" t="s">
        <v>343</v>
      </c>
      <c r="AD54" s="100"/>
    </row>
    <row r="55" spans="1:30" x14ac:dyDescent="0.25">
      <c r="A55" s="248" t="s">
        <v>52</v>
      </c>
      <c r="B55" s="309" t="s">
        <v>27</v>
      </c>
      <c r="C55" s="309">
        <v>490</v>
      </c>
      <c r="D55" s="310">
        <v>148</v>
      </c>
      <c r="E55" s="309">
        <v>6.6849999999999996</v>
      </c>
      <c r="F55" s="309">
        <v>1000</v>
      </c>
      <c r="G55" s="309">
        <f>IF($B$44=$B55,Input!$D$12,IF($B$45=B55,Input!$D$12,850))</f>
        <v>850</v>
      </c>
      <c r="H55" s="311">
        <f t="shared" si="2"/>
        <v>258.5499615410568</v>
      </c>
      <c r="I55" s="312">
        <v>6</v>
      </c>
      <c r="J55" s="315">
        <f t="shared" si="0"/>
        <v>5.038558332154186</v>
      </c>
      <c r="K55" s="311">
        <f t="shared" si="1"/>
        <v>0.30417642534241979</v>
      </c>
      <c r="L55" s="313">
        <f t="shared" si="3"/>
        <v>3.7952133333333338</v>
      </c>
      <c r="M55" s="314">
        <v>94</v>
      </c>
      <c r="N55" s="309">
        <v>1.1000000000000001</v>
      </c>
      <c r="O55" s="19"/>
      <c r="P55" s="19"/>
      <c r="Q55" s="19"/>
      <c r="R55" s="19"/>
      <c r="S55" s="19"/>
      <c r="T55" s="19"/>
      <c r="U55" s="19"/>
      <c r="V55" s="317"/>
      <c r="W55" s="230" t="s">
        <v>360</v>
      </c>
      <c r="X55" s="328">
        <f>IF($B$45=0,
IF($X$49=$B$44,"N/A",3.14*VLOOKUP($B$44,$B$48:$N$69,3,FALSE)/1000*$X$53/60),
3.14*VLOOKUP($B$45,$B$48:$N$69,3,FALSE)/1000*$X$53/60)</f>
        <v>2.2765</v>
      </c>
      <c r="Y55" s="234" t="s">
        <v>16</v>
      </c>
      <c r="Z55" s="320">
        <f>$X$55*196.85</f>
        <v>448.12902499999996</v>
      </c>
      <c r="AA55" s="234" t="s">
        <v>344</v>
      </c>
      <c r="AD55" s="100"/>
    </row>
    <row r="56" spans="1:30" ht="45.75" thickBot="1" x14ac:dyDescent="0.3">
      <c r="B56" s="3" t="s">
        <v>28</v>
      </c>
      <c r="C56" s="40">
        <v>490</v>
      </c>
      <c r="D56" s="41">
        <v>160</v>
      </c>
      <c r="E56" s="3">
        <v>6.6849999999999996</v>
      </c>
      <c r="F56" s="3">
        <f>IF(ZG!$B$44=$B56,Input!$D$14,IF($B$45=$B56,Input!$D$14,1000))</f>
        <v>1000</v>
      </c>
      <c r="G56" s="3">
        <f>IF($B$44=$B56,Input!$D$12,IF($B$45=B56,Input!$D$12,1000))</f>
        <v>1000</v>
      </c>
      <c r="H56" s="42">
        <f t="shared" si="2"/>
        <v>381.79990308029613</v>
      </c>
      <c r="I56" s="53">
        <v>8</v>
      </c>
      <c r="J56" s="176">
        <f t="shared" si="0"/>
        <v>7.4404230092117292</v>
      </c>
      <c r="K56" s="175">
        <f t="shared" si="1"/>
        <v>0.38179990308029615</v>
      </c>
      <c r="L56" s="177">
        <f t="shared" si="3"/>
        <v>4.1029333333333344</v>
      </c>
      <c r="M56" s="215">
        <v>104</v>
      </c>
      <c r="N56" s="40">
        <v>1</v>
      </c>
      <c r="O56" s="19"/>
      <c r="P56" s="19"/>
      <c r="Q56" s="19"/>
      <c r="R56" s="19"/>
      <c r="S56" s="19"/>
      <c r="T56" s="19"/>
      <c r="U56" s="19"/>
      <c r="V56" s="317"/>
      <c r="W56" s="327" t="s">
        <v>365</v>
      </c>
      <c r="X56" s="333" t="str">
        <f>CONCATENATE(MROUND(Input!$D$12/$X$59*5,0.5)," min")</f>
        <v>11 min</v>
      </c>
      <c r="Y56" s="235"/>
      <c r="Z56" s="329" t="str">
        <f>$X$56</f>
        <v>11 min</v>
      </c>
      <c r="AA56" s="121"/>
      <c r="AD56" s="100"/>
    </row>
    <row r="57" spans="1:30" x14ac:dyDescent="0.25">
      <c r="A57" s="248" t="s">
        <v>52</v>
      </c>
      <c r="B57" s="309" t="s">
        <v>28</v>
      </c>
      <c r="C57" s="309">
        <v>490</v>
      </c>
      <c r="D57" s="310">
        <v>160</v>
      </c>
      <c r="E57" s="309">
        <v>6.6849999999999996</v>
      </c>
      <c r="F57" s="309">
        <v>1000</v>
      </c>
      <c r="G57" s="309">
        <f>IF($B$44=$B57,Input!$D$12,IF($B$45=B57,Input!$D$12,1000))</f>
        <v>1000</v>
      </c>
      <c r="H57" s="311">
        <f t="shared" si="2"/>
        <v>381.79990308029613</v>
      </c>
      <c r="I57" s="312">
        <v>8</v>
      </c>
      <c r="J57" s="315">
        <f t="shared" si="0"/>
        <v>7.4404230092117292</v>
      </c>
      <c r="K57" s="311">
        <f t="shared" si="1"/>
        <v>0.38179990308029615</v>
      </c>
      <c r="L57" s="313">
        <f t="shared" si="3"/>
        <v>4.1029333333333344</v>
      </c>
      <c r="M57" s="314">
        <v>104</v>
      </c>
      <c r="N57" s="309">
        <v>1</v>
      </c>
      <c r="O57" s="19"/>
      <c r="P57" s="19"/>
      <c r="Q57" s="19"/>
      <c r="R57" s="19"/>
      <c r="S57" s="19"/>
      <c r="T57" s="19"/>
      <c r="U57" s="19"/>
      <c r="V57" s="19"/>
      <c r="W57" s="334" t="s">
        <v>316</v>
      </c>
      <c r="X57" s="334">
        <v>0.5</v>
      </c>
      <c r="Y57" s="334"/>
      <c r="Z57" s="334"/>
      <c r="AA57" s="334"/>
      <c r="AD57" s="100"/>
    </row>
    <row r="58" spans="1:30" x14ac:dyDescent="0.25">
      <c r="B58" s="3" t="s">
        <v>29</v>
      </c>
      <c r="C58" s="40">
        <v>490</v>
      </c>
      <c r="D58" s="41">
        <v>177</v>
      </c>
      <c r="E58" s="3">
        <v>6.6849999999999996</v>
      </c>
      <c r="F58" s="3">
        <f>IF(ZG!$B$44=$B58,Input!$D$14,IF($B$45=$B58,Input!$D$14,1000))</f>
        <v>1000</v>
      </c>
      <c r="G58" s="3">
        <f>IF($B$44=$B58,Input!$D$12,IF($B$45=B58,Input!$D$12,2000))</f>
        <v>2000</v>
      </c>
      <c r="H58" s="42">
        <f t="shared" si="2"/>
        <v>632.56073780547626</v>
      </c>
      <c r="I58" s="53">
        <v>13</v>
      </c>
      <c r="J58" s="54">
        <f t="shared" si="0"/>
        <v>12.327188745519372</v>
      </c>
      <c r="K58" s="175">
        <f t="shared" si="1"/>
        <v>0.31628036890273814</v>
      </c>
      <c r="L58" s="177">
        <f t="shared" si="3"/>
        <v>4.5388699999999993</v>
      </c>
      <c r="M58" s="215">
        <v>129.5</v>
      </c>
      <c r="N58" s="40">
        <v>1</v>
      </c>
      <c r="O58" s="19"/>
      <c r="P58" s="19"/>
      <c r="Q58" s="19"/>
      <c r="R58" s="19"/>
      <c r="S58" s="19"/>
      <c r="T58" s="19"/>
      <c r="U58" s="19"/>
      <c r="V58" s="19"/>
      <c r="W58" s="335" t="s">
        <v>362</v>
      </c>
      <c r="X58" s="334">
        <f>IF($B$45=0,
IF($X$57*(10.74*(VLOOKUP($B$44,$B$48:$M$69,3,FALSE)/25.4)^2*$X$49*(Input!$D$14/1000)/Input!$D$15)&gt;=20000,1,IF($X$57*(10.74*(VLOOKUP($B$44,$B$48:$M$69,3,FALSE)/25.4)^2*$X$49*(Input!$D$14/1000)/Input!$D$15)&gt;=300,EXP(-5.328+1.683*LN($X$57*(10.74*(VLOOKUP($B$44,$B$48:$M$69,3,FALSE)/25.4)^2*$X$49*(Input!$D$14/1000)/Input!$D$15))-0.179*LN($X$57*(10.74*(VLOOKUP($B$44,$B$48:$M$69,3,FALSE)/25.4)^2*$X$49*(Input!$D$14/1000)/Input!$D$15))^2+0.0064*LN($X$57*(10.74*(VLOOKUP($B$44,$B$48:$M$69,3,FALSE)/25.4)^2*$X$49*(Input!$D$14/1000)/Input!$D$15))^3),IF($X$57*(10.74*(VLOOKUP($B$44,$B$48:$M$69,3,FALSE)/25.4)^2*$X$49*(Input!$D$14/1000)/Input!$D$15)&gt;25,EXP(-0.563-0.231*LN($X$57*(10.74*(VLOOKUP($B$44,$B$48:$M$69,3,FALSE)/25.4)^2*$X$49*(Input!$D$14/1000)/Input!$D$15))+0.0466*LN($X$57*(10.74*(VLOOKUP($B$44,$B$48:$M$69,3,FALSE)/25.4)^2*$X$49*(Input!$D$14/1000)/Input!$D$15))^2),0.439)))*VLOOKUP($B$44,$B$48:$N$69,13,FALSE)*$X$49*(VLOOKUP($B$44,$B$48:$M$69,3,FALSE)^3/1000000),
IF($X$57*(10.74*(VLOOKUP($B$45,$B$48:$M$69,3,FALSE)/25.4)^2*$X$49*(Input!$D$14/1000)/Input!$D$15)&gt;=20000,1,IF($X$57*(10.74*(VLOOKUP($B$45,$B$48:$M$69,3,FALSE)/25.4)^2*$X$49*(Input!$D$14/1000)/Input!$D$15)&gt;=300,EXP(-5.328+1.683*LN($X$57*(10.74*(VLOOKUP($B$45,$B$48:$M$69,3,FALSE)/25.4)^2*$X$49*(Input!$D$14/1000)/Input!$D$15))-0.179*LN($X$57*(10.74*(VLOOKUP($B$45,$B$48:$M$69,3,FALSE)/25.4)^2*$X$49*(Input!$D$14/1000)/Input!$D$15))^2+0.0064*LN($X$57*(10.74*(VLOOKUP($B$45,$B$48:$M$69,3,FALSE)/25.4)^2*$X$49*(Input!$D$14/1000)/Input!$D$15))^3),IF($X$57*(10.74*(VLOOKUP($B$45,$B$48:$M$69,3,FALSE)/25.4)^2*$X$49*(Input!$D$14/1000)/Input!$D$15)&gt;25,EXP(-0.563-0.231*LN($X$57*(10.74*(VLOOKUP($B$45,$B$48:$M$69,3,FALSE)/25.4)^2*$X$49*(Input!$D$14/1000)/Input!$D$15))+0.0466*LN($X$57*(10.74*(VLOOKUP($B$45,$B$48:$M$69,3,FALSE)/25.4)^2*$X$49*(Input!$D$14/1000)/Input!$D$15))^2),0.439)))*VLOOKUP($B$45,$B$48:$N$69,13,FALSE)*$X$49*(VLOOKUP($B$45,$B$48:$M$69,3,FALSE)^3/1000000))</f>
        <v>7545.15</v>
      </c>
      <c r="Y58" s="334"/>
      <c r="Z58" s="334"/>
      <c r="AA58" s="335"/>
      <c r="AD58" s="100"/>
    </row>
    <row r="59" spans="1:30" x14ac:dyDescent="0.25">
      <c r="A59" s="248" t="s">
        <v>52</v>
      </c>
      <c r="B59" s="309" t="s">
        <v>29</v>
      </c>
      <c r="C59" s="309">
        <v>490</v>
      </c>
      <c r="D59" s="310">
        <v>177</v>
      </c>
      <c r="E59" s="309">
        <v>6.6849999999999996</v>
      </c>
      <c r="F59" s="309">
        <v>1000</v>
      </c>
      <c r="G59" s="309">
        <f>IF($B$44=$B59,Input!$D$12,IF($B$45=B59,Input!$D$12,2000))</f>
        <v>2000</v>
      </c>
      <c r="H59" s="311">
        <f t="shared" si="2"/>
        <v>632.56073780547626</v>
      </c>
      <c r="I59" s="312">
        <v>13</v>
      </c>
      <c r="J59" s="315">
        <f t="shared" si="0"/>
        <v>12.327188745519372</v>
      </c>
      <c r="K59" s="311">
        <f t="shared" si="1"/>
        <v>0.31628036890273814</v>
      </c>
      <c r="L59" s="313">
        <f t="shared" si="3"/>
        <v>4.5388699999999993</v>
      </c>
      <c r="M59" s="314">
        <v>129.5</v>
      </c>
      <c r="N59" s="309">
        <v>1</v>
      </c>
      <c r="O59" s="19"/>
      <c r="P59" s="19"/>
      <c r="Q59" s="19"/>
      <c r="R59" s="19"/>
      <c r="S59" s="19"/>
      <c r="T59" s="19"/>
      <c r="U59" s="19"/>
      <c r="V59" s="19"/>
      <c r="W59" s="334" t="s">
        <v>363</v>
      </c>
      <c r="X59" s="334">
        <f>IF($B$45=0,
IF($X$57*(10.74*(VLOOKUP($B$44,$B$48:$M$69,3,FALSE)/25.4)^2*$X$53*(Input!$D$14/1000)/Input!$D$15)&gt;=20000,1,IF($X$57*(10.74*(VLOOKUP($B$44,$B$48:$M$69,3,FALSE)/25.4)^2*$X$53*(Input!$D$14/1000)/Input!$D$15)&gt;=300,EXP(-5.328+1.683*LN($X$57*(10.74*(VLOOKUP($B$44,$B$48:$M$69,3,FALSE)/25.4)^2*$X$53*(Input!$D$14/1000)/Input!$D$15))-0.179*LN($X$57*(10.74*(VLOOKUP($B$44,$B$48:$M$69,3,FALSE)/25.4)^2*$X$53*(Input!$D$14/1000)/Input!$D$15))^2+0.0064*LN($X$57*(10.74*(VLOOKUP($B$44,$B$48:$M$69,3,FALSE)/25.4)^2*$X$53*(Input!$D$14/1000)/Input!$D$15))^3),IF($X$57*(10.74*(VLOOKUP($B$44,$B$48:$M$69,3,FALSE)/25.4)^2*$X$53*(Input!$D$14/1000)/Input!$D$15)&gt;25,EXP(-0.563-0.231*LN($X$57*(10.74*(VLOOKUP($B$44,$B$48:$M$69,3,FALSE)/25.4)^2*$X$53*(Input!$D$14/1000)/Input!$D$15))+0.0466*LN($X$57*(10.74*(VLOOKUP($B$44,$B$48:$M$69,3,FALSE)/25.4)^2*$X$53*(Input!$D$14/1000)/Input!$D$15))^2),0.439)))*VLOOKUP($B$44,$B$48:$N$69,13,FALSE)*$X$53*(VLOOKUP($B$44,$B$48:$M$69,3,FALSE)^3/1000000),
IF($X$57*(10.74*(VLOOKUP($B$45,$B$48:$M$69,3,FALSE)/25.4)^2*$X$53*(Input!$D$14/1000)/Input!$D$15)&gt;=20000,1,IF($X$57*(10.74*(VLOOKUP($B$45,$B$48:$M$69,3,FALSE)/25.4)^2*$X$53*(Input!$D$14/1000)/Input!$D$15)&gt;=300,EXP(-5.328+1.683*LN($X$57*(10.74*(VLOOKUP($B$45,$B$48:$M$69,3,FALSE)/25.4)^2*$X$53*(Input!$D$14/1000)/Input!$D$15))-0.179*LN($X$57*(10.74*(VLOOKUP($B$45,$B$48:$M$69,3,FALSE)/25.4)^2*$X$53*(Input!$D$14/1000)/Input!$D$15))^2+0.0064*LN($X$57*(10.74*(VLOOKUP($B$45,$B$48:$M$69,3,FALSE)/25.4)^2*$X$53*(Input!$D$14/1000)/Input!$D$15))^3),IF($X$57*(10.74*(VLOOKUP($B$45,$B$48:$M$69,3,FALSE)/25.4)^2*$X$53*(Input!$D$14/1000)/Input!$D$15)&gt;25,EXP(-0.563-0.231*LN($X$57*(10.74*(VLOOKUP($B$45,$B$48:$M$69,3,FALSE)/25.4)^2*$X$53*(Input!$D$14/1000)/Input!$D$15))+0.0466*LN($X$57*(10.74*(VLOOKUP($B$45,$B$48:$M$69,3,FALSE)/25.4)^2*$X$53*(Input!$D$14/1000)/Input!$D$15))^2),0.439)))*VLOOKUP($B$45,$B$48:$N$69,13,FALSE)*$X$53*(VLOOKUP($B$45,$B$48:$M$69,3,FALSE)^3/1000000))</f>
        <v>4502.25</v>
      </c>
      <c r="Y59" s="334"/>
      <c r="Z59" s="334"/>
      <c r="AA59" s="335"/>
      <c r="AD59" s="100"/>
    </row>
    <row r="60" spans="1:30" x14ac:dyDescent="0.25">
      <c r="B60" s="3" t="s">
        <v>30</v>
      </c>
      <c r="C60" s="3">
        <v>343</v>
      </c>
      <c r="D60" s="41">
        <v>236</v>
      </c>
      <c r="E60" s="3">
        <v>6.6849999999999996</v>
      </c>
      <c r="F60" s="3">
        <f>IF(ZG!$B$44=$B60,Input!$D$14,IF($B$45=$B60,Input!$D$14,1000))</f>
        <v>1000</v>
      </c>
      <c r="G60" s="3">
        <f>IF($B$44=$B60,Input!$D$12,IF($B$45=B60,Input!$D$12,5000))</f>
        <v>5000</v>
      </c>
      <c r="H60" s="42">
        <f t="shared" si="2"/>
        <v>914.30276979791427</v>
      </c>
      <c r="I60" s="53">
        <v>26</v>
      </c>
      <c r="J60" s="57">
        <f t="shared" si="0"/>
        <v>25.453869238484792</v>
      </c>
      <c r="K60" s="175">
        <f>H60/G60</f>
        <v>0.18286055395958287</v>
      </c>
      <c r="L60" s="177">
        <f t="shared" si="3"/>
        <v>4.2362786666666672</v>
      </c>
      <c r="M60" s="215">
        <v>159.5</v>
      </c>
      <c r="N60" s="40">
        <v>1</v>
      </c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322"/>
      <c r="AD60" s="100"/>
    </row>
    <row r="61" spans="1:30" x14ac:dyDescent="0.25">
      <c r="A61" s="248" t="s">
        <v>52</v>
      </c>
      <c r="B61" s="309" t="s">
        <v>30</v>
      </c>
      <c r="C61" s="309">
        <v>343</v>
      </c>
      <c r="D61" s="310">
        <v>236</v>
      </c>
      <c r="E61" s="309">
        <v>6.6849999999999996</v>
      </c>
      <c r="F61" s="309">
        <v>1000</v>
      </c>
      <c r="G61" s="309">
        <f>IF($B$44=$B61,Input!$D$12,IF($B$45=B61,Input!$D$12,5000))</f>
        <v>5000</v>
      </c>
      <c r="H61" s="311">
        <f t="shared" si="2"/>
        <v>914.30276979791427</v>
      </c>
      <c r="I61" s="312">
        <v>26</v>
      </c>
      <c r="J61" s="316">
        <v>25.5</v>
      </c>
      <c r="K61" s="311">
        <f t="shared" si="1"/>
        <v>0.18286055395958287</v>
      </c>
      <c r="L61" s="313">
        <f t="shared" si="3"/>
        <v>4.2362786666666672</v>
      </c>
      <c r="M61" s="314">
        <v>159.5</v>
      </c>
      <c r="N61" s="309">
        <v>1</v>
      </c>
      <c r="O61" s="19"/>
      <c r="P61" s="19"/>
      <c r="Q61" s="19"/>
      <c r="R61" s="19"/>
      <c r="S61" s="19"/>
      <c r="T61" s="19"/>
      <c r="U61" s="19"/>
      <c r="V61" s="19"/>
      <c r="W61" s="102"/>
      <c r="X61" s="331" t="s">
        <v>348</v>
      </c>
      <c r="Y61" s="331"/>
      <c r="Z61" s="322"/>
      <c r="AA61" s="322"/>
      <c r="AD61" s="100"/>
    </row>
    <row r="62" spans="1:30" ht="15.75" thickBot="1" x14ac:dyDescent="0.3">
      <c r="B62" s="3" t="s">
        <v>31</v>
      </c>
      <c r="C62" s="3">
        <v>245</v>
      </c>
      <c r="D62" s="41">
        <v>300</v>
      </c>
      <c r="E62" s="3">
        <v>6.6849999999999996</v>
      </c>
      <c r="F62" s="3">
        <f>IF(ZG!$B$44=$B62,Input!$D$14,IF($B$45=$B62,Input!$D$14,1000))</f>
        <v>1001</v>
      </c>
      <c r="G62" s="3">
        <f>IF($B$44=$B62,Input!$D$12,IF($B$45=B62,Input!$D$12,10000))</f>
        <v>10000</v>
      </c>
      <c r="H62" s="42">
        <f t="shared" si="2"/>
        <v>1107.0985057945306</v>
      </c>
      <c r="I62" s="53">
        <v>50</v>
      </c>
      <c r="J62" s="54">
        <f t="shared" si="0"/>
        <v>43.149729109518262</v>
      </c>
      <c r="K62" s="175">
        <f t="shared" si="1"/>
        <v>0.11070985057945307</v>
      </c>
      <c r="L62" s="177">
        <f t="shared" si="3"/>
        <v>3.8464999999999998</v>
      </c>
      <c r="M62" s="215">
        <v>199.5</v>
      </c>
      <c r="N62" s="40">
        <v>1.1499999999999999</v>
      </c>
      <c r="O62" s="19"/>
      <c r="P62" s="19"/>
      <c r="Q62" s="19"/>
      <c r="R62" s="19"/>
      <c r="S62" s="19"/>
      <c r="T62" s="19"/>
      <c r="U62" s="19"/>
      <c r="V62" s="19"/>
      <c r="W62" s="336" t="str">
        <f>CONCATENATE("Tank Turnovers at ",Input!D15,"cP")</f>
        <v>Tank Turnovers at 1cP</v>
      </c>
      <c r="X62" s="231" t="s">
        <v>361</v>
      </c>
      <c r="Y62" s="233" t="s">
        <v>352</v>
      </c>
      <c r="Z62" s="233"/>
      <c r="AA62" s="322"/>
    </row>
    <row r="63" spans="1:30" x14ac:dyDescent="0.25">
      <c r="A63" s="248" t="s">
        <v>52</v>
      </c>
      <c r="B63" s="309" t="s">
        <v>31</v>
      </c>
      <c r="C63" s="309">
        <v>245</v>
      </c>
      <c r="D63" s="310">
        <v>300</v>
      </c>
      <c r="E63" s="309">
        <v>6.6849999999999996</v>
      </c>
      <c r="F63" s="309">
        <v>1000</v>
      </c>
      <c r="G63" s="309">
        <f>IF($B$44=$B63,Input!$D$12,IF($B$45=B63,Input!$D$12,10000))</f>
        <v>10000</v>
      </c>
      <c r="H63" s="311">
        <f t="shared" si="2"/>
        <v>1105.9925132812496</v>
      </c>
      <c r="I63" s="312">
        <v>50</v>
      </c>
      <c r="J63" s="315">
        <f t="shared" si="0"/>
        <v>43.106622487031238</v>
      </c>
      <c r="K63" s="311">
        <f t="shared" si="1"/>
        <v>0.11059925132812495</v>
      </c>
      <c r="L63" s="313">
        <f t="shared" si="3"/>
        <v>3.8464999999999998</v>
      </c>
      <c r="M63" s="314">
        <v>199.5</v>
      </c>
      <c r="N63" s="309">
        <v>1.1499999999999999</v>
      </c>
      <c r="O63" s="19"/>
      <c r="P63" s="19"/>
      <c r="Q63" s="19"/>
      <c r="R63" s="19"/>
      <c r="S63" s="19"/>
      <c r="T63" s="19"/>
      <c r="U63" s="19"/>
      <c r="V63" s="19"/>
      <c r="W63" s="337">
        <v>0</v>
      </c>
      <c r="X63" s="338">
        <f>Input!$D$12/$X$58*$W63</f>
        <v>0</v>
      </c>
      <c r="Y63" s="339">
        <f>Input!$D$12/$X$59*$W63</f>
        <v>0</v>
      </c>
      <c r="Z63" s="323"/>
      <c r="AA63" s="322"/>
    </row>
    <row r="64" spans="1:30" x14ac:dyDescent="0.25">
      <c r="B64" s="3" t="s">
        <v>32</v>
      </c>
      <c r="C64" s="3">
        <v>245</v>
      </c>
      <c r="D64" s="41">
        <v>350</v>
      </c>
      <c r="E64" s="3">
        <v>6.6849999999999996</v>
      </c>
      <c r="F64" s="3">
        <f>IF(ZG!$B$44=$B64,Input!$D$14,IF($B$45=$B64,Input!$D$14,1000))</f>
        <v>1000</v>
      </c>
      <c r="G64" s="3">
        <f>IF($B$44=$B64,Input!$D$12,IF($B$45=B64,Input!$D$12,20000))</f>
        <v>20000</v>
      </c>
      <c r="H64" s="42">
        <f t="shared" si="2"/>
        <v>2390.4856186622883</v>
      </c>
      <c r="I64" s="53">
        <v>100</v>
      </c>
      <c r="J64" s="54">
        <f t="shared" si="0"/>
        <v>93.170396622882407</v>
      </c>
      <c r="K64" s="175">
        <f t="shared" si="1"/>
        <v>0.11952428093311442</v>
      </c>
      <c r="L64" s="177">
        <f t="shared" si="3"/>
        <v>4.4875833333333333</v>
      </c>
      <c r="M64" s="215">
        <v>229.5</v>
      </c>
      <c r="N64" s="40">
        <v>1.1499999999999999</v>
      </c>
      <c r="O64" s="19"/>
      <c r="P64" s="19"/>
      <c r="Q64" s="19"/>
      <c r="R64" s="19"/>
      <c r="S64" s="19"/>
      <c r="T64" s="19"/>
      <c r="U64" s="19"/>
      <c r="V64" s="19"/>
      <c r="W64" s="337">
        <v>1</v>
      </c>
      <c r="X64" s="338">
        <f>Input!$D$12/$X$58*$W64</f>
        <v>1.325354698051066</v>
      </c>
      <c r="Y64" s="339">
        <f>Input!$D$12/$X$59*$W64</f>
        <v>2.2211116663890276</v>
      </c>
      <c r="Z64" s="325"/>
      <c r="AA64" s="322"/>
    </row>
    <row r="65" spans="1:28" x14ac:dyDescent="0.25">
      <c r="A65" s="248" t="s">
        <v>52</v>
      </c>
      <c r="B65" s="309" t="s">
        <v>32</v>
      </c>
      <c r="C65" s="309">
        <v>245</v>
      </c>
      <c r="D65" s="310">
        <v>350</v>
      </c>
      <c r="E65" s="309">
        <v>6.6849999999999996</v>
      </c>
      <c r="F65" s="309">
        <v>1000</v>
      </c>
      <c r="G65" s="309">
        <f>IF($B$44=$B65,Input!$D$12,IF($B$45=B65,Input!$D$12,20000))</f>
        <v>20000</v>
      </c>
      <c r="H65" s="311">
        <f>$E65*$F65*($C65/60)^3*($D65/1000)^5</f>
        <v>2390.4856186622883</v>
      </c>
      <c r="I65" s="312">
        <v>100</v>
      </c>
      <c r="J65" s="315">
        <f>9549*H65/C65/1000</f>
        <v>93.170396622882407</v>
      </c>
      <c r="K65" s="311">
        <f>H65/G65</f>
        <v>0.11952428093311442</v>
      </c>
      <c r="L65" s="313">
        <f t="shared" si="3"/>
        <v>4.4875833333333333</v>
      </c>
      <c r="M65" s="314">
        <v>229.5</v>
      </c>
      <c r="N65" s="309">
        <v>1.1499999999999999</v>
      </c>
      <c r="O65" s="19"/>
      <c r="P65" s="19"/>
      <c r="Q65" s="19"/>
      <c r="R65" s="19"/>
      <c r="S65" s="19"/>
      <c r="T65" s="19"/>
      <c r="U65" s="19"/>
      <c r="V65" s="19"/>
      <c r="W65" s="337">
        <v>2</v>
      </c>
      <c r="X65" s="338">
        <f>Input!$D$12/$X$58*$W65</f>
        <v>2.650709396102132</v>
      </c>
      <c r="Y65" s="339">
        <f>Input!$D$12/$X$59*$W65</f>
        <v>4.4422233327780551</v>
      </c>
      <c r="Z65" s="322"/>
      <c r="AA65" s="19"/>
    </row>
    <row r="66" spans="1:28" x14ac:dyDescent="0.25">
      <c r="A66" s="19"/>
      <c r="B66" s="40" t="s">
        <v>160</v>
      </c>
      <c r="C66" s="40">
        <v>245</v>
      </c>
      <c r="D66" s="41">
        <v>400</v>
      </c>
      <c r="E66" s="3">
        <v>6.6849999999999996</v>
      </c>
      <c r="F66" s="3">
        <f>IF(ZG!$B$44=$B66,Input!$D$14,IF($B$45=$B66,Input!$D$14,1000))</f>
        <v>1000</v>
      </c>
      <c r="G66" s="3">
        <f>IF($B$44=$B66,Input!$D$12,IF($B$45=B66,Input!$D$12,35000))</f>
        <v>35000</v>
      </c>
      <c r="H66" s="175">
        <f t="shared" ref="H66:H69" si="4">$E66*$F66*($C66/60)^3*($D66/1000)^5</f>
        <v>4660.643348148149</v>
      </c>
      <c r="I66" s="178"/>
      <c r="J66" s="176">
        <f t="shared" ref="J66:J69" si="5">9549*H66/C66/1000</f>
        <v>181.65095237333335</v>
      </c>
      <c r="K66" s="175">
        <f t="shared" ref="K66:K69" si="6">H66/G66</f>
        <v>0.13316123851851855</v>
      </c>
      <c r="L66" s="177">
        <f t="shared" ref="L66:L69" si="7">3.14*$D66/1000*C66/60</f>
        <v>5.1286666666666667</v>
      </c>
      <c r="M66" s="215">
        <v>249.5</v>
      </c>
      <c r="N66" s="40"/>
      <c r="O66" s="19"/>
      <c r="P66" s="19"/>
      <c r="Q66" s="19"/>
      <c r="R66" s="19"/>
      <c r="S66" s="19"/>
      <c r="T66" s="19"/>
      <c r="U66" s="19"/>
      <c r="V66" s="19"/>
      <c r="W66" s="337">
        <v>3</v>
      </c>
      <c r="X66" s="338">
        <f>Input!$D$12/$X$58*$W66</f>
        <v>3.9760640941531982</v>
      </c>
      <c r="Y66" s="339">
        <f>Input!$D$12/$X$59*$W66</f>
        <v>6.6633349991670823</v>
      </c>
      <c r="Z66" s="323"/>
      <c r="AA66" s="19"/>
    </row>
    <row r="67" spans="1:28" x14ac:dyDescent="0.25">
      <c r="A67" s="248" t="s">
        <v>52</v>
      </c>
      <c r="B67" s="309" t="s">
        <v>160</v>
      </c>
      <c r="C67" s="309">
        <v>245</v>
      </c>
      <c r="D67" s="310">
        <v>400</v>
      </c>
      <c r="E67" s="309">
        <v>6.6849999999999996</v>
      </c>
      <c r="F67" s="309">
        <v>1000</v>
      </c>
      <c r="G67" s="309">
        <f>IF($B$44=$B67,Input!$D$12,IF($B$45=B67,Input!$D$12,35000))</f>
        <v>35000</v>
      </c>
      <c r="H67" s="311">
        <f t="shared" si="4"/>
        <v>4660.643348148149</v>
      </c>
      <c r="I67" s="312"/>
      <c r="J67" s="315">
        <f t="shared" si="5"/>
        <v>181.65095237333335</v>
      </c>
      <c r="K67" s="311">
        <f t="shared" si="6"/>
        <v>0.13316123851851855</v>
      </c>
      <c r="L67" s="313">
        <f t="shared" si="7"/>
        <v>5.1286666666666667</v>
      </c>
      <c r="M67" s="314">
        <v>249.5</v>
      </c>
      <c r="N67" s="309"/>
      <c r="O67" s="19"/>
      <c r="P67" s="19"/>
      <c r="Q67" s="19"/>
      <c r="R67" s="19"/>
      <c r="S67" s="19"/>
      <c r="T67" s="19"/>
      <c r="U67" s="19"/>
      <c r="V67" s="19"/>
      <c r="W67" s="337">
        <v>4</v>
      </c>
      <c r="X67" s="338">
        <f>Input!$D$12/$X$58*$W67</f>
        <v>5.3014187922042639</v>
      </c>
      <c r="Y67" s="339">
        <f>Input!$D$12/$X$59*$W67</f>
        <v>8.8844466655561103</v>
      </c>
      <c r="Z67" s="325"/>
      <c r="AA67" s="19"/>
    </row>
    <row r="68" spans="1:28" x14ac:dyDescent="0.25">
      <c r="A68" s="19"/>
      <c r="B68" s="40" t="s">
        <v>161</v>
      </c>
      <c r="C68" s="40">
        <v>245</v>
      </c>
      <c r="D68" s="41">
        <v>450</v>
      </c>
      <c r="E68" s="3">
        <v>6.6849999999999996</v>
      </c>
      <c r="F68" s="3">
        <f>IF(ZG!$B$44=$B68,Input!$D$14,IF($B$45=$B68,Input!$D$14,1000))</f>
        <v>1000</v>
      </c>
      <c r="G68" s="3">
        <f>IF($B$44=$B68,Input!$D$12,IF($B$45=B68,Input!$D$12,60000))</f>
        <v>60000</v>
      </c>
      <c r="H68" s="175">
        <f t="shared" si="4"/>
        <v>8398.6306477294911</v>
      </c>
      <c r="I68" s="178"/>
      <c r="J68" s="176">
        <f t="shared" si="5"/>
        <v>327.34091451089353</v>
      </c>
      <c r="K68" s="175">
        <f t="shared" si="6"/>
        <v>0.13997717746215818</v>
      </c>
      <c r="L68" s="177">
        <f t="shared" si="7"/>
        <v>5.7697500000000002</v>
      </c>
      <c r="M68" s="215">
        <v>249.5</v>
      </c>
      <c r="N68" s="40"/>
      <c r="O68" s="19"/>
      <c r="P68" s="19"/>
      <c r="Q68" s="19"/>
      <c r="R68" s="19"/>
      <c r="S68" s="19"/>
      <c r="T68" s="19"/>
      <c r="U68" s="19"/>
      <c r="V68" s="19"/>
      <c r="W68" s="337">
        <v>5</v>
      </c>
      <c r="X68" s="338">
        <f>Input!$D$12/$X$58*$W68</f>
        <v>6.6267734902553297</v>
      </c>
      <c r="Y68" s="339">
        <f>Input!$D$12/$X$59*$W68</f>
        <v>11.105558331945138</v>
      </c>
      <c r="Z68" s="19"/>
      <c r="AA68" s="19"/>
    </row>
    <row r="69" spans="1:28" x14ac:dyDescent="0.25">
      <c r="A69" s="248" t="s">
        <v>52</v>
      </c>
      <c r="B69" s="309" t="s">
        <v>161</v>
      </c>
      <c r="C69" s="309">
        <v>245</v>
      </c>
      <c r="D69" s="310">
        <v>450</v>
      </c>
      <c r="E69" s="309">
        <v>6.6849999999999996</v>
      </c>
      <c r="F69" s="309">
        <v>1000</v>
      </c>
      <c r="G69" s="309">
        <f>IF($B$44=$B69,Input!$D$12,IF($B$45=B69,Input!$D$12,60000))</f>
        <v>60000</v>
      </c>
      <c r="H69" s="311">
        <f t="shared" si="4"/>
        <v>8398.6306477294911</v>
      </c>
      <c r="I69" s="312"/>
      <c r="J69" s="315">
        <f t="shared" si="5"/>
        <v>327.34091451089353</v>
      </c>
      <c r="K69" s="311">
        <f t="shared" si="6"/>
        <v>0.13997717746215818</v>
      </c>
      <c r="L69" s="313">
        <f t="shared" si="7"/>
        <v>5.7697500000000002</v>
      </c>
      <c r="M69" s="314">
        <v>249.5</v>
      </c>
      <c r="N69" s="309"/>
      <c r="O69" s="19"/>
      <c r="P69" s="19"/>
      <c r="Q69" s="19"/>
      <c r="R69" s="19"/>
      <c r="S69" s="19"/>
      <c r="T69" s="19"/>
      <c r="U69" s="19"/>
      <c r="V69" s="19"/>
      <c r="W69" s="337">
        <v>6</v>
      </c>
      <c r="X69" s="338">
        <f>Input!$D$12/$X$58*$W69</f>
        <v>7.9521281883063963</v>
      </c>
      <c r="Y69" s="339">
        <f>Input!$D$12/$X$59*$W69</f>
        <v>13.326669998334165</v>
      </c>
      <c r="Z69" s="19"/>
      <c r="AA69" s="19"/>
    </row>
    <row r="70" spans="1:28" x14ac:dyDescent="0.25">
      <c r="A70" s="19"/>
      <c r="B70" s="19"/>
      <c r="C70" s="19"/>
      <c r="D70" s="61"/>
      <c r="E70" s="19"/>
      <c r="F70" s="19"/>
      <c r="G70" s="19"/>
      <c r="H70" s="113"/>
      <c r="I70" s="115"/>
      <c r="J70" s="114"/>
      <c r="K70" s="113"/>
      <c r="L70" s="104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337">
        <v>7</v>
      </c>
      <c r="X70" s="338">
        <f>Input!$D$12/$X$58*$W70</f>
        <v>9.2774828863574612</v>
      </c>
      <c r="Y70" s="339">
        <f>Input!$D$12/$X$59*$W70</f>
        <v>15.547781664723193</v>
      </c>
      <c r="Z70" s="19"/>
      <c r="AA70" s="19"/>
    </row>
    <row r="71" spans="1:28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337">
        <v>8</v>
      </c>
      <c r="X71" s="338">
        <f>Input!$D$12/$X$58*$W71</f>
        <v>10.602837584408528</v>
      </c>
      <c r="Y71" s="339">
        <f>Input!$D$12/$X$59*$W71</f>
        <v>17.768893331112221</v>
      </c>
      <c r="Z71" s="19"/>
      <c r="AA71" s="19"/>
    </row>
    <row r="72" spans="1:28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337">
        <v>9</v>
      </c>
      <c r="X72" s="338">
        <f>Input!$D$12/$X$58*$W72</f>
        <v>11.928192282459595</v>
      </c>
      <c r="Y72" s="339">
        <f>Input!$D$12/$X$59*$W72</f>
        <v>19.990004997501249</v>
      </c>
      <c r="Z72" s="19"/>
      <c r="AA72" s="19"/>
    </row>
    <row r="73" spans="1:28" ht="15.75" thickBot="1" x14ac:dyDescent="0.3">
      <c r="A73" s="19"/>
      <c r="B73" s="19"/>
      <c r="C73" s="19"/>
      <c r="D73" s="104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337">
        <v>10</v>
      </c>
      <c r="X73" s="338">
        <f>Input!$D$12/$X$58*$W73</f>
        <v>13.253546980510659</v>
      </c>
      <c r="Y73" s="339">
        <f>Input!$D$12/$X$59*$W73</f>
        <v>22.211116663890277</v>
      </c>
      <c r="Z73" s="19"/>
      <c r="AA73" s="19"/>
    </row>
    <row r="74" spans="1:28" x14ac:dyDescent="0.25">
      <c r="A74" s="19"/>
      <c r="B74" s="19"/>
      <c r="C74" s="229" t="s">
        <v>53</v>
      </c>
      <c r="D74" s="348">
        <f>IF($B$45=0,
IF($B$44="N/A","N/A",IF(Input!D14&lt;=1000,VLOOKUP($B$44,ZG!$B$48:$N$69,2,FALSE),ROUNDDOWN(SQRT((213500000000000000*VLOOKUP($B$44,$B$48:$N$69,9,FALSE))/(9.549*VLOOKUP($B$44,$B$48:$N$69,4,FALSE)*(VLOOKUP($B$44,$B$48:$N$69,5,FALSE)/1000)*(VLOOKUP($B$44,$B$48:$N$69,3,FALSE)^5))),0))),
IF(Input!D14&lt;=1000,VLOOKUP($B$45,ZG!$B$48:$N$69,2,FALSE),ROUNDDOWN(SQRT((213500000000000000*VLOOKUP($B$45,$B$48:$N$69,9,FALSE))/(9.549*VLOOKUP($B$45,$B$48:$N$69,4,FALSE)*(VLOOKUP($B$45,$B$48:$N$69,5,FALSE)/1000)*(VLOOKUP($B$45,$B$48:$N$69,3,FALSE)^5))),0)))</f>
        <v>243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322"/>
      <c r="X74" s="19"/>
      <c r="Y74" s="19"/>
      <c r="Z74" s="19"/>
      <c r="AA74" s="19"/>
    </row>
    <row r="75" spans="1:28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322"/>
      <c r="X75" s="19"/>
      <c r="Y75" s="19"/>
      <c r="Z75" s="19"/>
      <c r="AA75" s="19"/>
    </row>
    <row r="76" spans="1:28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spans="1:28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322"/>
      <c r="V77" s="322"/>
      <c r="W77" s="322"/>
      <c r="X77" s="324"/>
      <c r="Y77" s="322"/>
      <c r="Z77" s="322"/>
      <c r="AA77" s="322"/>
      <c r="AB77" s="340"/>
    </row>
    <row r="78" spans="1:28" x14ac:dyDescent="0.25">
      <c r="A78" s="19"/>
      <c r="B78" s="19"/>
      <c r="C78" s="19"/>
      <c r="T78" s="341"/>
      <c r="U78" s="342"/>
      <c r="V78" s="342"/>
      <c r="W78" s="342"/>
      <c r="X78" s="342"/>
      <c r="Y78" s="342"/>
      <c r="Z78" s="342"/>
      <c r="AA78" s="342"/>
      <c r="AB78" s="340"/>
    </row>
    <row r="79" spans="1:28" x14ac:dyDescent="0.25">
      <c r="T79" s="341"/>
      <c r="U79" s="342"/>
      <c r="V79" s="342"/>
      <c r="W79" s="342"/>
      <c r="X79" s="342"/>
      <c r="Y79" s="342"/>
      <c r="Z79" s="342"/>
      <c r="AA79" s="342"/>
      <c r="AB79" s="340"/>
    </row>
    <row r="80" spans="1:28" x14ac:dyDescent="0.25">
      <c r="T80" s="341"/>
      <c r="U80" s="342"/>
      <c r="V80" s="342"/>
      <c r="W80" s="342"/>
      <c r="X80" s="343"/>
      <c r="Y80" s="342"/>
      <c r="Z80" s="344"/>
      <c r="AA80" s="342"/>
      <c r="AB80" s="340"/>
    </row>
    <row r="81" spans="4:32" x14ac:dyDescent="0.25">
      <c r="T81" s="341"/>
      <c r="U81" s="342"/>
      <c r="V81" s="342"/>
      <c r="W81" s="342"/>
      <c r="X81" s="345"/>
      <c r="Y81" s="342"/>
      <c r="Z81" s="346"/>
      <c r="AA81" s="342"/>
      <c r="AB81" s="340"/>
    </row>
    <row r="82" spans="4:32" x14ac:dyDescent="0.25">
      <c r="T82" s="341"/>
      <c r="U82" s="342"/>
      <c r="V82" s="342"/>
      <c r="W82" s="342"/>
      <c r="X82" s="342"/>
      <c r="Y82" s="342"/>
      <c r="Z82" s="342"/>
      <c r="AA82" s="342"/>
      <c r="AB82" s="340"/>
      <c r="AD82" t="s">
        <v>318</v>
      </c>
      <c r="AE82">
        <f>$X$57</f>
        <v>0.5</v>
      </c>
      <c r="AF82" t="s">
        <v>327</v>
      </c>
    </row>
    <row r="83" spans="4:32" x14ac:dyDescent="0.25">
      <c r="G83" s="100"/>
      <c r="H83" s="59"/>
      <c r="T83" s="341"/>
      <c r="U83" s="342"/>
      <c r="V83" s="342"/>
      <c r="W83" s="342"/>
      <c r="X83" s="346"/>
      <c r="Y83" s="342"/>
      <c r="Z83" s="346"/>
      <c r="AA83" s="342"/>
      <c r="AB83" s="340"/>
      <c r="AD83" t="s">
        <v>319</v>
      </c>
      <c r="AE83">
        <f>VLOOKUP($B$44,$B$48:$M$69,3,FALSE)</f>
        <v>300</v>
      </c>
      <c r="AF83" t="s">
        <v>326</v>
      </c>
    </row>
    <row r="84" spans="4:32" x14ac:dyDescent="0.25">
      <c r="T84" s="341"/>
      <c r="U84" s="342"/>
      <c r="V84" s="342"/>
      <c r="W84" s="342"/>
      <c r="X84" s="342"/>
      <c r="Y84" s="342"/>
      <c r="Z84" s="342"/>
      <c r="AA84" s="342"/>
      <c r="AB84" s="340"/>
      <c r="AD84" t="s">
        <v>320</v>
      </c>
      <c r="AE84">
        <f>$X$49</f>
        <v>243</v>
      </c>
      <c r="AF84" t="s">
        <v>325</v>
      </c>
    </row>
    <row r="85" spans="4:32" x14ac:dyDescent="0.25">
      <c r="T85" s="341"/>
      <c r="U85" s="342"/>
      <c r="V85" s="342"/>
      <c r="W85" s="342"/>
      <c r="X85" s="342"/>
      <c r="Y85" s="342"/>
      <c r="Z85" s="342"/>
      <c r="AA85" s="342"/>
      <c r="AB85" s="340"/>
      <c r="AD85" t="s">
        <v>321</v>
      </c>
      <c r="AE85">
        <f>VLOOKUP($B$44,$B$48:$M$69,5,FALSE)</f>
        <v>1001</v>
      </c>
      <c r="AF85" t="s">
        <v>4</v>
      </c>
    </row>
    <row r="86" spans="4:32" x14ac:dyDescent="0.25">
      <c r="T86" s="341"/>
      <c r="U86" s="342"/>
      <c r="V86" s="342"/>
      <c r="W86" s="342"/>
      <c r="X86" s="343"/>
      <c r="Y86" s="342"/>
      <c r="Z86" s="344"/>
      <c r="AA86" s="342"/>
      <c r="AB86" s="340"/>
      <c r="AD86" t="s">
        <v>322</v>
      </c>
      <c r="AE86">
        <f>Input!$D$15</f>
        <v>1</v>
      </c>
      <c r="AF86" t="s">
        <v>3</v>
      </c>
    </row>
    <row r="87" spans="4:32" x14ac:dyDescent="0.25">
      <c r="T87" s="341"/>
      <c r="U87" s="342"/>
      <c r="V87" s="347"/>
      <c r="W87" s="342"/>
      <c r="X87" s="345"/>
      <c r="Y87" s="342"/>
      <c r="Z87" s="346"/>
      <c r="AA87" s="342"/>
      <c r="AB87" s="340"/>
      <c r="AD87" t="s">
        <v>323</v>
      </c>
      <c r="AE87">
        <f>VLOOKUP($B$44,$B$48:$N$69,13,FALSE)</f>
        <v>1.1499999999999999</v>
      </c>
      <c r="AF87" t="s">
        <v>324</v>
      </c>
    </row>
    <row r="88" spans="4:32" x14ac:dyDescent="0.25">
      <c r="E88" s="59"/>
      <c r="T88" s="341"/>
      <c r="U88" s="342"/>
      <c r="V88" s="342"/>
      <c r="W88" s="342"/>
      <c r="X88" s="342"/>
      <c r="Y88" s="342"/>
      <c r="Z88" s="342"/>
      <c r="AA88" s="342"/>
      <c r="AB88" s="340"/>
    </row>
    <row r="89" spans="4:32" x14ac:dyDescent="0.25">
      <c r="D89" s="59"/>
      <c r="T89" s="341"/>
      <c r="U89" s="342"/>
      <c r="V89" s="342"/>
      <c r="W89" s="342"/>
      <c r="X89" s="346"/>
      <c r="Y89" s="342"/>
      <c r="Z89" s="346"/>
      <c r="AA89" s="342"/>
      <c r="AB89" s="340"/>
    </row>
    <row r="90" spans="4:32" x14ac:dyDescent="0.25">
      <c r="T90" s="341"/>
      <c r="U90" s="342"/>
      <c r="V90" s="342"/>
      <c r="W90" s="342"/>
      <c r="X90" s="342"/>
      <c r="Y90" s="342"/>
      <c r="Z90" s="342"/>
      <c r="AA90" s="342"/>
      <c r="AB90" s="340"/>
    </row>
    <row r="91" spans="4:32" x14ac:dyDescent="0.25">
      <c r="T91" s="341"/>
      <c r="U91" s="342"/>
      <c r="V91" s="342"/>
      <c r="W91" s="342"/>
      <c r="X91" s="342"/>
      <c r="Y91" s="342"/>
      <c r="Z91" s="342"/>
      <c r="AA91" s="342"/>
      <c r="AB91" s="340"/>
    </row>
    <row r="92" spans="4:32" x14ac:dyDescent="0.25">
      <c r="E92" s="59"/>
      <c r="T92" s="341"/>
      <c r="U92" s="342"/>
      <c r="V92" s="342"/>
      <c r="W92" s="342"/>
      <c r="X92" s="342"/>
      <c r="Y92" s="342"/>
      <c r="Z92" s="342"/>
      <c r="AA92" s="342"/>
      <c r="AB92" s="340"/>
    </row>
    <row r="93" spans="4:32" x14ac:dyDescent="0.25">
      <c r="T93" s="341"/>
      <c r="U93" s="342"/>
      <c r="V93" s="342"/>
      <c r="W93" s="342"/>
      <c r="X93" s="342"/>
      <c r="Y93" s="342"/>
      <c r="Z93" s="342"/>
      <c r="AA93" s="342"/>
      <c r="AB93" s="340"/>
    </row>
    <row r="94" spans="4:32" x14ac:dyDescent="0.25">
      <c r="T94" s="341"/>
      <c r="U94" s="342"/>
      <c r="V94" s="342"/>
      <c r="W94" s="342"/>
      <c r="X94" s="342"/>
      <c r="Y94" s="342"/>
      <c r="Z94" s="342"/>
      <c r="AA94" s="342"/>
      <c r="AB94" s="340"/>
    </row>
    <row r="97" spans="3:13" x14ac:dyDescent="0.25">
      <c r="D97" s="214"/>
      <c r="E97" s="214"/>
      <c r="F97" s="214"/>
      <c r="G97" s="214"/>
      <c r="H97" s="214"/>
      <c r="I97" s="214"/>
      <c r="J97" s="214"/>
      <c r="K97" s="214"/>
      <c r="L97" s="214"/>
      <c r="M97" s="214"/>
    </row>
    <row r="98" spans="3:13" x14ac:dyDescent="0.25"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</row>
  </sheetData>
  <mergeCells count="15">
    <mergeCell ref="V48:V51"/>
    <mergeCell ref="V53:V56"/>
    <mergeCell ref="X61:Y61"/>
    <mergeCell ref="J3:K3"/>
    <mergeCell ref="A1:B1"/>
    <mergeCell ref="B3:C3"/>
    <mergeCell ref="D3:E3"/>
    <mergeCell ref="F3:G3"/>
    <mergeCell ref="H3:I3"/>
    <mergeCell ref="T3:U3"/>
    <mergeCell ref="V3:W3"/>
    <mergeCell ref="L3:M3"/>
    <mergeCell ref="N3:O3"/>
    <mergeCell ref="P3:Q3"/>
    <mergeCell ref="R3:S3"/>
  </mergeCells>
  <dataValidations disablePrompts="1" count="1">
    <dataValidation type="list" allowBlank="1" showInputMessage="1" showErrorMessage="1" sqref="B3:W3" xr:uid="{A7B59D77-5AB7-4D52-94DA-A6C3634B3126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75F1-59A6-41DB-B192-322094184060}">
  <sheetPr>
    <tabColor rgb="FF00B0F0"/>
  </sheetPr>
  <dimension ref="A1:Y72"/>
  <sheetViews>
    <sheetView tabSelected="1" topLeftCell="A33" workbookViewId="0">
      <selection activeCell="A41" sqref="A41"/>
    </sheetView>
  </sheetViews>
  <sheetFormatPr defaultRowHeight="15" x14ac:dyDescent="0.25"/>
  <cols>
    <col min="1" max="1" width="20.28515625" bestFit="1" customWidth="1"/>
    <col min="2" max="2" width="12.7109375" bestFit="1" customWidth="1"/>
    <col min="4" max="4" width="9.85546875" bestFit="1" customWidth="1"/>
    <col min="11" max="11" width="15" bestFit="1" customWidth="1"/>
    <col min="20" max="20" width="18.85546875" bestFit="1" customWidth="1"/>
  </cols>
  <sheetData>
    <row r="1" spans="1:25" ht="15.75" thickBot="1" x14ac:dyDescent="0.3">
      <c r="A1" s="20"/>
      <c r="B1" s="281"/>
      <c r="C1" s="282"/>
      <c r="D1" s="281"/>
      <c r="E1" s="282"/>
      <c r="F1" s="281"/>
      <c r="G1" s="282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ht="15.75" thickBot="1" x14ac:dyDescent="0.3">
      <c r="A2" s="20" t="s">
        <v>5</v>
      </c>
      <c r="B2" s="281">
        <f>IF(Input!$D$13="Gentle",1.2,IF(Input!$D$13="Vigorous", 0.8,1))</f>
        <v>1</v>
      </c>
      <c r="C2" s="282"/>
      <c r="D2" s="281">
        <f>IF(Input!$D$13="Gentle",1.2,IF(Input!$D$13="Vigorous", 0.8,1))</f>
        <v>1</v>
      </c>
      <c r="E2" s="282"/>
      <c r="F2" s="281">
        <f>IF(Input!$D$13="Gentle",1.2,IF(Input!$D$13="Vigorous", 0.8,1))</f>
        <v>1</v>
      </c>
      <c r="G2" s="282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ht="15.75" thickBot="1" x14ac:dyDescent="0.3">
      <c r="A3" s="20" t="s">
        <v>23</v>
      </c>
      <c r="B3" s="20">
        <v>50</v>
      </c>
      <c r="C3" s="21"/>
      <c r="D3" s="20">
        <v>850</v>
      </c>
      <c r="E3" s="21"/>
      <c r="F3" s="20">
        <v>5000</v>
      </c>
      <c r="G3" s="21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x14ac:dyDescent="0.25">
      <c r="A4" s="19"/>
      <c r="B4" s="65" t="s">
        <v>19</v>
      </c>
      <c r="C4" s="102" t="s">
        <v>3</v>
      </c>
      <c r="D4" s="65" t="s">
        <v>19</v>
      </c>
      <c r="E4" s="102" t="s">
        <v>3</v>
      </c>
      <c r="F4" s="65" t="s">
        <v>19</v>
      </c>
      <c r="G4" s="102" t="s">
        <v>3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5" ht="15.75" thickBot="1" x14ac:dyDescent="0.3">
      <c r="A5" s="19"/>
      <c r="B5" s="65" t="s">
        <v>85</v>
      </c>
      <c r="C5" s="102" t="s">
        <v>85</v>
      </c>
      <c r="D5" s="65" t="s">
        <v>86</v>
      </c>
      <c r="E5" s="102" t="s">
        <v>86</v>
      </c>
      <c r="F5" s="65" t="s">
        <v>87</v>
      </c>
      <c r="G5" s="102" t="s">
        <v>87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1:25" x14ac:dyDescent="0.25">
      <c r="A6" s="19"/>
      <c r="B6" s="22">
        <f>($B$2)*50</f>
        <v>50</v>
      </c>
      <c r="C6" s="23">
        <v>1</v>
      </c>
      <c r="D6" s="22">
        <f>($D$2)*850</f>
        <v>850</v>
      </c>
      <c r="E6" s="23">
        <v>1</v>
      </c>
      <c r="F6" s="22">
        <v>5000</v>
      </c>
      <c r="G6" s="23">
        <v>1</v>
      </c>
      <c r="H6" s="19"/>
      <c r="I6" s="19"/>
      <c r="J6" s="19"/>
      <c r="K6" s="61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</row>
    <row r="7" spans="1:25" x14ac:dyDescent="0.25">
      <c r="A7" s="19"/>
      <c r="B7" s="24">
        <f>($B$2)*45.5</f>
        <v>45.5</v>
      </c>
      <c r="C7" s="25">
        <v>5</v>
      </c>
      <c r="D7" s="24">
        <f>($D$2)*773.5</f>
        <v>773.5</v>
      </c>
      <c r="E7" s="25">
        <v>5</v>
      </c>
      <c r="F7" s="24">
        <v>4550</v>
      </c>
      <c r="G7" s="25">
        <v>5</v>
      </c>
      <c r="H7" s="19"/>
      <c r="I7" s="19"/>
      <c r="J7" s="19"/>
      <c r="K7" s="61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</row>
    <row r="8" spans="1:25" x14ac:dyDescent="0.25">
      <c r="A8" s="19"/>
      <c r="B8" s="24">
        <f>($B$2)*41.5</f>
        <v>41.5</v>
      </c>
      <c r="C8" s="25">
        <v>10</v>
      </c>
      <c r="D8" s="24">
        <f>($D$2)*705.5</f>
        <v>705.5</v>
      </c>
      <c r="E8" s="25">
        <v>10</v>
      </c>
      <c r="F8" s="24">
        <v>4150</v>
      </c>
      <c r="G8" s="25">
        <v>10</v>
      </c>
      <c r="H8" s="19"/>
      <c r="I8" s="19"/>
      <c r="J8" s="19"/>
      <c r="K8" s="61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</row>
    <row r="9" spans="1:25" x14ac:dyDescent="0.25">
      <c r="A9" s="19"/>
      <c r="B9" s="24">
        <f>($B$2)*38.5</f>
        <v>38.5</v>
      </c>
      <c r="C9" s="25">
        <v>15</v>
      </c>
      <c r="D9" s="24">
        <f>($D$2)*654.5</f>
        <v>654.5</v>
      </c>
      <c r="E9" s="25">
        <v>15</v>
      </c>
      <c r="F9" s="24">
        <v>3850</v>
      </c>
      <c r="G9" s="25">
        <v>15</v>
      </c>
      <c r="H9" s="19"/>
      <c r="I9" s="19"/>
      <c r="J9" s="19"/>
      <c r="K9" s="61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</row>
    <row r="10" spans="1:25" x14ac:dyDescent="0.25">
      <c r="A10" s="19"/>
      <c r="B10" s="24">
        <f>($B$2)*36</f>
        <v>36</v>
      </c>
      <c r="C10" s="25">
        <v>20</v>
      </c>
      <c r="D10" s="24">
        <f>($D$2)*612</f>
        <v>612</v>
      </c>
      <c r="E10" s="25">
        <v>20</v>
      </c>
      <c r="F10" s="24">
        <v>3600</v>
      </c>
      <c r="G10" s="25">
        <v>20</v>
      </c>
      <c r="H10" s="19"/>
      <c r="I10" s="19"/>
      <c r="J10" s="19"/>
      <c r="K10" s="61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x14ac:dyDescent="0.25">
      <c r="A11" s="19"/>
      <c r="B11" s="24">
        <f>($B$2)*34</f>
        <v>34</v>
      </c>
      <c r="C11" s="25">
        <v>25</v>
      </c>
      <c r="D11" s="24">
        <f>($D$2)*578</f>
        <v>578</v>
      </c>
      <c r="E11" s="25">
        <v>25</v>
      </c>
      <c r="F11" s="24">
        <v>3400</v>
      </c>
      <c r="G11" s="25">
        <v>25</v>
      </c>
      <c r="H11" s="19"/>
      <c r="I11" s="19"/>
      <c r="J11" s="19"/>
      <c r="K11" s="61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x14ac:dyDescent="0.25">
      <c r="A12" s="19"/>
      <c r="B12" s="24">
        <f>($B$2)*32.75</f>
        <v>32.75</v>
      </c>
      <c r="C12" s="25">
        <v>30</v>
      </c>
      <c r="D12" s="24">
        <f>($D$2)*556.75</f>
        <v>556.75</v>
      </c>
      <c r="E12" s="25">
        <v>30</v>
      </c>
      <c r="F12" s="24">
        <v>3275</v>
      </c>
      <c r="G12" s="25">
        <v>30</v>
      </c>
      <c r="H12" s="19"/>
      <c r="I12" s="19"/>
      <c r="J12" s="19"/>
      <c r="K12" s="61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x14ac:dyDescent="0.25">
      <c r="A13" s="19"/>
      <c r="B13" s="24">
        <f>($B$2)*31.5</f>
        <v>31.5</v>
      </c>
      <c r="C13" s="25">
        <v>35</v>
      </c>
      <c r="D13" s="24">
        <f>($D$2)*535.5</f>
        <v>535.5</v>
      </c>
      <c r="E13" s="25">
        <v>35</v>
      </c>
      <c r="F13" s="24">
        <v>3150</v>
      </c>
      <c r="G13" s="25">
        <v>35</v>
      </c>
      <c r="H13" s="19"/>
      <c r="I13" s="19"/>
      <c r="J13" s="19"/>
      <c r="K13" s="61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x14ac:dyDescent="0.25">
      <c r="A14" s="19"/>
      <c r="B14" s="24">
        <f>($B$2)*30.75</f>
        <v>30.75</v>
      </c>
      <c r="C14" s="25">
        <v>40</v>
      </c>
      <c r="D14" s="24">
        <f>($D$2)*522.75</f>
        <v>522.75</v>
      </c>
      <c r="E14" s="25">
        <v>40</v>
      </c>
      <c r="F14" s="24">
        <v>3075</v>
      </c>
      <c r="G14" s="25">
        <v>40</v>
      </c>
      <c r="H14" s="19"/>
      <c r="I14" s="19"/>
      <c r="J14" s="19"/>
      <c r="K14" s="61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x14ac:dyDescent="0.25">
      <c r="A15" s="19"/>
      <c r="B15" s="24">
        <f>($B$2)*30</f>
        <v>30</v>
      </c>
      <c r="C15" s="25">
        <v>45</v>
      </c>
      <c r="D15" s="24">
        <f>($D$2)*510</f>
        <v>510</v>
      </c>
      <c r="E15" s="25">
        <v>45</v>
      </c>
      <c r="F15" s="24">
        <v>3000</v>
      </c>
      <c r="G15" s="25">
        <v>45</v>
      </c>
      <c r="H15" s="19"/>
      <c r="I15" s="19"/>
      <c r="J15" s="19"/>
      <c r="K15" s="61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x14ac:dyDescent="0.25">
      <c r="A16" s="19"/>
      <c r="B16" s="24">
        <f>($B$2)*29.3</f>
        <v>29.3</v>
      </c>
      <c r="C16" s="25">
        <v>50</v>
      </c>
      <c r="D16" s="24">
        <f>($D$2)*498.1</f>
        <v>498.1</v>
      </c>
      <c r="E16" s="25">
        <v>50</v>
      </c>
      <c r="F16" s="24">
        <v>2930</v>
      </c>
      <c r="G16" s="25">
        <v>50</v>
      </c>
      <c r="H16" s="19"/>
      <c r="I16" s="19"/>
      <c r="J16" s="19"/>
      <c r="K16" s="61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x14ac:dyDescent="0.25">
      <c r="A17" s="19"/>
      <c r="B17" s="24">
        <f>($B$2)*28.5</f>
        <v>28.5</v>
      </c>
      <c r="C17" s="25">
        <v>55</v>
      </c>
      <c r="D17" s="24">
        <f>($D$2)*484.5</f>
        <v>484.5</v>
      </c>
      <c r="E17" s="25">
        <v>55</v>
      </c>
      <c r="F17" s="24">
        <v>2850</v>
      </c>
      <c r="G17" s="25">
        <v>55</v>
      </c>
      <c r="H17" s="19"/>
      <c r="I17" s="19"/>
      <c r="J17" s="19"/>
      <c r="K17" s="61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x14ac:dyDescent="0.25">
      <c r="A18" s="19"/>
      <c r="B18" s="24">
        <f>($B$2)*28</f>
        <v>28</v>
      </c>
      <c r="C18" s="25">
        <v>60</v>
      </c>
      <c r="D18" s="24">
        <f>($D$2)*476</f>
        <v>476</v>
      </c>
      <c r="E18" s="25">
        <v>60</v>
      </c>
      <c r="F18" s="24">
        <v>2800</v>
      </c>
      <c r="G18" s="25">
        <v>60</v>
      </c>
      <c r="H18" s="19"/>
      <c r="I18" s="19"/>
      <c r="J18" s="19"/>
      <c r="K18" s="61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x14ac:dyDescent="0.25">
      <c r="A19" s="19"/>
      <c r="B19" s="24">
        <f>($B$2)*27.5</f>
        <v>27.5</v>
      </c>
      <c r="C19" s="25">
        <v>65</v>
      </c>
      <c r="D19" s="24">
        <f>($D$2)*467.5</f>
        <v>467.5</v>
      </c>
      <c r="E19" s="25">
        <v>65</v>
      </c>
      <c r="F19" s="24">
        <v>2750</v>
      </c>
      <c r="G19" s="25">
        <v>65</v>
      </c>
      <c r="H19" s="19"/>
      <c r="I19" s="19"/>
      <c r="J19" s="19"/>
      <c r="K19" s="61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x14ac:dyDescent="0.25">
      <c r="A20" s="19"/>
      <c r="B20" s="24">
        <f>($B$2)*27</f>
        <v>27</v>
      </c>
      <c r="C20" s="25">
        <v>70</v>
      </c>
      <c r="D20" s="24">
        <f>($D$2)*459</f>
        <v>459</v>
      </c>
      <c r="E20" s="25">
        <v>70</v>
      </c>
      <c r="F20" s="24">
        <v>2700</v>
      </c>
      <c r="G20" s="25">
        <v>70</v>
      </c>
      <c r="H20" s="19"/>
      <c r="I20" s="19"/>
      <c r="J20" s="19"/>
      <c r="K20" s="61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x14ac:dyDescent="0.25">
      <c r="A21" s="19"/>
      <c r="B21" s="24">
        <f>($B$2)*26.5</f>
        <v>26.5</v>
      </c>
      <c r="C21" s="25">
        <v>75</v>
      </c>
      <c r="D21" s="24">
        <f>($D$2)*450.5</f>
        <v>450.5</v>
      </c>
      <c r="E21" s="25">
        <v>75</v>
      </c>
      <c r="F21" s="24">
        <v>2650</v>
      </c>
      <c r="G21" s="25">
        <v>75</v>
      </c>
      <c r="H21" s="19"/>
      <c r="I21" s="19"/>
      <c r="J21" s="19"/>
      <c r="K21" s="61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x14ac:dyDescent="0.25">
      <c r="A22" s="19"/>
      <c r="B22" s="24">
        <f>($B$2)*26</f>
        <v>26</v>
      </c>
      <c r="C22" s="25">
        <v>80</v>
      </c>
      <c r="D22" s="24">
        <f>($D$2)*442</f>
        <v>442</v>
      </c>
      <c r="E22" s="25">
        <v>80</v>
      </c>
      <c r="F22" s="24">
        <v>2600</v>
      </c>
      <c r="G22" s="25">
        <v>80</v>
      </c>
      <c r="H22" s="19"/>
      <c r="I22" s="19"/>
      <c r="J22" s="19"/>
      <c r="K22" s="61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x14ac:dyDescent="0.25">
      <c r="A23" s="19"/>
      <c r="B23" s="24">
        <f>($B$2)*25.5</f>
        <v>25.5</v>
      </c>
      <c r="C23" s="25">
        <v>85</v>
      </c>
      <c r="D23" s="24">
        <f>($D$2)*433.5</f>
        <v>433.5</v>
      </c>
      <c r="E23" s="25">
        <v>85</v>
      </c>
      <c r="F23" s="24">
        <v>2550</v>
      </c>
      <c r="G23" s="25">
        <v>85</v>
      </c>
      <c r="H23" s="19"/>
      <c r="I23" s="19"/>
      <c r="J23" s="19"/>
      <c r="K23" s="61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x14ac:dyDescent="0.25">
      <c r="A24" s="19"/>
      <c r="B24" s="24">
        <f>($B$2)*25</f>
        <v>25</v>
      </c>
      <c r="C24" s="25">
        <v>90</v>
      </c>
      <c r="D24" s="24">
        <f>($D$2)*425</f>
        <v>425</v>
      </c>
      <c r="E24" s="25">
        <v>90</v>
      </c>
      <c r="F24" s="24">
        <v>2500</v>
      </c>
      <c r="G24" s="25">
        <v>90</v>
      </c>
      <c r="H24" s="19"/>
      <c r="I24" s="19"/>
      <c r="J24" s="19"/>
      <c r="K24" s="61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x14ac:dyDescent="0.25">
      <c r="A25" s="19"/>
      <c r="B25" s="24">
        <f>($B$2)*24.5</f>
        <v>24.5</v>
      </c>
      <c r="C25" s="25">
        <v>95</v>
      </c>
      <c r="D25" s="24">
        <f>($D$2)*416.5</f>
        <v>416.5</v>
      </c>
      <c r="E25" s="25">
        <v>95</v>
      </c>
      <c r="F25" s="24">
        <v>2450</v>
      </c>
      <c r="G25" s="25">
        <v>95</v>
      </c>
      <c r="H25" s="19"/>
      <c r="I25" s="19"/>
      <c r="J25" s="19"/>
      <c r="K25" s="61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x14ac:dyDescent="0.25">
      <c r="A26" s="19"/>
      <c r="B26" s="24">
        <f>($B$2)*24.25</f>
        <v>24.25</v>
      </c>
      <c r="C26" s="25">
        <v>100</v>
      </c>
      <c r="D26" s="24">
        <f>($D$2)*412.25</f>
        <v>412.25</v>
      </c>
      <c r="E26" s="25">
        <v>100</v>
      </c>
      <c r="F26" s="24">
        <v>2425</v>
      </c>
      <c r="G26" s="25">
        <v>100</v>
      </c>
      <c r="H26" s="19"/>
      <c r="I26" s="19"/>
      <c r="J26" s="19"/>
      <c r="K26" s="61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x14ac:dyDescent="0.25">
      <c r="A27" s="19"/>
      <c r="B27" s="24">
        <f>($B$2)*21.5</f>
        <v>21.5</v>
      </c>
      <c r="C27" s="25">
        <v>150</v>
      </c>
      <c r="D27" s="24">
        <f>($D$2)*365.5</f>
        <v>365.5</v>
      </c>
      <c r="E27" s="25">
        <v>150</v>
      </c>
      <c r="F27" s="24">
        <v>2150</v>
      </c>
      <c r="G27" s="25">
        <v>150</v>
      </c>
      <c r="H27" s="19"/>
      <c r="I27" s="19"/>
      <c r="J27" s="19"/>
      <c r="K27" s="61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x14ac:dyDescent="0.25">
      <c r="A28" s="19"/>
      <c r="B28" s="24">
        <f>($B$2)*19.5</f>
        <v>19.5</v>
      </c>
      <c r="C28" s="25">
        <v>200</v>
      </c>
      <c r="D28" s="24">
        <f>($D$2)*331.5</f>
        <v>331.5</v>
      </c>
      <c r="E28" s="25">
        <v>200</v>
      </c>
      <c r="F28" s="24">
        <v>1950</v>
      </c>
      <c r="G28" s="25">
        <v>200</v>
      </c>
      <c r="H28" s="19"/>
      <c r="I28" s="19"/>
      <c r="J28" s="19"/>
      <c r="K28" s="61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x14ac:dyDescent="0.25">
      <c r="A29" s="19"/>
      <c r="B29" s="24">
        <f>($B$2)*17.75</f>
        <v>17.75</v>
      </c>
      <c r="C29" s="25">
        <v>250</v>
      </c>
      <c r="D29" s="24">
        <f>($D$2)*301.75</f>
        <v>301.75</v>
      </c>
      <c r="E29" s="25">
        <v>250</v>
      </c>
      <c r="F29" s="24">
        <v>1775</v>
      </c>
      <c r="G29" s="25">
        <v>250</v>
      </c>
      <c r="H29" s="19"/>
      <c r="I29" s="19"/>
      <c r="J29" s="19"/>
      <c r="K29" s="61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x14ac:dyDescent="0.25">
      <c r="A30" s="19"/>
      <c r="B30" s="24">
        <f>($B$2)*16</f>
        <v>16</v>
      </c>
      <c r="C30" s="25">
        <v>300</v>
      </c>
      <c r="D30" s="24">
        <f>($D$2)*272</f>
        <v>272</v>
      </c>
      <c r="E30" s="25">
        <v>300</v>
      </c>
      <c r="F30" s="24">
        <v>1600</v>
      </c>
      <c r="G30" s="25">
        <v>300</v>
      </c>
      <c r="H30" s="19"/>
      <c r="I30" s="19"/>
      <c r="J30" s="19"/>
      <c r="K30" s="61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x14ac:dyDescent="0.25">
      <c r="A31" s="19"/>
      <c r="B31" s="24">
        <f>($B$2)*14.5</f>
        <v>14.5</v>
      </c>
      <c r="C31" s="25">
        <v>350</v>
      </c>
      <c r="D31" s="24">
        <f>($D$2)*246.5</f>
        <v>246.5</v>
      </c>
      <c r="E31" s="25">
        <v>350</v>
      </c>
      <c r="F31" s="24">
        <v>1450</v>
      </c>
      <c r="G31" s="25">
        <v>350</v>
      </c>
      <c r="H31" s="19"/>
      <c r="I31" s="19"/>
      <c r="J31" s="19"/>
      <c r="K31" s="61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x14ac:dyDescent="0.25">
      <c r="A32" s="19"/>
      <c r="B32" s="24">
        <f>($B$2)*13</f>
        <v>13</v>
      </c>
      <c r="C32" s="25">
        <v>400</v>
      </c>
      <c r="D32" s="24">
        <f>($D$2)*221</f>
        <v>221</v>
      </c>
      <c r="E32" s="25">
        <v>400</v>
      </c>
      <c r="F32" s="24">
        <v>1300</v>
      </c>
      <c r="G32" s="25">
        <v>400</v>
      </c>
      <c r="H32" s="19"/>
      <c r="I32" s="19"/>
      <c r="J32" s="19"/>
      <c r="K32" s="61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x14ac:dyDescent="0.25">
      <c r="A33" s="19"/>
      <c r="B33" s="24">
        <f>($B$2)*11.75</f>
        <v>11.75</v>
      </c>
      <c r="C33" s="25">
        <v>450</v>
      </c>
      <c r="D33" s="24">
        <f>($D$2)*199.75</f>
        <v>199.75</v>
      </c>
      <c r="E33" s="25">
        <v>450</v>
      </c>
      <c r="F33" s="24">
        <v>1175</v>
      </c>
      <c r="G33" s="25">
        <v>450</v>
      </c>
      <c r="H33" s="19"/>
      <c r="I33" s="19"/>
      <c r="J33" s="19"/>
      <c r="K33" s="61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x14ac:dyDescent="0.25">
      <c r="A34" s="19"/>
      <c r="B34" s="24">
        <f>($B$2)*10.5</f>
        <v>10.5</v>
      </c>
      <c r="C34" s="25">
        <v>500</v>
      </c>
      <c r="D34" s="24">
        <f>($D$2)*178.5</f>
        <v>178.5</v>
      </c>
      <c r="E34" s="25">
        <v>500</v>
      </c>
      <c r="F34" s="24">
        <v>1050</v>
      </c>
      <c r="G34" s="25">
        <v>500</v>
      </c>
      <c r="H34" s="19"/>
      <c r="I34" s="19"/>
      <c r="J34" s="19"/>
      <c r="K34" s="61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x14ac:dyDescent="0.25">
      <c r="A35" s="19"/>
      <c r="B35" s="24">
        <f>($B$2)*9.5</f>
        <v>9.5</v>
      </c>
      <c r="C35" s="25">
        <v>550</v>
      </c>
      <c r="D35" s="24">
        <f>($D$2)*161.5</f>
        <v>161.5</v>
      </c>
      <c r="E35" s="25">
        <v>550</v>
      </c>
      <c r="F35" s="24">
        <v>950</v>
      </c>
      <c r="G35" s="25">
        <v>550</v>
      </c>
      <c r="H35" s="19"/>
      <c r="I35" s="19"/>
      <c r="J35" s="19"/>
      <c r="K35" s="61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x14ac:dyDescent="0.25">
      <c r="A36" s="19"/>
      <c r="B36" s="24">
        <f>($B$2)*8.5</f>
        <v>8.5</v>
      </c>
      <c r="C36" s="25">
        <v>600</v>
      </c>
      <c r="D36" s="24">
        <f>($D$2)*144.5</f>
        <v>144.5</v>
      </c>
      <c r="E36" s="25">
        <v>600</v>
      </c>
      <c r="F36" s="24">
        <v>850</v>
      </c>
      <c r="G36" s="25">
        <v>600</v>
      </c>
      <c r="H36" s="19"/>
      <c r="I36" s="19"/>
      <c r="J36" s="19"/>
      <c r="K36" s="61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x14ac:dyDescent="0.25">
      <c r="A37" s="19"/>
      <c r="B37" s="24">
        <f>($B$2)*7.5</f>
        <v>7.5</v>
      </c>
      <c r="C37" s="25">
        <v>650</v>
      </c>
      <c r="D37" s="24">
        <f>($D$2)*127.5</f>
        <v>127.5</v>
      </c>
      <c r="E37" s="25">
        <v>650</v>
      </c>
      <c r="F37" s="24">
        <v>750</v>
      </c>
      <c r="G37" s="25">
        <v>650</v>
      </c>
      <c r="H37" s="19"/>
      <c r="I37" s="19"/>
      <c r="J37" s="19"/>
      <c r="K37" s="61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x14ac:dyDescent="0.25">
      <c r="A38" s="19"/>
      <c r="B38" s="24">
        <f>($B$2)*6.6</f>
        <v>6.6</v>
      </c>
      <c r="C38" s="25">
        <v>700</v>
      </c>
      <c r="D38" s="24">
        <f>($D$2)*112.2</f>
        <v>112.2</v>
      </c>
      <c r="E38" s="25">
        <v>700</v>
      </c>
      <c r="F38" s="24">
        <v>660</v>
      </c>
      <c r="G38" s="25">
        <v>700</v>
      </c>
      <c r="H38" s="19"/>
      <c r="I38" s="19"/>
      <c r="J38" s="19"/>
      <c r="K38" s="61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x14ac:dyDescent="0.25">
      <c r="A39" s="19"/>
      <c r="B39" s="24">
        <f>($B$2)*5.75</f>
        <v>5.75</v>
      </c>
      <c r="C39" s="25">
        <v>750</v>
      </c>
      <c r="D39" s="24">
        <f>($D$2)*97.75</f>
        <v>97.75</v>
      </c>
      <c r="E39" s="25">
        <v>750</v>
      </c>
      <c r="F39" s="24">
        <v>575</v>
      </c>
      <c r="G39" s="25">
        <v>750</v>
      </c>
      <c r="H39" s="19"/>
      <c r="I39" s="19"/>
      <c r="J39" s="19"/>
      <c r="K39" s="61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5.75" thickBot="1" x14ac:dyDescent="0.3">
      <c r="A40" s="19"/>
      <c r="B40" s="26">
        <f>($B$2)*5</f>
        <v>5</v>
      </c>
      <c r="C40" s="27">
        <v>800</v>
      </c>
      <c r="D40" s="26">
        <f>($D$2)*85</f>
        <v>85</v>
      </c>
      <c r="E40" s="27">
        <v>800</v>
      </c>
      <c r="F40" s="26">
        <v>500</v>
      </c>
      <c r="G40" s="27">
        <v>800</v>
      </c>
      <c r="H40" s="19"/>
      <c r="I40" s="19"/>
      <c r="J40" s="19"/>
      <c r="K40" s="61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x14ac:dyDescent="0.25">
      <c r="A41" s="19" t="s">
        <v>353</v>
      </c>
      <c r="B41" s="60" cm="1">
        <f t="array" ref="B41">IF(VLOOKUP(Input!$D$15,C$6:C$40,1,TRUE)=Input!$D$15,INDEX(B$6:B$40,MATCH(VLOOKUP(Input!$D$15,C$6:C$40,1,TRUE),C$6:C$40)),INDEX(B$6:B$40,MATCH(VLOOKUP(Input!$D$15,C$6:C$40,1,TRUE),C$6:C$40)+1))</f>
        <v>50</v>
      </c>
      <c r="C41" s="61"/>
      <c r="D41" s="60" cm="1">
        <f t="array" ref="D41">IF(VLOOKUP(Input!$D$15,E$6:E$40,1,TRUE)=Input!$D$15,INDEX(D$6:D$40,MATCH(VLOOKUP(Input!$D$15,E$6:E$40,1,TRUE),E$6:E$40)),INDEX(D$6:D$40,MATCH(VLOOKUP(Input!$D$15,E$6:E$40,1,TRUE),E$6:E$40)+1))</f>
        <v>850</v>
      </c>
      <c r="E41" s="61"/>
      <c r="F41" s="60" cm="1">
        <f t="array" ref="F41">IF(VLOOKUP(Input!$D$15,G$6:G$40,1,TRUE)=Input!$D$15,INDEX(F$6:F$40,MATCH(VLOOKUP(Input!$D$15,G$6:G$40,1,TRUE),G$6:G$40)),INDEX(F$6:F$40,MATCH(VLOOKUP(Input!$D$15,G$6:G$40,1,TRUE),G$6:G$40)+1))</f>
        <v>5000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5.75" thickBot="1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5.75" thickBot="1" x14ac:dyDescent="0.3">
      <c r="A44" s="20" t="s">
        <v>41</v>
      </c>
      <c r="B44" s="21" t="str">
        <f>IF($F$41&lt;Input!D12,"N/A",IF(Input!D12&lt;=$B$41,$B$5,IF(Input!D12&lt;=$D$41,$D$5,IF(Input!D12&lt;=$F$41,$F$5,))))</f>
        <v>N/A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x14ac:dyDescent="0.25">
      <c r="A45" s="19" t="s">
        <v>156</v>
      </c>
      <c r="B45" s="19" t="str">
        <f>Input!$D$28</f>
        <v>ZGP5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5.75" thickBot="1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45.75" thickBot="1" x14ac:dyDescent="0.3">
      <c r="B47" s="37" t="s">
        <v>42</v>
      </c>
      <c r="C47" s="37" t="s">
        <v>43</v>
      </c>
      <c r="D47" s="38" t="s">
        <v>44</v>
      </c>
      <c r="E47" s="37" t="s">
        <v>129</v>
      </c>
      <c r="F47" s="37" t="s">
        <v>45</v>
      </c>
      <c r="G47" s="37" t="s">
        <v>46</v>
      </c>
      <c r="H47" s="37" t="s">
        <v>47</v>
      </c>
      <c r="I47" s="39" t="s">
        <v>48</v>
      </c>
      <c r="J47" s="39" t="s">
        <v>49</v>
      </c>
      <c r="K47" s="37" t="s">
        <v>50</v>
      </c>
      <c r="L47" s="37" t="s">
        <v>51</v>
      </c>
      <c r="M47" s="174" t="s">
        <v>187</v>
      </c>
      <c r="N47" s="216" t="s">
        <v>317</v>
      </c>
      <c r="O47" s="19"/>
      <c r="P47" s="19"/>
      <c r="Q47" s="19"/>
      <c r="R47" s="19"/>
      <c r="S47" s="19"/>
      <c r="T47" s="20" t="s">
        <v>158</v>
      </c>
      <c r="U47" s="21"/>
      <c r="V47" s="236" t="s">
        <v>345</v>
      </c>
      <c r="W47" s="227" t="s">
        <v>341</v>
      </c>
      <c r="X47" s="236" t="s">
        <v>345</v>
      </c>
      <c r="Y47" s="19"/>
    </row>
    <row r="48" spans="1:25" x14ac:dyDescent="0.25">
      <c r="B48" s="3" t="s">
        <v>85</v>
      </c>
      <c r="C48" s="40">
        <v>490</v>
      </c>
      <c r="D48" s="41">
        <v>96</v>
      </c>
      <c r="E48" s="3">
        <v>6.6849999999999996</v>
      </c>
      <c r="F48" s="3">
        <f>IF(ZG!$B$44=$B48,Input!$D$14,IF($B$45=$B48,Input!$D$14,1000))</f>
        <v>1000</v>
      </c>
      <c r="G48" s="3">
        <f>IF($B$44=$B48,Input!$D$12,IF($B$45=$B48,Input!$D$12,50))</f>
        <v>50</v>
      </c>
      <c r="H48" s="54">
        <f>$E48*$F48*($C48/60)^3*($D48/1000)^5</f>
        <v>29.688760463523831</v>
      </c>
      <c r="I48" s="43">
        <v>1</v>
      </c>
      <c r="J48" s="44">
        <f t="shared" ref="J48:J55" si="0">9549*H48/C48/1000</f>
        <v>0.57856729319630429</v>
      </c>
      <c r="K48" s="52">
        <f t="shared" ref="K48:K55" si="1">H48/G48</f>
        <v>0.59377520927047667</v>
      </c>
      <c r="L48" s="45">
        <f>3.14*$D48/1000*$C48/60</f>
        <v>2.4617599999999999</v>
      </c>
      <c r="M48" s="40">
        <v>55</v>
      </c>
      <c r="N48" s="40"/>
      <c r="O48" s="40"/>
      <c r="P48" s="175"/>
      <c r="Q48" s="19"/>
      <c r="R48" s="19"/>
      <c r="S48" s="19"/>
      <c r="T48" s="63" t="s">
        <v>53</v>
      </c>
      <c r="U48" s="64" t="str" cm="1">
        <f t="array" ref="U48">IF($B$44="N/A","N/A",IF(Input!D14&lt;=1000,VLOOKUP($B$44,$B$48:$M$55,2,FALSE),ROUNDDOWN(SQRT((213500000000000000*INDEX($J$48:$J$55,MATCH($B$44,$B$48:$B$55,0)+1))/(9.549*INDEX($E$48:$E$55,MATCH($B$44,$B$48:$B$55,0)+1)*(INDEX($F$48:$F$55,MATCH($B$44,$B$48:$B$55,0))/1000)*(INDEX($D$48:$D$55,MATCH($B$44,$B$48:$B$55,0)+1)^5))),0)))</f>
        <v>N/A</v>
      </c>
      <c r="V48" s="102" t="s">
        <v>342</v>
      </c>
      <c r="W48" s="228"/>
      <c r="X48" s="234" t="s">
        <v>342</v>
      </c>
      <c r="Y48" s="19"/>
    </row>
    <row r="49" spans="1:25" x14ac:dyDescent="0.25">
      <c r="A49" s="46" t="s">
        <v>52</v>
      </c>
      <c r="B49" s="47" t="s">
        <v>85</v>
      </c>
      <c r="C49" s="47">
        <v>490</v>
      </c>
      <c r="D49" s="48">
        <v>96</v>
      </c>
      <c r="E49" s="47">
        <v>6.6849999999999996</v>
      </c>
      <c r="F49" s="47">
        <f>IF(ZG!$B$44=$B49,Input!$D$14,IF($B$45=$B49,Input!$D$14,1000))</f>
        <v>1000</v>
      </c>
      <c r="G49" s="47">
        <v>50</v>
      </c>
      <c r="H49" s="56">
        <f t="shared" ref="H49:H55" si="2">$E49*$F49*($C49/60)^3*($D49/1000)^5</f>
        <v>29.688760463523831</v>
      </c>
      <c r="I49" s="50">
        <v>1</v>
      </c>
      <c r="J49" s="51">
        <f t="shared" si="0"/>
        <v>0.57856729319630429</v>
      </c>
      <c r="K49" s="49">
        <f t="shared" si="1"/>
        <v>0.59377520927047667</v>
      </c>
      <c r="L49" s="51">
        <f t="shared" ref="L49:L55" si="3">3.14*$D49/1000*$C49/60</f>
        <v>2.4617599999999999</v>
      </c>
      <c r="M49" s="47">
        <v>55</v>
      </c>
      <c r="N49" s="47"/>
      <c r="O49" s="19"/>
      <c r="P49" s="19"/>
      <c r="Q49" s="19"/>
      <c r="R49" s="19"/>
      <c r="S49" s="19"/>
      <c r="T49" s="65" t="s">
        <v>13</v>
      </c>
      <c r="U49" s="66" t="str" cm="1">
        <f t="array" ref="U49">IF($B$44=$U$48,"N/A",(INDEX($E$48:$E$55,MATCH($B$44,$B$48:$B$55,0)+1)*Input!$D$14*($U$48/60)^3*((INDEX($D$48:$D$55,MATCH($B$44,$B$48:$B$55)-1))/1000)^5)/Input!$D$12)</f>
        <v>N/A</v>
      </c>
      <c r="V49" s="102" t="s">
        <v>14</v>
      </c>
      <c r="W49" s="226"/>
      <c r="X49" s="234" t="s">
        <v>343</v>
      </c>
      <c r="Y49" s="19"/>
    </row>
    <row r="50" spans="1:25" ht="15.75" thickBot="1" x14ac:dyDescent="0.3">
      <c r="B50" s="3" t="s">
        <v>86</v>
      </c>
      <c r="C50" s="40">
        <v>490</v>
      </c>
      <c r="D50" s="41">
        <v>150</v>
      </c>
      <c r="E50" s="3">
        <v>6.6849999999999996</v>
      </c>
      <c r="F50" s="3">
        <f>IF(ZG!$B$44=$B50,Input!$D$14,IF($B$45=$B50,Input!$D$14,1000))</f>
        <v>1001</v>
      </c>
      <c r="G50" s="3">
        <f>IF($B$44=$B50,Input!$D$12,IF($B$45=$B50,Input!$D$12,850))</f>
        <v>10000</v>
      </c>
      <c r="H50" s="54">
        <f t="shared" si="2"/>
        <v>276.77462644863266</v>
      </c>
      <c r="I50" s="53">
        <v>6</v>
      </c>
      <c r="J50" s="54">
        <f t="shared" si="0"/>
        <v>5.3937161386897827</v>
      </c>
      <c r="K50" s="52">
        <f t="shared" si="1"/>
        <v>2.7677462644863267E-2</v>
      </c>
      <c r="L50" s="45">
        <f t="shared" si="3"/>
        <v>3.8464999999999998</v>
      </c>
      <c r="M50" s="40">
        <v>94</v>
      </c>
      <c r="N50" s="40"/>
      <c r="O50" s="19"/>
      <c r="P50" s="19"/>
      <c r="Q50" s="19"/>
      <c r="R50" s="19"/>
      <c r="S50" s="19"/>
      <c r="T50" s="67" t="s">
        <v>15</v>
      </c>
      <c r="U50" s="68" t="str" cm="1">
        <f t="array" ref="U50">IF($B$44=$U$48,"N/A",3.14*INDEX($D$48:$D$55,MATCH($B$44,$B$48:$B$55)-1)/1000*$U$48/60)</f>
        <v>N/A</v>
      </c>
      <c r="V50" s="235" t="s">
        <v>16</v>
      </c>
      <c r="W50" s="238"/>
      <c r="X50" s="235" t="s">
        <v>344</v>
      </c>
      <c r="Y50" s="19"/>
    </row>
    <row r="51" spans="1:25" x14ac:dyDescent="0.25">
      <c r="A51" s="46" t="s">
        <v>52</v>
      </c>
      <c r="B51" s="47" t="s">
        <v>86</v>
      </c>
      <c r="C51" s="47">
        <v>490</v>
      </c>
      <c r="D51" s="48">
        <v>150</v>
      </c>
      <c r="E51" s="47">
        <v>6.6849999999999996</v>
      </c>
      <c r="F51" s="47">
        <f>IF(ZG!$B$44=$B51,Input!$D$14,IF($B$45=$B51,Input!$D$14,1000))</f>
        <v>1001</v>
      </c>
      <c r="G51" s="47">
        <v>850</v>
      </c>
      <c r="H51" s="56">
        <f t="shared" si="2"/>
        <v>276.77462644863266</v>
      </c>
      <c r="I51" s="55">
        <v>6</v>
      </c>
      <c r="J51" s="56">
        <f t="shared" si="0"/>
        <v>5.3937161386897827</v>
      </c>
      <c r="K51" s="49">
        <f t="shared" si="1"/>
        <v>0.32561720758662666</v>
      </c>
      <c r="L51" s="51">
        <f t="shared" si="3"/>
        <v>3.8464999999999998</v>
      </c>
      <c r="M51" s="47">
        <v>94</v>
      </c>
      <c r="N51" s="47"/>
      <c r="O51" s="19"/>
      <c r="P51" s="19"/>
      <c r="Q51" s="19"/>
      <c r="R51" s="19"/>
      <c r="S51" s="19"/>
      <c r="T51" s="63" t="s">
        <v>125</v>
      </c>
      <c r="U51" s="64" t="str">
        <f>IF($B$44=$U$48,"N/A",$U$48*0.5)</f>
        <v>N/A</v>
      </c>
      <c r="V51" s="102" t="s">
        <v>342</v>
      </c>
      <c r="W51" s="223"/>
      <c r="X51" s="234" t="s">
        <v>342</v>
      </c>
      <c r="Y51" s="19"/>
    </row>
    <row r="52" spans="1:25" x14ac:dyDescent="0.25">
      <c r="B52" s="3" t="s">
        <v>128</v>
      </c>
      <c r="C52" s="40">
        <v>490</v>
      </c>
      <c r="D52" s="41">
        <v>177</v>
      </c>
      <c r="E52" s="3">
        <v>6.6849999999999996</v>
      </c>
      <c r="F52" s="3">
        <f>IF(ZG!$B$44=$B52,Input!$D$14,IF($B$45=$B52,Input!$D$14,1000))</f>
        <v>1000</v>
      </c>
      <c r="G52" s="3">
        <f>IF($B$44=$B52,Input!$D$12,IF($B$45=$B52,Input!$D$12,2000))</f>
        <v>2000</v>
      </c>
      <c r="H52" s="54">
        <f t="shared" si="2"/>
        <v>632.56073780547626</v>
      </c>
      <c r="I52" s="53">
        <v>13</v>
      </c>
      <c r="J52" s="54">
        <f t="shared" si="0"/>
        <v>12.327188745519372</v>
      </c>
      <c r="K52" s="52">
        <f t="shared" si="1"/>
        <v>0.31628036890273814</v>
      </c>
      <c r="L52" s="45">
        <f t="shared" si="3"/>
        <v>4.5388699999999993</v>
      </c>
      <c r="M52" s="40">
        <v>129.5</v>
      </c>
      <c r="N52" s="40"/>
      <c r="O52" s="19"/>
      <c r="P52" s="19"/>
      <c r="Q52" s="19"/>
      <c r="R52" s="19"/>
      <c r="S52" s="19"/>
      <c r="T52" s="65" t="s">
        <v>126</v>
      </c>
      <c r="U52" s="66" t="str" cm="1">
        <f t="array" ref="U52">IF($B$44=$U$48,"N/A",(INDEX($E$48:$E$55,MATCH($B$44,$B$48:$B$55,0)+1)*Input!$D$14*($U$51/60)^3*((INDEX($D$48:$D$55,MATCH($B$44,$B$48:$B$55)-1))/1000)^5)/Input!$D$12)</f>
        <v>N/A</v>
      </c>
      <c r="V52" s="102" t="s">
        <v>14</v>
      </c>
      <c r="W52" s="237"/>
      <c r="X52" s="234" t="s">
        <v>343</v>
      </c>
      <c r="Y52" s="19"/>
    </row>
    <row r="53" spans="1:25" ht="15.75" thickBot="1" x14ac:dyDescent="0.3">
      <c r="A53" s="46" t="s">
        <v>52</v>
      </c>
      <c r="B53" s="47" t="s">
        <v>128</v>
      </c>
      <c r="C53" s="47">
        <v>490</v>
      </c>
      <c r="D53" s="48">
        <v>177</v>
      </c>
      <c r="E53" s="47">
        <v>6.6849999999999996</v>
      </c>
      <c r="F53" s="47">
        <f>IF(ZG!$B$44=$B53,Input!$D$14,IF($B$45=$B53,Input!$D$14,1000))</f>
        <v>1000</v>
      </c>
      <c r="G53" s="47">
        <v>2000</v>
      </c>
      <c r="H53" s="56">
        <f t="shared" si="2"/>
        <v>632.56073780547626</v>
      </c>
      <c r="I53" s="55">
        <v>13</v>
      </c>
      <c r="J53" s="56">
        <f t="shared" si="0"/>
        <v>12.327188745519372</v>
      </c>
      <c r="K53" s="49">
        <f t="shared" si="1"/>
        <v>0.31628036890273814</v>
      </c>
      <c r="L53" s="51">
        <f t="shared" si="3"/>
        <v>4.5388699999999993</v>
      </c>
      <c r="M53" s="47">
        <v>129.5</v>
      </c>
      <c r="N53" s="47"/>
      <c r="O53" s="19"/>
      <c r="P53" s="19"/>
      <c r="Q53" s="19"/>
      <c r="R53" s="19"/>
      <c r="S53" s="19"/>
      <c r="T53" s="67" t="s">
        <v>127</v>
      </c>
      <c r="U53" s="68" t="str" cm="1">
        <f t="array" ref="U53">IF($B$44=$U$48,"N/A",3.14*INDEX($D$48:$D$55,MATCH($B$44,$B$48:$B$55)-1)/1000*$U$51/60)</f>
        <v>N/A</v>
      </c>
      <c r="V53" s="235" t="s">
        <v>16</v>
      </c>
      <c r="W53" s="239"/>
      <c r="X53" s="235" t="s">
        <v>344</v>
      </c>
      <c r="Y53" s="19"/>
    </row>
    <row r="54" spans="1:25" ht="15.75" thickBot="1" x14ac:dyDescent="0.3">
      <c r="B54" s="3" t="s">
        <v>87</v>
      </c>
      <c r="C54" s="3">
        <v>343</v>
      </c>
      <c r="D54" s="41">
        <v>236</v>
      </c>
      <c r="E54" s="3">
        <v>6.6849999999999996</v>
      </c>
      <c r="F54" s="3">
        <f>IF(ZG!$B$44=$B54,Input!$D$14,IF($B$45=$B54,Input!$D$14,1000))</f>
        <v>1000</v>
      </c>
      <c r="G54" s="3">
        <f>IF($B$44=$B54,Input!$D$12,IF($B$45=$B54,Input!$D$12,5000))</f>
        <v>5000</v>
      </c>
      <c r="H54" s="54">
        <f t="shared" si="2"/>
        <v>914.30276979791427</v>
      </c>
      <c r="I54" s="53">
        <v>26</v>
      </c>
      <c r="J54" s="57">
        <f t="shared" si="0"/>
        <v>25.453869238484792</v>
      </c>
      <c r="K54" s="52">
        <f>H54/G54</f>
        <v>0.18286055395958287</v>
      </c>
      <c r="L54" s="45">
        <f t="shared" si="3"/>
        <v>4.2362786666666672</v>
      </c>
      <c r="M54" s="40">
        <v>159.5</v>
      </c>
      <c r="N54" s="40"/>
      <c r="O54" s="19"/>
      <c r="P54" s="19"/>
      <c r="Q54" s="19"/>
      <c r="R54" s="19"/>
      <c r="S54" s="19"/>
      <c r="T54" s="19"/>
      <c r="U54" s="19"/>
      <c r="V54" s="117"/>
      <c r="W54" s="117"/>
      <c r="X54" s="233"/>
      <c r="Y54" s="19"/>
    </row>
    <row r="55" spans="1:25" ht="15.75" thickBot="1" x14ac:dyDescent="0.3">
      <c r="A55" s="46" t="s">
        <v>52</v>
      </c>
      <c r="B55" s="47" t="s">
        <v>87</v>
      </c>
      <c r="C55" s="47">
        <v>343</v>
      </c>
      <c r="D55" s="48">
        <v>236</v>
      </c>
      <c r="E55" s="47">
        <v>6.6849999999999996</v>
      </c>
      <c r="F55" s="47">
        <f>IF(ZG!$B$44=$B55,Input!$D$14,IF($B$45=$B55,Input!$D$14,1000))</f>
        <v>1000</v>
      </c>
      <c r="G55" s="47">
        <v>5000</v>
      </c>
      <c r="H55" s="56">
        <f t="shared" si="2"/>
        <v>914.30276979791427</v>
      </c>
      <c r="I55" s="55">
        <v>26</v>
      </c>
      <c r="J55" s="58">
        <f t="shared" si="0"/>
        <v>25.453869238484792</v>
      </c>
      <c r="K55" s="49">
        <f t="shared" si="1"/>
        <v>0.18286055395958287</v>
      </c>
      <c r="L55" s="51">
        <f t="shared" si="3"/>
        <v>4.2362786666666672</v>
      </c>
      <c r="M55" s="47">
        <v>159.5</v>
      </c>
      <c r="N55" s="47"/>
      <c r="O55" s="19"/>
      <c r="P55" s="19"/>
      <c r="Q55" s="19"/>
      <c r="R55" s="19"/>
      <c r="S55" s="19"/>
      <c r="T55" s="20" t="s">
        <v>156</v>
      </c>
      <c r="U55" s="21"/>
      <c r="V55" s="21"/>
      <c r="W55" s="232"/>
      <c r="X55" s="236"/>
      <c r="Y55" s="19"/>
    </row>
    <row r="56" spans="1:25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63" t="s">
        <v>53</v>
      </c>
      <c r="U56" s="64" cm="1">
        <f t="array" ref="U56">IF($B$45="N/A","N/A",IF(Input!D14&lt;=1000,VLOOKUP($B$45,$B$48:$N$55,2,FALSE),ROUNDDOWN(SQRT((213500000000000000*INDEX($J$48:$J$55,MATCH($B$45,$B$48:$B$55,0)+1))/(9.549*INDEX($E$48:$E$55,MATCH($B$45,$B$48:$B$55,0)+1)*(INDEX($F$48:$F$55,MATCH($B$45,$B$48:$B$55,0))/1000)*(INDEX($D$48:$D$55,MATCH($B$45,$B$48:$B$55,0)+1)^5))),0)))</f>
        <v>487</v>
      </c>
      <c r="V56" s="102" t="s">
        <v>342</v>
      </c>
      <c r="W56" s="228"/>
      <c r="X56" s="234" t="s">
        <v>342</v>
      </c>
      <c r="Y56" s="19"/>
    </row>
    <row r="57" spans="1:25" x14ac:dyDescent="0.25">
      <c r="C57" s="19"/>
      <c r="D57" s="61"/>
      <c r="E57" s="19"/>
      <c r="F57" s="19"/>
      <c r="G57" s="19"/>
      <c r="H57" s="114"/>
      <c r="I57" s="115"/>
      <c r="J57" s="116"/>
      <c r="K57" s="113"/>
      <c r="L57" s="104"/>
      <c r="M57" s="19"/>
      <c r="N57" s="19"/>
      <c r="O57" s="19"/>
      <c r="P57" s="19"/>
      <c r="Q57" s="19"/>
      <c r="R57" s="19"/>
      <c r="S57" s="19"/>
      <c r="T57" s="65" t="s">
        <v>13</v>
      </c>
      <c r="U57" s="66" cm="1">
        <f t="array" ref="U57">IF($U$56=$B$45,"N/A",(INDEX($E$48:$E$55,MATCH($B$45,$B$48:$B$55,0)+1)*Input!$D$14*($U$56/60)^3*((INDEX($D$48:$D$55,MATCH($B$45,$B$48:$B$55)-1))/1000)^5)/Input!$D$12)</f>
        <v>2.7172207151914044E-2</v>
      </c>
      <c r="V57" s="102" t="s">
        <v>14</v>
      </c>
      <c r="W57" s="226"/>
      <c r="X57" s="234" t="s">
        <v>343</v>
      </c>
      <c r="Y57" s="19"/>
    </row>
    <row r="58" spans="1:25" ht="15.75" thickBot="1" x14ac:dyDescent="0.3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67" t="s">
        <v>15</v>
      </c>
      <c r="U58" s="68" cm="1">
        <f t="array" ref="U58">IF($U$56=$B$45,"N/A",3.14*INDEX($D$48:$D$55,MATCH($B$45,$B$48:$B$55)-1)/1000*$U$56/60)</f>
        <v>3.8229499999999996</v>
      </c>
      <c r="V58" s="235" t="s">
        <v>16</v>
      </c>
      <c r="W58" s="238"/>
      <c r="X58" s="235" t="s">
        <v>344</v>
      </c>
      <c r="Y58" s="19"/>
    </row>
    <row r="59" spans="1:25" x14ac:dyDescent="0.25">
      <c r="C59" s="19"/>
      <c r="D59" s="19"/>
      <c r="E59" s="112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63" t="s">
        <v>125</v>
      </c>
      <c r="U59" s="64">
        <f>IF($U$56=$B$45,"N/A",$U$56*0.5)</f>
        <v>243.5</v>
      </c>
      <c r="V59" s="102" t="s">
        <v>342</v>
      </c>
      <c r="W59" s="223"/>
      <c r="X59" s="234" t="s">
        <v>342</v>
      </c>
      <c r="Y59" s="19"/>
    </row>
    <row r="60" spans="1:25" x14ac:dyDescent="0.25">
      <c r="C60" s="19"/>
      <c r="D60" s="19"/>
      <c r="E60" s="104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65" t="s">
        <v>126</v>
      </c>
      <c r="U60" s="103" cm="1">
        <f t="array" ref="U60">IF($B$45=$U$56,"N/A",(INDEX($E$48:$E$55,MATCH($B$45,$B$48:$B$55,0)+1)*Input!$D$14*($U$59/60)^3*((INDEX($D$48:$D$55,MATCH($B$45,$B$48:$B$55)-1))/1000)^5)/Input!$D$12)</f>
        <v>3.3965258939892555E-3</v>
      </c>
      <c r="V60" s="102" t="s">
        <v>14</v>
      </c>
      <c r="W60" s="240"/>
      <c r="X60" s="234" t="s">
        <v>343</v>
      </c>
      <c r="Y60" s="19"/>
    </row>
    <row r="61" spans="1:25" ht="15.75" thickBot="1" x14ac:dyDescent="0.3"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67" t="s">
        <v>127</v>
      </c>
      <c r="U61" s="68" cm="1">
        <f t="array" ref="U61">IF($B$45=$U$56,"N/A",3.14*INDEX($D$48:$D$55,MATCH($B$45,$B$48:$B$55)-1)/1000*$U$59/60)</f>
        <v>1.9114749999999998</v>
      </c>
      <c r="V61" s="235" t="s">
        <v>16</v>
      </c>
      <c r="W61" s="242"/>
      <c r="X61" s="235" t="s">
        <v>344</v>
      </c>
      <c r="Y61" s="19"/>
    </row>
    <row r="62" spans="1:25" x14ac:dyDescent="0.25">
      <c r="C62" s="19"/>
      <c r="D62" s="19"/>
      <c r="E62" s="113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5.75" thickBot="1" x14ac:dyDescent="0.3">
      <c r="C63" s="19"/>
      <c r="D63" s="19"/>
      <c r="E63" s="104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 t="s">
        <v>316</v>
      </c>
      <c r="U63" s="19">
        <v>0.5</v>
      </c>
      <c r="V63" s="233"/>
      <c r="W63" s="19"/>
      <c r="X63" s="233"/>
      <c r="Y63" s="19"/>
    </row>
    <row r="64" spans="1:25" ht="15.75" thickBot="1" x14ac:dyDescent="0.3"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20" t="s">
        <v>158</v>
      </c>
      <c r="U64" s="21"/>
      <c r="V64" s="236"/>
      <c r="W64" s="232"/>
      <c r="X64" s="236"/>
      <c r="Y64" s="19"/>
    </row>
    <row r="65" spans="3:25" x14ac:dyDescent="0.25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63" t="s">
        <v>315</v>
      </c>
      <c r="U65" s="217" t="e">
        <f>IF($U$63*(10.74*(VLOOKUP($B$44,$B$48:$N$55,3,FALSE)/25.4)^2*$U$48*(Input!$D$14/1000)/Input!$D$15)&gt;=20000,1,IF($U$63*(10.74*(VLOOKUP($B$44,$B$48:$N$55,3,FALSE)/25.4)^2*$U$48*(Input!$D$14/1000)/Input!$D$15)&gt;=300,EXP(-5.328+1.683*LN($U$63*(10.74*(VLOOKUP($B$44,$B$48:$N$55,3,FALSE)/25.4)^2*$U$48*(Input!$D$14/1000)/Input!$D$15))-0.179*LN($U$63*(10.74*(VLOOKUP($B$44,$B$48:$N$55,3,FALSE)/25.4)^2*$U$48*(Input!$D$14/1000)/Input!$D$15))^2+0.0064*LN($U$63*(10.74*(VLOOKUP($B$44,$B$48:$N$55,3,FALSE)/25.4)^2*$U$48*(Input!$D$14/1000)/Input!$D$15))^3),IF($U$63*(10.74*(VLOOKUP($B$44,$B$48:$N$55,3,FALSE)/25.4)^2*$U$48*(Input!$D$14/1000)/Input!$D$15)&gt;25,EXP(-0.563-0.231*LN($U$63*(10.74*(VLOOKUP($B$44,$B$48:$N$55,3,FALSE)/25.4)^2*$U$48*(Input!$D$14/1000)/Input!$D$15))+0.0466*LN($U$63*(10.74*(VLOOKUP($B$44,$B$48:$N$55,3,FALSE)/25.4)^2*$U$48*(Input!$D$14/1000)/Input!$D$15))^2),0.439)))*VLOOKUP($B$44,$B$48:$N$55,13,FALSE)*$U$48*(VLOOKUP($B$44,$B$48:$N$55,3,FALSE)^3/1000000)</f>
        <v>#N/A</v>
      </c>
      <c r="V65" s="19" t="s">
        <v>346</v>
      </c>
      <c r="W65" s="244"/>
      <c r="X65" s="234" t="s">
        <v>347</v>
      </c>
      <c r="Y65" s="19"/>
    </row>
    <row r="66" spans="3:25" x14ac:dyDescent="0.25"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65" t="s">
        <v>312</v>
      </c>
      <c r="U66" s="66" t="e">
        <f>IF(Input!$D$12&lt;$U$65,CONCATENATE(TEXT(((CONCATENATE("0",MID((Input!$D$12/$U$65),FIND(",",(Input!$D$12/$U$65)),LEN((Input!$D$12/$U$65)))))*60),"0"),"s"),CONCATENATE(LEFT((Input!$D$12/$U$65),FIND(",",(Input!$D$12/$U$65))-1),"min ",TEXT(((CONCATENATE("0",MID((Input!$D$12/$U$65),FIND(",",(Input!$D$12/$U$65)),LEN((Input!$D$12/$U$65)))))*60),"0"),"s"))</f>
        <v>#N/A</v>
      </c>
      <c r="V66" s="19"/>
      <c r="W66" s="243"/>
      <c r="X66" s="234"/>
      <c r="Y66" s="19"/>
    </row>
    <row r="67" spans="3:25" x14ac:dyDescent="0.25"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 t="s">
        <v>314</v>
      </c>
      <c r="U67" s="102" t="e">
        <f>IF(Input!$D$12*3&lt;$U$65,CONCATENATE(TEXT(((CONCATENATE("0",MID((Input!$D$12/$U$65)*3,FIND(",",(Input!$D$12/$U$65)*3),LEN((Input!$D$12/$U$65)*3))))*60),"0"),"s"),CONCATENATE(LEFT((Input!$D$12/$U$65)*3,FIND(",",(Input!$D$12/$U$65)*3)-1),"min ",TEXT(((CONCATENATE("0",MID((Input!$D$12/$U$65)*3,FIND(",",(Input!$D$12/$U$65)*3),LEN((Input!$D$12/$U$65)*3))))*60),"0"),"s"))</f>
        <v>#N/A</v>
      </c>
      <c r="V67" s="19"/>
      <c r="W67" s="230"/>
      <c r="X67" s="234"/>
      <c r="Y67" s="19"/>
    </row>
    <row r="68" spans="3:25" ht="15.75" thickBot="1" x14ac:dyDescent="0.3"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67" t="s">
        <v>313</v>
      </c>
      <c r="U68" s="68" t="e">
        <f>IF(Input!$D$12*5&lt;$U$65,CONCATENATE(TEXT(((CONCATENATE("0",MID((Input!$D$12/$U$65)*5,FIND(",",(Input!$D$12/$U$65)*5),LEN((Input!$D$12/$U$65)*5))))*60),"0"),"s"),CONCATENATE(LEFT((Input!$D$12/$U$65)*5,FIND(",",(Input!$D$12/$U$65)*5)-1),"min ",TEXT(((CONCATENATE("0",MID((Input!$D$12/$U$65)*5,FIND(",",(Input!$D$12/$U$65)*5),LEN((Input!$D$12/$U$65)*5))))*60),"0"),"s"))</f>
        <v>#N/A</v>
      </c>
      <c r="V68" s="121"/>
      <c r="W68" s="241"/>
      <c r="X68" s="235"/>
      <c r="Y68" s="19"/>
    </row>
    <row r="69" spans="3:25" x14ac:dyDescent="0.25"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3:25" x14ac:dyDescent="0.25"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3:25" x14ac:dyDescent="0.25"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3:25" x14ac:dyDescent="0.25"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</sheetData>
  <sortState xmlns:xlrd2="http://schemas.microsoft.com/office/spreadsheetml/2017/richdata2" ref="I6:I40">
    <sortCondition descending="1" ref="I6:I40"/>
  </sortState>
  <mergeCells count="6">
    <mergeCell ref="B1:C1"/>
    <mergeCell ref="D1:E1"/>
    <mergeCell ref="F1:G1"/>
    <mergeCell ref="B2:C2"/>
    <mergeCell ref="D2:E2"/>
    <mergeCell ref="F2:G2"/>
  </mergeCells>
  <conditionalFormatting sqref="B48:D48 H48:J48 D49 H49:H55">
    <cfRule type="expression" dxfId="40" priority="11">
      <formula>$B$13=$B$2</formula>
    </cfRule>
  </conditionalFormatting>
  <conditionalFormatting sqref="B50:D50 I50:J50 D51">
    <cfRule type="expression" dxfId="39" priority="8">
      <formula>$B$17=$B$2</formula>
    </cfRule>
  </conditionalFormatting>
  <conditionalFormatting sqref="B52:D52 I52:J52 D53">
    <cfRule type="expression" dxfId="38" priority="4">
      <formula>$B$21=$B$2</formula>
    </cfRule>
  </conditionalFormatting>
  <conditionalFormatting sqref="B54:D54 I54:J54 D55">
    <cfRule type="expression" dxfId="37" priority="3">
      <formula>$B$23=$B$2</formula>
    </cfRule>
  </conditionalFormatting>
  <conditionalFormatting sqref="F48:F55">
    <cfRule type="expression" dxfId="36" priority="10">
      <formula>$B$11=$B$2</formula>
    </cfRule>
  </conditionalFormatting>
  <conditionalFormatting sqref="J48">
    <cfRule type="expression" dxfId="35" priority="12">
      <formula>$J$14&lt;$J$13</formula>
    </cfRule>
  </conditionalFormatting>
  <conditionalFormatting sqref="J50">
    <cfRule type="expression" dxfId="34" priority="9">
      <formula>$J$18&lt;$J$17</formula>
    </cfRule>
  </conditionalFormatting>
  <conditionalFormatting sqref="J52">
    <cfRule type="expression" dxfId="33" priority="6">
      <formula>$J$22&lt;$J$21</formula>
    </cfRule>
  </conditionalFormatting>
  <conditionalFormatting sqref="J54">
    <cfRule type="expression" dxfId="32" priority="5">
      <formula>$J$24&lt;$J$23</formula>
    </cfRule>
  </conditionalFormatting>
  <conditionalFormatting sqref="P48">
    <cfRule type="expression" dxfId="31" priority="1">
      <formula>$B$11=$B$2</formula>
    </cfRule>
  </conditionalFormatting>
  <dataValidations disablePrompts="1" count="1">
    <dataValidation type="list" allowBlank="1" showInputMessage="1" showErrorMessage="1" sqref="B1:G2" xr:uid="{37BC3563-2E8E-4A47-9A6A-2C032EF20AD3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C942-319A-4F00-B7B9-277D746783D7}">
  <sheetPr>
    <tabColor rgb="FF00B0F0"/>
  </sheetPr>
  <dimension ref="A1:V69"/>
  <sheetViews>
    <sheetView topLeftCell="A39" workbookViewId="0">
      <selection activeCell="A41" sqref="A41"/>
    </sheetView>
  </sheetViews>
  <sheetFormatPr defaultRowHeight="15" x14ac:dyDescent="0.25"/>
  <cols>
    <col min="1" max="1" width="20.28515625" bestFit="1" customWidth="1"/>
    <col min="2" max="2" width="12.5703125" bestFit="1" customWidth="1"/>
    <col min="12" max="12" width="15" bestFit="1" customWidth="1"/>
    <col min="18" max="18" width="18.85546875" bestFit="1" customWidth="1"/>
  </cols>
  <sheetData>
    <row r="1" spans="1:20" ht="15.75" thickBot="1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5.75" thickBot="1" x14ac:dyDescent="0.3">
      <c r="A2" s="20" t="s">
        <v>5</v>
      </c>
      <c r="B2" s="281">
        <f>IF(Input!$D$13="Gentle",1.2,IF(Input!$D$13="Vigorous", 0.8,1))</f>
        <v>1</v>
      </c>
      <c r="C2" s="282"/>
      <c r="D2" s="281">
        <f>IF(Input!$D$13="Gentle",1.2,IF(Input!$D$13="Vigorous", 0.8,1))</f>
        <v>1</v>
      </c>
      <c r="E2" s="282"/>
      <c r="F2" s="281">
        <f>IF(Input!$D$13="Gentle",1.2,IF(Input!$D$13="Vigorous", 0.8,1))</f>
        <v>1</v>
      </c>
      <c r="G2" s="282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ht="15.75" thickBot="1" x14ac:dyDescent="0.3">
      <c r="A3" s="20" t="s">
        <v>23</v>
      </c>
      <c r="B3" s="20">
        <v>300</v>
      </c>
      <c r="C3" s="21"/>
      <c r="D3" s="20">
        <v>3000</v>
      </c>
      <c r="E3" s="21"/>
      <c r="F3" s="117">
        <v>10000</v>
      </c>
      <c r="G3" s="21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 ht="15.75" thickBot="1" x14ac:dyDescent="0.3">
      <c r="A4" s="19"/>
      <c r="B4" s="20" t="s">
        <v>19</v>
      </c>
      <c r="C4" s="21" t="s">
        <v>3</v>
      </c>
      <c r="D4" s="20" t="s">
        <v>19</v>
      </c>
      <c r="E4" s="21" t="s">
        <v>3</v>
      </c>
      <c r="F4" s="117" t="s">
        <v>19</v>
      </c>
      <c r="G4" s="21" t="s">
        <v>3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ht="15.75" thickBot="1" x14ac:dyDescent="0.3">
      <c r="A5" s="19"/>
      <c r="B5" s="20" t="s">
        <v>33</v>
      </c>
      <c r="C5" s="21" t="s">
        <v>33</v>
      </c>
      <c r="D5" s="20" t="s">
        <v>34</v>
      </c>
      <c r="E5" s="21" t="s">
        <v>34</v>
      </c>
      <c r="F5" s="117" t="s">
        <v>35</v>
      </c>
      <c r="G5" s="21" t="s">
        <v>35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spans="1:20" x14ac:dyDescent="0.25">
      <c r="A6" s="19"/>
      <c r="B6" s="22">
        <f>(B$2)*300</f>
        <v>300</v>
      </c>
      <c r="C6" s="23">
        <v>1</v>
      </c>
      <c r="D6" s="22">
        <f>(D$2)*3000</f>
        <v>3000</v>
      </c>
      <c r="E6" s="23">
        <v>1</v>
      </c>
      <c r="F6" s="22">
        <f>(F$2)*10000</f>
        <v>10000</v>
      </c>
      <c r="G6" s="23">
        <v>1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x14ac:dyDescent="0.25">
      <c r="A7" s="19"/>
      <c r="B7" s="24">
        <f>(B$2)*273</f>
        <v>273</v>
      </c>
      <c r="C7" s="25">
        <v>5</v>
      </c>
      <c r="D7" s="24">
        <f>(D$2)*2730</f>
        <v>2730</v>
      </c>
      <c r="E7" s="25">
        <v>5</v>
      </c>
      <c r="F7" s="24">
        <f>(F$2)*9100</f>
        <v>9100</v>
      </c>
      <c r="G7" s="25">
        <v>5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x14ac:dyDescent="0.25">
      <c r="A8" s="19"/>
      <c r="B8" s="24">
        <f>(B$2)*249</f>
        <v>249</v>
      </c>
      <c r="C8" s="25">
        <v>10</v>
      </c>
      <c r="D8" s="24">
        <f>(D$2)*2490</f>
        <v>2490</v>
      </c>
      <c r="E8" s="25">
        <v>10</v>
      </c>
      <c r="F8" s="24">
        <f>(F$2)*8300</f>
        <v>8300</v>
      </c>
      <c r="G8" s="25">
        <v>10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 x14ac:dyDescent="0.25">
      <c r="A9" s="19"/>
      <c r="B9" s="24">
        <f>(B$2)*231</f>
        <v>231</v>
      </c>
      <c r="C9" s="25">
        <v>15</v>
      </c>
      <c r="D9" s="24">
        <f>(D$2)*2310</f>
        <v>2310</v>
      </c>
      <c r="E9" s="25">
        <v>15</v>
      </c>
      <c r="F9" s="24">
        <f>(F$2)*7700</f>
        <v>7700</v>
      </c>
      <c r="G9" s="25">
        <v>15</v>
      </c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</row>
    <row r="10" spans="1:20" x14ac:dyDescent="0.25">
      <c r="A10" s="19"/>
      <c r="B10" s="24">
        <f>(B$2)*216</f>
        <v>216</v>
      </c>
      <c r="C10" s="25">
        <v>20</v>
      </c>
      <c r="D10" s="24">
        <f>(D$2)*2160</f>
        <v>2160</v>
      </c>
      <c r="E10" s="25">
        <v>20</v>
      </c>
      <c r="F10" s="24">
        <f>(F$2)*7200</f>
        <v>7200</v>
      </c>
      <c r="G10" s="25">
        <v>20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</row>
    <row r="11" spans="1:20" x14ac:dyDescent="0.25">
      <c r="A11" s="19"/>
      <c r="B11" s="24">
        <f>(B$2)*204</f>
        <v>204</v>
      </c>
      <c r="C11" s="25">
        <v>25</v>
      </c>
      <c r="D11" s="24">
        <f>(D$2)*2040</f>
        <v>2040</v>
      </c>
      <c r="E11" s="25">
        <v>25</v>
      </c>
      <c r="F11" s="24">
        <f>(F$2)*6800</f>
        <v>6800</v>
      </c>
      <c r="G11" s="25">
        <v>25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</row>
    <row r="12" spans="1:20" x14ac:dyDescent="0.25">
      <c r="A12" s="19"/>
      <c r="B12" s="24">
        <f>(B$2)*196.5</f>
        <v>196.5</v>
      </c>
      <c r="C12" s="25">
        <v>30</v>
      </c>
      <c r="D12" s="24">
        <f>(D$2)*1965</f>
        <v>1965</v>
      </c>
      <c r="E12" s="25">
        <v>30</v>
      </c>
      <c r="F12" s="24">
        <f>(F$2)*6550</f>
        <v>6550</v>
      </c>
      <c r="G12" s="25">
        <v>30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</row>
    <row r="13" spans="1:20" x14ac:dyDescent="0.25">
      <c r="A13" s="19"/>
      <c r="B13" s="24">
        <f>(B$2)*189</f>
        <v>189</v>
      </c>
      <c r="C13" s="25">
        <v>35</v>
      </c>
      <c r="D13" s="24">
        <f>(D$2)*1890</f>
        <v>1890</v>
      </c>
      <c r="E13" s="25">
        <v>35</v>
      </c>
      <c r="F13" s="24">
        <f>(F$2)*6300</f>
        <v>6300</v>
      </c>
      <c r="G13" s="25">
        <v>35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</row>
    <row r="14" spans="1:20" x14ac:dyDescent="0.25">
      <c r="A14" s="19"/>
      <c r="B14" s="24">
        <f>(B$2)*184.5</f>
        <v>184.5</v>
      </c>
      <c r="C14" s="25">
        <v>40</v>
      </c>
      <c r="D14" s="24">
        <f>(D$2)*1845</f>
        <v>1845</v>
      </c>
      <c r="E14" s="25">
        <v>40</v>
      </c>
      <c r="F14" s="24">
        <f>(F$2)*6150</f>
        <v>6150</v>
      </c>
      <c r="G14" s="25">
        <v>40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</row>
    <row r="15" spans="1:20" x14ac:dyDescent="0.25">
      <c r="A15" s="19"/>
      <c r="B15" s="24">
        <f>(B$2)*180</f>
        <v>180</v>
      </c>
      <c r="C15" s="25">
        <v>45</v>
      </c>
      <c r="D15" s="24">
        <f>(D$2)*1800</f>
        <v>1800</v>
      </c>
      <c r="E15" s="25">
        <v>45</v>
      </c>
      <c r="F15" s="24">
        <f>(F$2)*6000</f>
        <v>6000</v>
      </c>
      <c r="G15" s="25">
        <v>45</v>
      </c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</row>
    <row r="16" spans="1:20" x14ac:dyDescent="0.25">
      <c r="A16" s="19"/>
      <c r="B16" s="24">
        <f>(B$2)*175.8</f>
        <v>175.8</v>
      </c>
      <c r="C16" s="25">
        <v>50</v>
      </c>
      <c r="D16" s="24">
        <f>(D$2)*1758</f>
        <v>1758</v>
      </c>
      <c r="E16" s="25">
        <v>50</v>
      </c>
      <c r="F16" s="24">
        <f>(F$2)*5860</f>
        <v>5860</v>
      </c>
      <c r="G16" s="25">
        <v>50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</row>
    <row r="17" spans="1:20" x14ac:dyDescent="0.25">
      <c r="A17" s="19"/>
      <c r="B17" s="24">
        <f>(B$2)*171</f>
        <v>171</v>
      </c>
      <c r="C17" s="25">
        <v>55</v>
      </c>
      <c r="D17" s="24">
        <f>(D$2)*1710</f>
        <v>1710</v>
      </c>
      <c r="E17" s="25">
        <v>55</v>
      </c>
      <c r="F17" s="24">
        <f>(F$2)*5700</f>
        <v>5700</v>
      </c>
      <c r="G17" s="25">
        <v>55</v>
      </c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</row>
    <row r="18" spans="1:20" x14ac:dyDescent="0.25">
      <c r="A18" s="19"/>
      <c r="B18" s="24">
        <f>(B$2)*168</f>
        <v>168</v>
      </c>
      <c r="C18" s="25">
        <v>60</v>
      </c>
      <c r="D18" s="24">
        <f>(D$2)*1680</f>
        <v>1680</v>
      </c>
      <c r="E18" s="25">
        <v>60</v>
      </c>
      <c r="F18" s="24">
        <f>(F$2)*5600</f>
        <v>5600</v>
      </c>
      <c r="G18" s="25">
        <v>60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spans="1:20" x14ac:dyDescent="0.25">
      <c r="A19" s="19"/>
      <c r="B19" s="24">
        <f>(B$2)*165</f>
        <v>165</v>
      </c>
      <c r="C19" s="25">
        <v>65</v>
      </c>
      <c r="D19" s="24">
        <f>(D$2)*1650</f>
        <v>1650</v>
      </c>
      <c r="E19" s="25">
        <v>65</v>
      </c>
      <c r="F19" s="24">
        <f>(F$2)*5500</f>
        <v>5500</v>
      </c>
      <c r="G19" s="25">
        <v>65</v>
      </c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</row>
    <row r="20" spans="1:20" x14ac:dyDescent="0.25">
      <c r="A20" s="19"/>
      <c r="B20" s="24">
        <f>(B$2)*162</f>
        <v>162</v>
      </c>
      <c r="C20" s="25">
        <v>70</v>
      </c>
      <c r="D20" s="24">
        <f>(D$2)*1620</f>
        <v>1620</v>
      </c>
      <c r="E20" s="25">
        <v>70</v>
      </c>
      <c r="F20" s="24">
        <f>(F$2)*5400</f>
        <v>5400</v>
      </c>
      <c r="G20" s="25">
        <v>70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</row>
    <row r="21" spans="1:20" x14ac:dyDescent="0.25">
      <c r="A21" s="19"/>
      <c r="B21" s="24">
        <f>(B$2)*159</f>
        <v>159</v>
      </c>
      <c r="C21" s="25">
        <v>75</v>
      </c>
      <c r="D21" s="24">
        <f>(D$2)*1590</f>
        <v>1590</v>
      </c>
      <c r="E21" s="25">
        <v>75</v>
      </c>
      <c r="F21" s="24">
        <f>(F$2)*5300</f>
        <v>5300</v>
      </c>
      <c r="G21" s="25">
        <v>75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  <row r="22" spans="1:20" x14ac:dyDescent="0.25">
      <c r="A22" s="19"/>
      <c r="B22" s="24">
        <f>(B$2)*156</f>
        <v>156</v>
      </c>
      <c r="C22" s="25">
        <v>80</v>
      </c>
      <c r="D22" s="24">
        <f>(D$2)*1560</f>
        <v>1560</v>
      </c>
      <c r="E22" s="25">
        <v>80</v>
      </c>
      <c r="F22" s="24">
        <f>(F$2)*5200</f>
        <v>5200</v>
      </c>
      <c r="G22" s="25">
        <v>80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</row>
    <row r="23" spans="1:20" x14ac:dyDescent="0.25">
      <c r="A23" s="19"/>
      <c r="B23" s="24">
        <f>(B$2)*153</f>
        <v>153</v>
      </c>
      <c r="C23" s="25">
        <v>85</v>
      </c>
      <c r="D23" s="24">
        <f>(D$2)*1530</f>
        <v>1530</v>
      </c>
      <c r="E23" s="25">
        <v>85</v>
      </c>
      <c r="F23" s="24">
        <f>(F$2)*5100</f>
        <v>5100</v>
      </c>
      <c r="G23" s="25">
        <v>85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</row>
    <row r="24" spans="1:20" x14ac:dyDescent="0.25">
      <c r="A24" s="19"/>
      <c r="B24" s="24">
        <f>(B$2)*150</f>
        <v>150</v>
      </c>
      <c r="C24" s="25">
        <v>90</v>
      </c>
      <c r="D24" s="24">
        <f>(D$2)*1500</f>
        <v>1500</v>
      </c>
      <c r="E24" s="25">
        <v>90</v>
      </c>
      <c r="F24" s="24">
        <f>(F$2)*5000</f>
        <v>5000</v>
      </c>
      <c r="G24" s="25">
        <v>90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</row>
    <row r="25" spans="1:20" x14ac:dyDescent="0.25">
      <c r="A25" s="19"/>
      <c r="B25" s="24">
        <f>(B$2)*147</f>
        <v>147</v>
      </c>
      <c r="C25" s="25">
        <v>95</v>
      </c>
      <c r="D25" s="24">
        <f>(D$2)*1470</f>
        <v>1470</v>
      </c>
      <c r="E25" s="25">
        <v>95</v>
      </c>
      <c r="F25" s="24">
        <f>(F$2)*4900</f>
        <v>4900</v>
      </c>
      <c r="G25" s="25">
        <v>95</v>
      </c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</row>
    <row r="26" spans="1:20" x14ac:dyDescent="0.25">
      <c r="A26" s="19"/>
      <c r="B26" s="24">
        <f>(B$2)*145.5</f>
        <v>145.5</v>
      </c>
      <c r="C26" s="25">
        <v>100</v>
      </c>
      <c r="D26" s="24">
        <f>(D$2)*1455</f>
        <v>1455</v>
      </c>
      <c r="E26" s="25">
        <v>100</v>
      </c>
      <c r="F26" s="24">
        <f>(F$2)*4850</f>
        <v>4850</v>
      </c>
      <c r="G26" s="25">
        <v>100</v>
      </c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</row>
    <row r="27" spans="1:20" x14ac:dyDescent="0.25">
      <c r="A27" s="19"/>
      <c r="B27" s="24">
        <f>(B$2)*129</f>
        <v>129</v>
      </c>
      <c r="C27" s="25">
        <v>150</v>
      </c>
      <c r="D27" s="24">
        <f>(D$2)*1290</f>
        <v>1290</v>
      </c>
      <c r="E27" s="25">
        <v>150</v>
      </c>
      <c r="F27" s="24">
        <f>(F$2)*4300</f>
        <v>4300</v>
      </c>
      <c r="G27" s="25">
        <v>150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x14ac:dyDescent="0.25">
      <c r="A28" s="19"/>
      <c r="B28" s="24">
        <f>(B$2)*117</f>
        <v>117</v>
      </c>
      <c r="C28" s="25">
        <v>200</v>
      </c>
      <c r="D28" s="24">
        <f>(D$2)*1170</f>
        <v>1170</v>
      </c>
      <c r="E28" s="25">
        <v>200</v>
      </c>
      <c r="F28" s="24">
        <f>(F$2)*3900</f>
        <v>3900</v>
      </c>
      <c r="G28" s="25">
        <v>200</v>
      </c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</row>
    <row r="29" spans="1:20" x14ac:dyDescent="0.25">
      <c r="A29" s="19"/>
      <c r="B29" s="24">
        <f>(B$2)*106.5</f>
        <v>106.5</v>
      </c>
      <c r="C29" s="25">
        <v>250</v>
      </c>
      <c r="D29" s="24">
        <f>(D$2)*1065</f>
        <v>1065</v>
      </c>
      <c r="E29" s="25">
        <v>250</v>
      </c>
      <c r="F29" s="24">
        <f>(F$2)*3550</f>
        <v>3550</v>
      </c>
      <c r="G29" s="25">
        <v>250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</row>
    <row r="30" spans="1:20" x14ac:dyDescent="0.25">
      <c r="A30" s="19"/>
      <c r="B30" s="24">
        <f>(B$2)*96</f>
        <v>96</v>
      </c>
      <c r="C30" s="25">
        <v>300</v>
      </c>
      <c r="D30" s="24">
        <f>(D$2)*960</f>
        <v>960</v>
      </c>
      <c r="E30" s="25">
        <v>300</v>
      </c>
      <c r="F30" s="24">
        <f>(F$2)*3200</f>
        <v>3200</v>
      </c>
      <c r="G30" s="25">
        <v>300</v>
      </c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</row>
    <row r="31" spans="1:20" x14ac:dyDescent="0.25">
      <c r="A31" s="19"/>
      <c r="B31" s="24">
        <f>(B$2)*87</f>
        <v>87</v>
      </c>
      <c r="C31" s="25">
        <v>350</v>
      </c>
      <c r="D31" s="24">
        <f>(D$2)*870</f>
        <v>870</v>
      </c>
      <c r="E31" s="25">
        <v>350</v>
      </c>
      <c r="F31" s="24">
        <f>(F$2)*2900</f>
        <v>2900</v>
      </c>
      <c r="G31" s="25">
        <v>350</v>
      </c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</row>
    <row r="32" spans="1:20" x14ac:dyDescent="0.25">
      <c r="A32" s="19"/>
      <c r="B32" s="24">
        <f>(B$2)*78</f>
        <v>78</v>
      </c>
      <c r="C32" s="25">
        <v>400</v>
      </c>
      <c r="D32" s="24">
        <f>(D$2)*780</f>
        <v>780</v>
      </c>
      <c r="E32" s="25">
        <v>400</v>
      </c>
      <c r="F32" s="24">
        <f>(F$2)*2600</f>
        <v>2600</v>
      </c>
      <c r="G32" s="25">
        <v>400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</row>
    <row r="33" spans="1:22" x14ac:dyDescent="0.25">
      <c r="A33" s="19"/>
      <c r="B33" s="24">
        <f>(B$2)*70.5</f>
        <v>70.5</v>
      </c>
      <c r="C33" s="25">
        <v>450</v>
      </c>
      <c r="D33" s="24">
        <f>(D$2)*705</f>
        <v>705</v>
      </c>
      <c r="E33" s="25">
        <v>450</v>
      </c>
      <c r="F33" s="24">
        <f>(F$2)*2350</f>
        <v>2350</v>
      </c>
      <c r="G33" s="25">
        <v>450</v>
      </c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</row>
    <row r="34" spans="1:22" x14ac:dyDescent="0.25">
      <c r="A34" s="19"/>
      <c r="B34" s="24">
        <f>(B$2)*63</f>
        <v>63</v>
      </c>
      <c r="C34" s="25">
        <v>500</v>
      </c>
      <c r="D34" s="24">
        <f>(D$2)*630</f>
        <v>630</v>
      </c>
      <c r="E34" s="25">
        <v>500</v>
      </c>
      <c r="F34" s="24">
        <f>(F$2)*2100</f>
        <v>2100</v>
      </c>
      <c r="G34" s="25">
        <v>500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</row>
    <row r="35" spans="1:22" x14ac:dyDescent="0.25">
      <c r="A35" s="19"/>
      <c r="B35" s="24">
        <f>(B$2)*57</f>
        <v>57</v>
      </c>
      <c r="C35" s="25">
        <v>550</v>
      </c>
      <c r="D35" s="24">
        <f>(D$2)*570</f>
        <v>570</v>
      </c>
      <c r="E35" s="25">
        <v>550</v>
      </c>
      <c r="F35" s="24">
        <f>(F$2)*1900</f>
        <v>1900</v>
      </c>
      <c r="G35" s="25">
        <v>550</v>
      </c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</row>
    <row r="36" spans="1:22" x14ac:dyDescent="0.25">
      <c r="A36" s="19"/>
      <c r="B36" s="24">
        <f>(B$2)*51</f>
        <v>51</v>
      </c>
      <c r="C36" s="25">
        <v>600</v>
      </c>
      <c r="D36" s="24">
        <f>(D$2)*510</f>
        <v>510</v>
      </c>
      <c r="E36" s="25">
        <v>600</v>
      </c>
      <c r="F36" s="24">
        <f>(F$2)*1700</f>
        <v>1700</v>
      </c>
      <c r="G36" s="25">
        <v>600</v>
      </c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</row>
    <row r="37" spans="1:22" x14ac:dyDescent="0.25">
      <c r="A37" s="19"/>
      <c r="B37" s="24">
        <f>(B$2)*45</f>
        <v>45</v>
      </c>
      <c r="C37" s="25">
        <v>650</v>
      </c>
      <c r="D37" s="24">
        <f>(D$2)*450</f>
        <v>450</v>
      </c>
      <c r="E37" s="25">
        <v>650</v>
      </c>
      <c r="F37" s="24">
        <f>(F$2)*1500</f>
        <v>1500</v>
      </c>
      <c r="G37" s="25">
        <v>650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</row>
    <row r="38" spans="1:22" x14ac:dyDescent="0.25">
      <c r="A38" s="19"/>
      <c r="B38" s="24">
        <f>(B$2)*39.6</f>
        <v>39.6</v>
      </c>
      <c r="C38" s="25">
        <v>700</v>
      </c>
      <c r="D38" s="24">
        <f>(D$2)*396</f>
        <v>396</v>
      </c>
      <c r="E38" s="25">
        <v>700</v>
      </c>
      <c r="F38" s="24">
        <f>(F$2)*1320</f>
        <v>1320</v>
      </c>
      <c r="G38" s="25">
        <v>700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</row>
    <row r="39" spans="1:22" x14ac:dyDescent="0.25">
      <c r="A39" s="19"/>
      <c r="B39" s="24">
        <f>(B$2)*34.5</f>
        <v>34.5</v>
      </c>
      <c r="C39" s="25">
        <v>750</v>
      </c>
      <c r="D39" s="24">
        <f>(D$2)*345</f>
        <v>345</v>
      </c>
      <c r="E39" s="25">
        <v>750</v>
      </c>
      <c r="F39" s="24">
        <f>(F$2)*1150</f>
        <v>1150</v>
      </c>
      <c r="G39" s="25">
        <v>750</v>
      </c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</row>
    <row r="40" spans="1:22" ht="15.75" thickBot="1" x14ac:dyDescent="0.3">
      <c r="A40" s="19"/>
      <c r="B40" s="26">
        <f>(B$2)*30</f>
        <v>30</v>
      </c>
      <c r="C40" s="27">
        <v>800</v>
      </c>
      <c r="D40" s="26">
        <f>(D$2)*300</f>
        <v>300</v>
      </c>
      <c r="E40" s="27">
        <v>800</v>
      </c>
      <c r="F40" s="26">
        <f>(F$2)*1000</f>
        <v>1000</v>
      </c>
      <c r="G40" s="27">
        <v>800</v>
      </c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</row>
    <row r="41" spans="1:22" x14ac:dyDescent="0.25">
      <c r="A41" s="19" t="s">
        <v>353</v>
      </c>
      <c r="B41" s="60" cm="1">
        <f t="array" ref="B41">IF(VLOOKUP(Input!$D$15,C$6:C$40,1,TRUE)=Input!$D$15,INDEX(B$6:B$40,MATCH(VLOOKUP(Input!$D$15,C$6:C$40,1,TRUE),C$6:C$40)),INDEX(B$6:B$40,MATCH(VLOOKUP(Input!$D$15,C$6:C$40,1,TRUE),C$6:C$40)+1))</f>
        <v>300</v>
      </c>
      <c r="C41" s="61"/>
      <c r="D41" s="60" cm="1">
        <f t="array" ref="D41">IF(VLOOKUP(Input!$D$15,E$6:E$40,1,TRUE)=Input!$D$15,INDEX(D$6:D$40,MATCH(VLOOKUP(Input!$D$15,E$6:E$40,1,TRUE),E$6:E$40)),INDEX(D$6:D$40,MATCH(VLOOKUP(Input!$D$15,E$6:E$40,1,TRUE),E$6:E$40)+1))</f>
        <v>3000</v>
      </c>
      <c r="E41" s="61"/>
      <c r="F41" s="60" cm="1">
        <f t="array" ref="F41">IF(VLOOKUP(Input!$D$15,G$6:G$40,1,TRUE)=Input!$D$15,INDEX(F$6:F$40,MATCH(VLOOKUP(Input!$D$15,G$6:G$40,1,TRUE),G$6:G$40)),INDEX(F$6:F$40,MATCH(VLOOKUP(Input!$D$15,G$6:G$40,1,TRUE),G$6:G$40)+1))</f>
        <v>10000</v>
      </c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2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2" ht="15.75" thickBot="1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2" ht="15.75" thickBot="1" x14ac:dyDescent="0.3">
      <c r="A44" s="20" t="s">
        <v>41</v>
      </c>
      <c r="B44" s="21" t="str">
        <f>IF($F$41&lt;Input!D12,"N/A",IF(Input!D12&lt;=$B$41,$B$5,IF(Input!D12&lt;=$D$41,$D$5,IF(Input!D12&lt;=$F$41,$F$5,))))</f>
        <v>HP8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2" ht="15.75" thickBot="1" x14ac:dyDescent="0.3">
      <c r="A45" s="19" t="s">
        <v>156</v>
      </c>
      <c r="B45" s="19" t="str">
        <f>Input!$D$29</f>
        <v>HP5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2" ht="15.75" thickBot="1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20" t="s">
        <v>349</v>
      </c>
      <c r="S46" s="117" t="s">
        <v>336</v>
      </c>
      <c r="T46" s="236" t="s">
        <v>345</v>
      </c>
      <c r="U46" s="227" t="s">
        <v>341</v>
      </c>
      <c r="V46" s="236" t="s">
        <v>345</v>
      </c>
    </row>
    <row r="47" spans="1:22" ht="45" x14ac:dyDescent="0.25">
      <c r="B47" s="37" t="s">
        <v>42</v>
      </c>
      <c r="C47" s="37" t="s">
        <v>43</v>
      </c>
      <c r="D47" s="38" t="s">
        <v>44</v>
      </c>
      <c r="E47" s="37" t="s">
        <v>129</v>
      </c>
      <c r="F47" s="37" t="s">
        <v>45</v>
      </c>
      <c r="G47" s="37" t="s">
        <v>46</v>
      </c>
      <c r="H47" s="37" t="s">
        <v>47</v>
      </c>
      <c r="I47" s="39" t="s">
        <v>48</v>
      </c>
      <c r="J47" s="39" t="s">
        <v>49</v>
      </c>
      <c r="K47" s="37" t="s">
        <v>50</v>
      </c>
      <c r="L47" s="37" t="s">
        <v>51</v>
      </c>
      <c r="M47" s="37" t="s">
        <v>187</v>
      </c>
      <c r="N47" s="216" t="s">
        <v>317</v>
      </c>
      <c r="O47" s="19"/>
      <c r="P47" s="19"/>
      <c r="Q47" s="19"/>
      <c r="R47" s="63" t="s">
        <v>53</v>
      </c>
      <c r="S47" s="223" cm="1">
        <f t="array" ref="S47">IF($B$44="N/A","N/A",IF(Input!D14&lt;=1000,VLOOKUP($B$44,$B$48:$N$53,2,FALSE),ROUNDDOWN(SQRT((213500000000000000*INDEX($J$48:$J$53,MATCH($B$44,$B$48:$B$53,0)+1))/(9.549*INDEX($E$48:$E$53,MATCH($B$44,$B$48:$B$53,0)+1)*(INDEX($F$48:$F$53,MATCH($B$44,$B$48:$B$53,0))/1000)*(INDEX($D$48:$D$53,MATCH($B$44,$B$48:$B$53,0)+1)^5))),0)))</f>
        <v>1689</v>
      </c>
      <c r="T47" s="102" t="s">
        <v>342</v>
      </c>
      <c r="U47" s="228"/>
      <c r="V47" s="234" t="s">
        <v>342</v>
      </c>
    </row>
    <row r="48" spans="1:22" x14ac:dyDescent="0.25">
      <c r="B48" s="3" t="s">
        <v>33</v>
      </c>
      <c r="C48" s="40">
        <v>1700</v>
      </c>
      <c r="D48" s="41">
        <v>66</v>
      </c>
      <c r="E48" s="3">
        <v>5.9</v>
      </c>
      <c r="F48" s="3">
        <f>IF($B$44=$B48,Input!$D$14,1000)</f>
        <v>1000</v>
      </c>
      <c r="G48" s="3">
        <f>IF($B$44=$B48,Input!$D$12,50)</f>
        <v>50</v>
      </c>
      <c r="H48" s="54">
        <f>$E48*$F48*($C48/60)^3*($D48/1000)^5</f>
        <v>168.06013278120005</v>
      </c>
      <c r="I48" s="43">
        <v>1.1000000000000001</v>
      </c>
      <c r="J48" s="44">
        <f t="shared" ref="J48:J53" si="0">9549*H48/C48/1000</f>
        <v>0.94400365172216438</v>
      </c>
      <c r="K48" s="52">
        <f t="shared" ref="K48:K53" si="1">H48/G48</f>
        <v>3.3612026556240009</v>
      </c>
      <c r="L48" s="45">
        <f>3.14*$D48/1000*$C$48/60</f>
        <v>5.8717999999999995</v>
      </c>
      <c r="M48" s="19">
        <v>55</v>
      </c>
      <c r="N48" s="40"/>
      <c r="O48" s="19"/>
      <c r="P48" s="19"/>
      <c r="Q48" s="19"/>
      <c r="R48" s="65" t="s">
        <v>13</v>
      </c>
      <c r="S48" s="224" cm="1">
        <f t="array" ref="S48">IF($B$44=$S$47,"N/A",(INDEX($E$48:$E$53,MATCH($B$44,$B$48:$B$53,0)+1)*Input!$D$14*($S$47/60)^3*((INDEX($D$48:$D$53,MATCH($B$44,$B$48:$B$53)-1))/1000)^5)/Input!$D$12)</f>
        <v>0.5402156487816977</v>
      </c>
      <c r="T48" s="102" t="s">
        <v>14</v>
      </c>
      <c r="U48" s="226"/>
      <c r="V48" s="234" t="s">
        <v>343</v>
      </c>
    </row>
    <row r="49" spans="1:22" ht="15.75" thickBot="1" x14ac:dyDescent="0.3">
      <c r="A49" s="46" t="s">
        <v>52</v>
      </c>
      <c r="B49" s="47" t="s">
        <v>33</v>
      </c>
      <c r="C49" s="47">
        <v>1700</v>
      </c>
      <c r="D49" s="48">
        <v>66</v>
      </c>
      <c r="E49" s="47">
        <v>5.9</v>
      </c>
      <c r="F49" s="47">
        <f>1000</f>
        <v>1000</v>
      </c>
      <c r="G49" s="47">
        <v>50</v>
      </c>
      <c r="H49" s="56">
        <f t="shared" ref="H49:H53" si="2">$E49*$F49*($C49/60)^3*($D49/1000)^5</f>
        <v>168.06013278120005</v>
      </c>
      <c r="I49" s="50">
        <v>1.1000000000000001</v>
      </c>
      <c r="J49" s="51">
        <f t="shared" si="0"/>
        <v>0.94400365172216438</v>
      </c>
      <c r="K49" s="49">
        <f t="shared" si="1"/>
        <v>3.3612026556240009</v>
      </c>
      <c r="L49" s="51">
        <f t="shared" ref="L49:L53" si="3">3.14*$D49/1000*$C$48/60</f>
        <v>5.8717999999999995</v>
      </c>
      <c r="M49" s="19">
        <v>55</v>
      </c>
      <c r="N49" s="47"/>
      <c r="O49" s="19"/>
      <c r="P49" s="19"/>
      <c r="Q49" s="19"/>
      <c r="R49" s="67" t="s">
        <v>15</v>
      </c>
      <c r="S49" s="225" cm="1">
        <f t="array" ref="S49">IF($B$44=$S$47,"N/A",3.14*INDEX($D$48:$D$53,MATCH($B$44,B48:B53)-1)/1000*$S$47/60)</f>
        <v>12.021176000000001</v>
      </c>
      <c r="T49" s="121" t="s">
        <v>16</v>
      </c>
      <c r="U49" s="238"/>
      <c r="V49" s="235" t="s">
        <v>344</v>
      </c>
    </row>
    <row r="50" spans="1:22" x14ac:dyDescent="0.25">
      <c r="B50" s="3" t="s">
        <v>34</v>
      </c>
      <c r="C50" s="40">
        <v>1700</v>
      </c>
      <c r="D50" s="41">
        <v>103</v>
      </c>
      <c r="E50" s="3">
        <v>3.3</v>
      </c>
      <c r="F50" s="3">
        <f>IF($B$44=$B50,Input!$D$14,1000)</f>
        <v>1000</v>
      </c>
      <c r="G50" s="3">
        <f>IF($B$44=$B50,Input!$D$12,850)</f>
        <v>850</v>
      </c>
      <c r="H50" s="54">
        <f t="shared" si="2"/>
        <v>870.14789996381785</v>
      </c>
      <c r="I50" s="53">
        <v>7.8</v>
      </c>
      <c r="J50" s="54">
        <f t="shared" si="0"/>
        <v>4.8876719392673511</v>
      </c>
      <c r="K50" s="52">
        <f t="shared" si="1"/>
        <v>1.0237034117221386</v>
      </c>
      <c r="L50" s="45">
        <f t="shared" si="3"/>
        <v>9.163566666666668</v>
      </c>
      <c r="M50" s="19">
        <v>94</v>
      </c>
      <c r="N50" s="40"/>
      <c r="O50" s="19"/>
      <c r="P50" s="19"/>
      <c r="Q50" s="19"/>
      <c r="R50" s="63" t="s">
        <v>125</v>
      </c>
      <c r="S50" s="223">
        <f>IF($B$44=$S$47,"N/A",$S$47*0.5)</f>
        <v>844.5</v>
      </c>
      <c r="T50" s="102" t="s">
        <v>342</v>
      </c>
      <c r="U50" s="223"/>
      <c r="V50" s="234" t="s">
        <v>342</v>
      </c>
    </row>
    <row r="51" spans="1:22" x14ac:dyDescent="0.25">
      <c r="A51" s="46" t="s">
        <v>52</v>
      </c>
      <c r="B51" s="47" t="s">
        <v>34</v>
      </c>
      <c r="C51" s="47">
        <v>1700</v>
      </c>
      <c r="D51" s="48">
        <v>103</v>
      </c>
      <c r="E51" s="47">
        <v>3.3</v>
      </c>
      <c r="F51" s="47">
        <f>1000</f>
        <v>1000</v>
      </c>
      <c r="G51" s="47">
        <v>850</v>
      </c>
      <c r="H51" s="56">
        <f t="shared" si="2"/>
        <v>870.14789996381785</v>
      </c>
      <c r="I51" s="55">
        <v>7.8</v>
      </c>
      <c r="J51" s="56">
        <f t="shared" si="0"/>
        <v>4.8876719392673511</v>
      </c>
      <c r="K51" s="49">
        <f t="shared" si="1"/>
        <v>1.0237034117221386</v>
      </c>
      <c r="L51" s="51">
        <f t="shared" si="3"/>
        <v>9.163566666666668</v>
      </c>
      <c r="M51" s="19">
        <v>94</v>
      </c>
      <c r="N51" s="47"/>
      <c r="O51" s="19"/>
      <c r="P51" s="19"/>
      <c r="Q51" s="19"/>
      <c r="R51" s="65" t="s">
        <v>126</v>
      </c>
      <c r="S51" s="224" cm="1">
        <f t="array" ref="S51">IF($B$44=$S$47,"N/A",(INDEX($E$48:$E$53,MATCH($B$44,$B$48:$B$53,0)+1)*Input!$D$14*($S$50/60)^3*((INDEX($D$48:$D$53,MATCH($B$44,$B$48:$B$53)-1))/1000)^5)/Input!$D$12)</f>
        <v>6.7526956097712212E-2</v>
      </c>
      <c r="T51" s="102" t="s">
        <v>14</v>
      </c>
      <c r="U51" s="237"/>
      <c r="V51" s="234" t="s">
        <v>343</v>
      </c>
    </row>
    <row r="52" spans="1:22" ht="15.75" thickBot="1" x14ac:dyDescent="0.3">
      <c r="B52" s="3" t="s">
        <v>35</v>
      </c>
      <c r="C52" s="40">
        <v>1700</v>
      </c>
      <c r="D52" s="41">
        <v>136</v>
      </c>
      <c r="E52" s="3">
        <v>5.2</v>
      </c>
      <c r="F52" s="3">
        <f>IF($B$44=$B52,Input!$D$14,1000)</f>
        <v>1001</v>
      </c>
      <c r="G52" s="3">
        <f>IF($B$44=$B52,Input!$D$12,2000)</f>
        <v>10000</v>
      </c>
      <c r="H52" s="54">
        <f t="shared" si="2"/>
        <v>5508.3937385272066</v>
      </c>
      <c r="I52" s="53">
        <v>26</v>
      </c>
      <c r="J52" s="54">
        <f t="shared" si="0"/>
        <v>30.940971652468409</v>
      </c>
      <c r="K52" s="52">
        <f t="shared" si="1"/>
        <v>0.55083937385272064</v>
      </c>
      <c r="L52" s="45">
        <f t="shared" si="3"/>
        <v>12.099466666666668</v>
      </c>
      <c r="M52" s="19">
        <v>159.5</v>
      </c>
      <c r="N52" s="40"/>
      <c r="O52" s="19"/>
      <c r="P52" s="19"/>
      <c r="Q52" s="19"/>
      <c r="R52" s="67" t="s">
        <v>127</v>
      </c>
      <c r="S52" s="225" cm="1">
        <f t="array" ref="S52">IF($B$44=$S$47,"N/A",3.14*INDEX($D$48:$D$53,MATCH($B$44,$B$48:$B$53)-1)/1000*$S$50/60)</f>
        <v>6.0105880000000003</v>
      </c>
      <c r="T52" s="121" t="s">
        <v>16</v>
      </c>
      <c r="U52" s="239"/>
      <c r="V52" s="235" t="s">
        <v>344</v>
      </c>
    </row>
    <row r="53" spans="1:22" ht="15.75" thickBot="1" x14ac:dyDescent="0.3">
      <c r="A53" s="46" t="s">
        <v>52</v>
      </c>
      <c r="B53" s="105" t="s">
        <v>35</v>
      </c>
      <c r="C53" s="105">
        <v>1700</v>
      </c>
      <c r="D53" s="106">
        <v>136</v>
      </c>
      <c r="E53" s="46">
        <v>5.2</v>
      </c>
      <c r="F53" s="105">
        <f>1000</f>
        <v>1000</v>
      </c>
      <c r="G53" s="105">
        <v>2000</v>
      </c>
      <c r="H53" s="56">
        <f t="shared" si="2"/>
        <v>5502.8908476795277</v>
      </c>
      <c r="I53" s="108">
        <v>26</v>
      </c>
      <c r="J53" s="107">
        <f t="shared" si="0"/>
        <v>30.910061590877536</v>
      </c>
      <c r="K53" s="109">
        <f t="shared" si="1"/>
        <v>2.7514454238397636</v>
      </c>
      <c r="L53" s="51">
        <f t="shared" si="3"/>
        <v>12.099466666666668</v>
      </c>
      <c r="M53" s="19">
        <v>159.5</v>
      </c>
      <c r="N53" s="47"/>
      <c r="O53" s="19"/>
      <c r="P53" s="19"/>
      <c r="Q53" s="19"/>
      <c r="R53" s="19"/>
      <c r="S53" s="19"/>
      <c r="T53" s="117"/>
      <c r="U53" s="117"/>
      <c r="V53" s="233"/>
    </row>
    <row r="54" spans="1:22" ht="15.75" thickBot="1" x14ac:dyDescent="0.3">
      <c r="A54" s="19"/>
      <c r="B54" s="19"/>
      <c r="C54" s="19"/>
      <c r="D54" s="61"/>
      <c r="E54" s="19"/>
      <c r="F54" s="19"/>
      <c r="G54" s="114"/>
      <c r="H54" s="115"/>
      <c r="I54" s="116"/>
      <c r="J54" s="113"/>
      <c r="K54" s="104"/>
      <c r="L54" s="19"/>
      <c r="M54" s="19"/>
      <c r="N54" s="19"/>
      <c r="O54" s="19"/>
      <c r="P54" s="19"/>
      <c r="Q54" s="19"/>
      <c r="R54" s="20" t="s">
        <v>156</v>
      </c>
      <c r="S54" s="227"/>
      <c r="T54" s="21"/>
      <c r="U54" s="232"/>
      <c r="V54" s="236"/>
    </row>
    <row r="55" spans="1:22" x14ac:dyDescent="0.25">
      <c r="C55" s="19"/>
      <c r="D55" s="19"/>
      <c r="E55" s="19"/>
      <c r="F55" s="19"/>
      <c r="G55" s="114"/>
      <c r="H55" s="115"/>
      <c r="I55" s="116"/>
      <c r="J55" s="113"/>
      <c r="K55" s="104"/>
      <c r="L55" s="19"/>
      <c r="M55" s="19"/>
      <c r="N55" s="19"/>
      <c r="O55" s="19"/>
      <c r="P55" s="19"/>
      <c r="Q55" s="19"/>
      <c r="R55" s="63" t="s">
        <v>53</v>
      </c>
      <c r="S55" s="223" cm="1">
        <f t="array" ref="S55">IF($B$45="N/A","N/A",IF(Input!D14&lt;=1000,VLOOKUP($B$45,$B$48:$N$53,2,FALSE),ROUNDDOWN(SQRT((213500000000000000*INDEX($J$48:$J$53,MATCH($B$45,$B$48:$B$53,0)+1))/(9.549*INDEX($E$48:$E$53,MATCH($B$45,$B$48:$B$53,0)+1)*(INDEX($F$48:$F$53,MATCH($B$45,$B$48:$B$53,0))/1000)*(INDEX($D$48:$D$53,MATCH($B$45,$B$48:$B$53,0)+1)^5))),0)))</f>
        <v>1690</v>
      </c>
      <c r="T55" s="102" t="s">
        <v>342</v>
      </c>
      <c r="U55" s="228"/>
      <c r="V55" s="234" t="s">
        <v>342</v>
      </c>
    </row>
    <row r="56" spans="1:22" x14ac:dyDescent="0.25">
      <c r="C56" s="19"/>
      <c r="D56" s="19"/>
      <c r="E56" s="112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65" t="s">
        <v>13</v>
      </c>
      <c r="S56" s="224" cm="1">
        <f t="array" ref="S56">IF($B$77=$B$45,"N/A",(INDEX($E$48:$E$53,MATCH($B$45,$B$48:$B$53,0)+1)*Input!$D$14*($S$55/60)^3*((INDEX($D$48:$D$53,MATCH($B$45,$B$48:$B$53)-1))/1000)^5)/Input!$D$12)</f>
        <v>8.5573738094673987E-2</v>
      </c>
      <c r="T56" s="102" t="s">
        <v>14</v>
      </c>
      <c r="U56" s="226"/>
      <c r="V56" s="234" t="s">
        <v>343</v>
      </c>
    </row>
    <row r="57" spans="1:22" ht="15.75" thickBot="1" x14ac:dyDescent="0.3">
      <c r="C57" s="19"/>
      <c r="D57" s="19"/>
      <c r="E57" s="104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67" t="s">
        <v>15</v>
      </c>
      <c r="S57" s="225" cm="1">
        <f t="array" ref="S57">IF($S$55=$B$45,"N/A",3.14*INDEX($D$48:$D$53,MATCH($B$45,$B$48:$B$53)-1)/1000*$S$55/60)</f>
        <v>9.1096633333333354</v>
      </c>
      <c r="T57" s="121" t="s">
        <v>16</v>
      </c>
      <c r="U57" s="238"/>
      <c r="V57" s="235" t="s">
        <v>344</v>
      </c>
    </row>
    <row r="58" spans="1:22" x14ac:dyDescent="0.2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63" t="s">
        <v>125</v>
      </c>
      <c r="S58" s="223">
        <f>IF($S$55=$B$45,"N/A",$S$55*0.5)</f>
        <v>845</v>
      </c>
      <c r="T58" s="102" t="s">
        <v>342</v>
      </c>
      <c r="U58" s="223"/>
      <c r="V58" s="234" t="s">
        <v>342</v>
      </c>
    </row>
    <row r="59" spans="1:22" x14ac:dyDescent="0.25">
      <c r="C59" s="19"/>
      <c r="D59" s="19"/>
      <c r="E59" s="112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65" t="s">
        <v>126</v>
      </c>
      <c r="S59" s="226" cm="1">
        <f t="array" ref="S59">IF($B$45=$S$55,"N/A",(INDEX($E$48:$E$53,MATCH($B$45,$B$48:$B$53,0)+1)*Input!$D$14*($S$58/60)^3*((INDEX($D$48:$D$53,MATCH($B$45,$B$48:$B$53)-1))/1000)^5)/Input!$D$12)</f>
        <v>1.0696717261834248E-2</v>
      </c>
      <c r="T59" s="102" t="s">
        <v>14</v>
      </c>
      <c r="U59" s="240"/>
      <c r="V59" s="234" t="s">
        <v>343</v>
      </c>
    </row>
    <row r="60" spans="1:22" ht="15.75" thickBot="1" x14ac:dyDescent="0.3">
      <c r="C60" s="19"/>
      <c r="D60" s="19"/>
      <c r="E60" s="104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67" t="s">
        <v>127</v>
      </c>
      <c r="S60" s="225" cm="1">
        <f t="array" ref="S60">IF($B$45=$S$55,"N/A",3.14*INDEX($D$48:$D$53,MATCH($B$45,$B$48:$B$53)-1)/1000*$S$58/60)</f>
        <v>4.5548316666666677</v>
      </c>
      <c r="T60" s="121" t="s">
        <v>16</v>
      </c>
      <c r="U60" s="242"/>
      <c r="V60" s="235" t="s">
        <v>344</v>
      </c>
    </row>
    <row r="61" spans="1:22" x14ac:dyDescent="0.25"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</row>
    <row r="62" spans="1:22" ht="15.75" thickBot="1" x14ac:dyDescent="0.3"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 t="s">
        <v>316</v>
      </c>
      <c r="S62" s="19">
        <v>0.5</v>
      </c>
      <c r="T62" s="233"/>
      <c r="U62" s="19"/>
      <c r="V62" s="233"/>
    </row>
    <row r="63" spans="1:22" ht="15.75" thickBot="1" x14ac:dyDescent="0.3"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20" t="s">
        <v>158</v>
      </c>
      <c r="S63" s="227"/>
      <c r="T63" s="21"/>
      <c r="U63" s="232"/>
      <c r="V63" s="236"/>
    </row>
    <row r="64" spans="1:22" x14ac:dyDescent="0.25"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63" t="s">
        <v>315</v>
      </c>
      <c r="S64" s="247">
        <f>IF($U$63*(10.74*(VLOOKUP($B$44,$B$48:$N$55,3,FALSE)/25.4)^2*$U$48*(Input!$D$14/1000)/Input!$D$15)&gt;=20000,1,IF($U$63*(10.74*(VLOOKUP($B$44,$B$48:$N$55,3,FALSE)/25.4)^2*$U$48*(Input!$D$14/1000)/Input!$D$15)&gt;=300,EXP(-5.328+1.683*LN($U$63*(10.74*(VLOOKUP($B$44,$B$48:$N$55,3,FALSE)/25.4)^2*$U$48*(Input!$D$14/1000)/Input!$D$15))-0.179*LN($U$63*(10.74*(VLOOKUP($B$44,$B$48:$N$55,3,FALSE)/25.4)^2*$U$48*(Input!$D$14/1000)/Input!$D$15))^2+0.0064*LN($U$63*(10.74*(VLOOKUP($B$44,$B$48:$N$55,3,FALSE)/25.4)^2*$U$48*(Input!$D$14/1000)/Input!$D$15))^3),IF($U$63*(10.74*(VLOOKUP($B$44,$B$48:$N$55,3,FALSE)/25.4)^2*$U$48*(Input!$D$14/1000)/Input!$D$15)&gt;25,EXP(-0.563-0.231*LN($U$63*(10.74*(VLOOKUP($B$44,$B$48:$N$55,3,FALSE)/25.4)^2*$U$48*(Input!$D$14/1000)/Input!$D$15))+0.0466*LN($U$63*(10.74*(VLOOKUP($B$44,$B$48:$N$55,3,FALSE)/25.4)^2*$U$48*(Input!$D$14/1000)/Input!$D$15))^2),0.439)))*VLOOKUP($B$44,$B$48:$N$55,13,FALSE)*$U$48*(VLOOKUP($B$44,$B$48:$N$55,3,FALSE)^3/1000000)</f>
        <v>0</v>
      </c>
      <c r="T64" s="19" t="s">
        <v>346</v>
      </c>
      <c r="U64" s="244"/>
      <c r="V64" s="234" t="s">
        <v>347</v>
      </c>
    </row>
    <row r="65" spans="3:22" x14ac:dyDescent="0.25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65" t="s">
        <v>312</v>
      </c>
      <c r="S65" s="224" t="e">
        <f>IF(Input!$D$12&lt;$U$65,CONCATENATE(TEXT(((CONCATENATE("0",MID((Input!$D$12/$U$65),FIND(",",(Input!$D$12/$U$65)),LEN((Input!$D$12/$U$65)))))*60),"0"),"s"),CONCATENATE(LEFT((Input!$D$12/$U$65),FIND(",",(Input!$D$12/$U$65))-1),"min ",TEXT(((CONCATENATE("0",MID((Input!$D$12/$U$65),FIND(",",(Input!$D$12/$U$65)),LEN((Input!$D$12/$U$65)))))*60),"0"),"s"))</f>
        <v>#DIV/0!</v>
      </c>
      <c r="T65" s="19"/>
      <c r="U65" s="243"/>
      <c r="V65" s="234"/>
    </row>
    <row r="66" spans="3:22" x14ac:dyDescent="0.25"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65" t="s">
        <v>314</v>
      </c>
      <c r="S66" s="228" t="e">
        <f>IF(Input!$D$12*3&lt;$U$65,CONCATENATE(TEXT(((CONCATENATE("0",MID((Input!$D$12/$U$65)*3,FIND(",",(Input!$D$12/$U$65)*3),LEN((Input!$D$12/$U$65)*3))))*60),"0"),"s"),CONCATENATE(LEFT((Input!$D$12/$U$65)*3,FIND(",",(Input!$D$12/$U$65)*3)-1),"min ",TEXT(((CONCATENATE("0",MID((Input!$D$12/$U$65)*3,FIND(",",(Input!$D$12/$U$65)*3),LEN((Input!$D$12/$U$65)*3))))*60),"0"),"s"))</f>
        <v>#DIV/0!</v>
      </c>
      <c r="T66" s="19"/>
      <c r="U66" s="230"/>
      <c r="V66" s="234"/>
    </row>
    <row r="67" spans="3:22" ht="15.75" thickBot="1" x14ac:dyDescent="0.3"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67" t="s">
        <v>313</v>
      </c>
      <c r="S67" s="225" t="e">
        <f>IF(Input!$D$12*5&lt;$U$65,CONCATENATE(TEXT(((CONCATENATE("0",MID((Input!$D$12/$U$65)*5,FIND(",",(Input!$D$12/$U$65)*5),LEN((Input!$D$12/$U$65)*5))))*60),"0"),"s"),CONCATENATE(LEFT((Input!$D$12/$U$65)*5,FIND(",",(Input!$D$12/$U$65)*5)-1),"min ",TEXT(((CONCATENATE("0",MID((Input!$D$12/$U$65)*5,FIND(",",(Input!$D$12/$U$65)*5),LEN((Input!$D$12/$U$65)*5))))*60),"0"),"s"))</f>
        <v>#DIV/0!</v>
      </c>
      <c r="T67" s="121"/>
      <c r="U67" s="241"/>
      <c r="V67" s="235"/>
    </row>
    <row r="68" spans="3:22" x14ac:dyDescent="0.25"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</row>
    <row r="69" spans="3:22" x14ac:dyDescent="0.25">
      <c r="P69" s="19"/>
      <c r="Q69" s="19"/>
      <c r="R69" s="19"/>
      <c r="S69" s="19"/>
      <c r="T69" s="19"/>
    </row>
  </sheetData>
  <sortState xmlns:xlrd2="http://schemas.microsoft.com/office/spreadsheetml/2017/richdata2" ref="F6:F40">
    <sortCondition descending="1" ref="F6:F40"/>
  </sortState>
  <mergeCells count="3">
    <mergeCell ref="B2:C2"/>
    <mergeCell ref="D2:E2"/>
    <mergeCell ref="F2:G2"/>
  </mergeCells>
  <conditionalFormatting sqref="B48:D48 H48:J48 D49 H49:H53 G54:G55">
    <cfRule type="expression" dxfId="30" priority="10">
      <formula>$B$13=$B$2</formula>
    </cfRule>
  </conditionalFormatting>
  <conditionalFormatting sqref="B50:D50 I50:J50 D51">
    <cfRule type="expression" dxfId="29" priority="7">
      <formula>$B$17=$B$2</formula>
    </cfRule>
  </conditionalFormatting>
  <conditionalFormatting sqref="B52:D52 I52:J52 D53">
    <cfRule type="expression" dxfId="28" priority="3">
      <formula>$B$21=$B$2</formula>
    </cfRule>
  </conditionalFormatting>
  <conditionalFormatting sqref="B54:D54 H54:I54">
    <cfRule type="expression" dxfId="27" priority="2">
      <formula>$B$23=$B$2</formula>
    </cfRule>
  </conditionalFormatting>
  <conditionalFormatting sqref="F48">
    <cfRule type="expression" dxfId="26" priority="9">
      <formula>$B$11=$B$2</formula>
    </cfRule>
  </conditionalFormatting>
  <conditionalFormatting sqref="F50">
    <cfRule type="expression" dxfId="25" priority="6">
      <formula>$B$11=$B$2</formula>
    </cfRule>
  </conditionalFormatting>
  <conditionalFormatting sqref="F52 E54">
    <cfRule type="expression" dxfId="24" priority="1">
      <formula>$B$11=$B$2</formula>
    </cfRule>
  </conditionalFormatting>
  <conditionalFormatting sqref="I54">
    <cfRule type="expression" dxfId="23" priority="4">
      <formula>$J$24&lt;$J$23</formula>
    </cfRule>
  </conditionalFormatting>
  <conditionalFormatting sqref="J48">
    <cfRule type="expression" dxfId="22" priority="11">
      <formula>$J$14&lt;$J$13</formula>
    </cfRule>
  </conditionalFormatting>
  <conditionalFormatting sqref="J50">
    <cfRule type="expression" dxfId="21" priority="8">
      <formula>$J$18&lt;$J$17</formula>
    </cfRule>
  </conditionalFormatting>
  <conditionalFormatting sqref="J52">
    <cfRule type="expression" dxfId="20" priority="5">
      <formula>$J$22&lt;$J$21</formula>
    </cfRule>
  </conditionalFormatting>
  <dataValidations disablePrompts="1" count="1">
    <dataValidation type="list" allowBlank="1" showInputMessage="1" showErrorMessage="1" sqref="B2:G2" xr:uid="{5C86D57C-3440-462D-A6EF-22E3CFCBB74A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A35C-95D8-459B-A07D-3BD29F5DDF44}">
  <sheetPr>
    <tabColor rgb="FF00B0F0"/>
  </sheetPr>
  <dimension ref="A1:V67"/>
  <sheetViews>
    <sheetView topLeftCell="A39" workbookViewId="0">
      <selection activeCell="A41" sqref="A41"/>
    </sheetView>
  </sheetViews>
  <sheetFormatPr defaultRowHeight="15" x14ac:dyDescent="0.25"/>
  <cols>
    <col min="1" max="1" width="20.28515625" bestFit="1" customWidth="1"/>
    <col min="12" max="12" width="15" bestFit="1" customWidth="1"/>
    <col min="18" max="18" width="18.85546875" bestFit="1" customWidth="1"/>
  </cols>
  <sheetData>
    <row r="1" spans="1:13" ht="15.75" thickBot="1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5.75" thickBot="1" x14ac:dyDescent="0.3">
      <c r="A2" s="20" t="s">
        <v>5</v>
      </c>
      <c r="B2" s="281">
        <f>IF(Input!$D$13="Gentle",1.2,IF(Input!$D$13="Vigorous", 0.8,1))</f>
        <v>1</v>
      </c>
      <c r="C2" s="282"/>
      <c r="D2" s="281">
        <f>IF(Input!$D$13="Gentle",1.2,IF(Input!$D$13="Vigorous", 0.8,1))</f>
        <v>1</v>
      </c>
      <c r="E2" s="282"/>
      <c r="F2" s="281">
        <f>IF(Input!$D$13="Gentle",1.2,IF(Input!$D$13="Vigorous", 0.8,1))</f>
        <v>1</v>
      </c>
      <c r="G2" s="282"/>
      <c r="H2" s="19"/>
      <c r="I2" s="19"/>
      <c r="J2" s="19"/>
      <c r="K2" s="19"/>
      <c r="L2" s="19"/>
      <c r="M2" s="19"/>
    </row>
    <row r="3" spans="1:13" ht="15.75" thickBot="1" x14ac:dyDescent="0.3">
      <c r="A3" s="67" t="s">
        <v>23</v>
      </c>
      <c r="B3" s="67">
        <v>120</v>
      </c>
      <c r="C3" s="121"/>
      <c r="D3" s="67">
        <v>800</v>
      </c>
      <c r="E3" s="121"/>
      <c r="F3" s="67">
        <v>1500</v>
      </c>
      <c r="G3" s="121"/>
      <c r="H3" s="19"/>
      <c r="I3" s="19"/>
      <c r="J3" s="19"/>
      <c r="K3" s="19"/>
      <c r="L3" s="19"/>
      <c r="M3" s="19"/>
    </row>
    <row r="4" spans="1:13" ht="15.75" thickBot="1" x14ac:dyDescent="0.3">
      <c r="A4" s="19"/>
      <c r="B4" s="65" t="s">
        <v>19</v>
      </c>
      <c r="C4" s="102" t="s">
        <v>3</v>
      </c>
      <c r="D4" s="65" t="s">
        <v>19</v>
      </c>
      <c r="E4" s="102" t="s">
        <v>3</v>
      </c>
      <c r="F4" s="65" t="s">
        <v>19</v>
      </c>
      <c r="G4" s="102" t="s">
        <v>3</v>
      </c>
      <c r="H4" s="19"/>
      <c r="I4" s="19"/>
      <c r="J4" s="19"/>
      <c r="K4" s="19"/>
      <c r="L4" s="19"/>
      <c r="M4" s="19"/>
    </row>
    <row r="5" spans="1:13" ht="15.75" thickBot="1" x14ac:dyDescent="0.3">
      <c r="A5" s="19"/>
      <c r="B5" s="20" t="s">
        <v>36</v>
      </c>
      <c r="C5" s="21" t="s">
        <v>36</v>
      </c>
      <c r="D5" s="20" t="s">
        <v>37</v>
      </c>
      <c r="E5" s="21" t="s">
        <v>37</v>
      </c>
      <c r="F5" s="20" t="s">
        <v>38</v>
      </c>
      <c r="G5" s="21" t="s">
        <v>38</v>
      </c>
      <c r="H5" s="19"/>
      <c r="I5" s="19"/>
      <c r="J5" s="19"/>
      <c r="K5" s="19"/>
      <c r="L5" s="19"/>
      <c r="M5" s="19"/>
    </row>
    <row r="6" spans="1:13" x14ac:dyDescent="0.25">
      <c r="A6" s="19"/>
      <c r="B6" s="22">
        <f>(B$2)*120</f>
        <v>120</v>
      </c>
      <c r="C6" s="64">
        <v>1</v>
      </c>
      <c r="D6" s="22">
        <f>(D$2)*800</f>
        <v>800</v>
      </c>
      <c r="E6" s="64">
        <v>1</v>
      </c>
      <c r="F6" s="22">
        <f>(F$2)*1500</f>
        <v>1500</v>
      </c>
      <c r="G6" s="64">
        <v>1</v>
      </c>
      <c r="H6" s="19"/>
      <c r="I6" s="19"/>
      <c r="J6" s="19"/>
      <c r="K6" s="19"/>
      <c r="L6" s="19"/>
      <c r="M6" s="19"/>
    </row>
    <row r="7" spans="1:13" x14ac:dyDescent="0.25">
      <c r="A7" s="19"/>
      <c r="B7" s="24">
        <f>(B$2)*109.2</f>
        <v>109.2</v>
      </c>
      <c r="C7" s="102">
        <v>5</v>
      </c>
      <c r="D7" s="24">
        <f>(D$2)*728</f>
        <v>728</v>
      </c>
      <c r="E7" s="102">
        <v>5</v>
      </c>
      <c r="F7" s="24">
        <f>(F$2)*1365</f>
        <v>1365</v>
      </c>
      <c r="G7" s="102">
        <v>5</v>
      </c>
      <c r="H7" s="19"/>
      <c r="I7" s="19"/>
      <c r="J7" s="19"/>
      <c r="K7" s="19"/>
      <c r="L7" s="19"/>
      <c r="M7" s="19"/>
    </row>
    <row r="8" spans="1:13" x14ac:dyDescent="0.25">
      <c r="A8" s="19"/>
      <c r="B8" s="24">
        <f>(B$2)*99.6</f>
        <v>99.6</v>
      </c>
      <c r="C8" s="102">
        <v>10</v>
      </c>
      <c r="D8" s="24">
        <f>(D$2)*664</f>
        <v>664</v>
      </c>
      <c r="E8" s="102">
        <v>10</v>
      </c>
      <c r="F8" s="24">
        <f>(F$2)*1245</f>
        <v>1245</v>
      </c>
      <c r="G8" s="102">
        <v>10</v>
      </c>
      <c r="H8" s="19"/>
      <c r="I8" s="19"/>
      <c r="J8" s="19"/>
      <c r="K8" s="19"/>
      <c r="L8" s="19"/>
      <c r="M8" s="19"/>
    </row>
    <row r="9" spans="1:13" x14ac:dyDescent="0.25">
      <c r="A9" s="19"/>
      <c r="B9" s="24">
        <f>(B$2)*92.4</f>
        <v>92.4</v>
      </c>
      <c r="C9" s="102">
        <v>15</v>
      </c>
      <c r="D9" s="24">
        <f>(D$2)*616</f>
        <v>616</v>
      </c>
      <c r="E9" s="102">
        <v>15</v>
      </c>
      <c r="F9" s="24">
        <f>(F$2)*1155</f>
        <v>1155</v>
      </c>
      <c r="G9" s="102">
        <v>15</v>
      </c>
      <c r="H9" s="19"/>
      <c r="I9" s="19"/>
      <c r="J9" s="19"/>
      <c r="K9" s="19"/>
      <c r="L9" s="19"/>
      <c r="M9" s="19"/>
    </row>
    <row r="10" spans="1:13" x14ac:dyDescent="0.25">
      <c r="A10" s="19"/>
      <c r="B10" s="24">
        <f>(B$2)*86.4</f>
        <v>86.4</v>
      </c>
      <c r="C10" s="102">
        <v>20</v>
      </c>
      <c r="D10" s="24">
        <f>(D$2)*576</f>
        <v>576</v>
      </c>
      <c r="E10" s="102">
        <v>20</v>
      </c>
      <c r="F10" s="24">
        <f>(F$2)*1080</f>
        <v>1080</v>
      </c>
      <c r="G10" s="102">
        <v>20</v>
      </c>
      <c r="H10" s="19"/>
      <c r="I10" s="19"/>
      <c r="J10" s="19"/>
      <c r="K10" s="19"/>
      <c r="L10" s="19"/>
      <c r="M10" s="19"/>
    </row>
    <row r="11" spans="1:13" x14ac:dyDescent="0.25">
      <c r="A11" s="19"/>
      <c r="B11" s="24">
        <f>(B$2)*81.6</f>
        <v>81.599999999999994</v>
      </c>
      <c r="C11" s="102">
        <v>25</v>
      </c>
      <c r="D11" s="24">
        <f>(D$2)*544</f>
        <v>544</v>
      </c>
      <c r="E11" s="102">
        <v>25</v>
      </c>
      <c r="F11" s="24">
        <f>(F$2)*1020</f>
        <v>1020</v>
      </c>
      <c r="G11" s="102">
        <v>25</v>
      </c>
      <c r="H11" s="19"/>
      <c r="I11" s="19"/>
      <c r="J11" s="19"/>
      <c r="K11" s="19"/>
      <c r="L11" s="19"/>
      <c r="M11" s="19"/>
    </row>
    <row r="12" spans="1:13" x14ac:dyDescent="0.25">
      <c r="A12" s="19"/>
      <c r="B12" s="24">
        <f>(B$2)*78.6</f>
        <v>78.599999999999994</v>
      </c>
      <c r="C12" s="102">
        <v>30</v>
      </c>
      <c r="D12" s="24">
        <f>(D$2)*524</f>
        <v>524</v>
      </c>
      <c r="E12" s="102">
        <v>30</v>
      </c>
      <c r="F12" s="24">
        <f>(F$2)*982.5</f>
        <v>982.5</v>
      </c>
      <c r="G12" s="102">
        <v>30</v>
      </c>
      <c r="H12" s="19"/>
      <c r="I12" s="19"/>
      <c r="J12" s="19"/>
      <c r="K12" s="19"/>
      <c r="L12" s="19"/>
      <c r="M12" s="19"/>
    </row>
    <row r="13" spans="1:13" x14ac:dyDescent="0.25">
      <c r="A13" s="19"/>
      <c r="B13" s="24">
        <f>(B$2)*75.6</f>
        <v>75.599999999999994</v>
      </c>
      <c r="C13" s="102">
        <v>35</v>
      </c>
      <c r="D13" s="24">
        <f>(D$2)*504</f>
        <v>504</v>
      </c>
      <c r="E13" s="102">
        <v>35</v>
      </c>
      <c r="F13" s="24">
        <f>(F$2)*945</f>
        <v>945</v>
      </c>
      <c r="G13" s="102">
        <v>35</v>
      </c>
      <c r="H13" s="19"/>
      <c r="I13" s="19"/>
      <c r="J13" s="19"/>
      <c r="K13" s="19"/>
      <c r="L13" s="19"/>
      <c r="M13" s="19"/>
    </row>
    <row r="14" spans="1:13" x14ac:dyDescent="0.25">
      <c r="A14" s="19"/>
      <c r="B14" s="24">
        <f>(B$2)*73.8</f>
        <v>73.8</v>
      </c>
      <c r="C14" s="102">
        <v>40</v>
      </c>
      <c r="D14" s="24">
        <f>(D$2)*492</f>
        <v>492</v>
      </c>
      <c r="E14" s="102">
        <v>40</v>
      </c>
      <c r="F14" s="24">
        <f>(F$2)*922.5</f>
        <v>922.5</v>
      </c>
      <c r="G14" s="102">
        <v>40</v>
      </c>
      <c r="H14" s="19"/>
      <c r="I14" s="19"/>
      <c r="J14" s="19"/>
      <c r="K14" s="19"/>
      <c r="L14" s="19"/>
      <c r="M14" s="19"/>
    </row>
    <row r="15" spans="1:13" x14ac:dyDescent="0.25">
      <c r="A15" s="19"/>
      <c r="B15" s="24">
        <f>(B$2)*72</f>
        <v>72</v>
      </c>
      <c r="C15" s="102">
        <v>45</v>
      </c>
      <c r="D15" s="24">
        <f>(D$2)*480</f>
        <v>480</v>
      </c>
      <c r="E15" s="102">
        <v>45</v>
      </c>
      <c r="F15" s="24">
        <f>(F$2)*900</f>
        <v>900</v>
      </c>
      <c r="G15" s="102">
        <v>45</v>
      </c>
      <c r="H15" s="19"/>
      <c r="I15" s="19"/>
      <c r="J15" s="19"/>
      <c r="K15" s="19"/>
      <c r="L15" s="19"/>
      <c r="M15" s="19"/>
    </row>
    <row r="16" spans="1:13" x14ac:dyDescent="0.25">
      <c r="A16" s="19"/>
      <c r="B16" s="24">
        <f>(B$2)*70.32</f>
        <v>70.319999999999993</v>
      </c>
      <c r="C16" s="102">
        <v>50</v>
      </c>
      <c r="D16" s="24">
        <f>(D$2)*468.8</f>
        <v>468.8</v>
      </c>
      <c r="E16" s="102">
        <v>50</v>
      </c>
      <c r="F16" s="24">
        <f>(F$2)*879</f>
        <v>879</v>
      </c>
      <c r="G16" s="102">
        <v>50</v>
      </c>
      <c r="H16" s="19"/>
      <c r="I16" s="19"/>
      <c r="J16" s="19"/>
      <c r="K16" s="19"/>
      <c r="L16" s="19"/>
      <c r="M16" s="19"/>
    </row>
    <row r="17" spans="1:13" x14ac:dyDescent="0.25">
      <c r="A17" s="19"/>
      <c r="B17" s="24">
        <f>(B$2)*68.4</f>
        <v>68.400000000000006</v>
      </c>
      <c r="C17" s="102">
        <v>55</v>
      </c>
      <c r="D17" s="24">
        <f>(D$2)*456</f>
        <v>456</v>
      </c>
      <c r="E17" s="102">
        <v>55</v>
      </c>
      <c r="F17" s="24">
        <f>(F$2)*855</f>
        <v>855</v>
      </c>
      <c r="G17" s="102">
        <v>55</v>
      </c>
      <c r="H17" s="19"/>
      <c r="I17" s="19"/>
      <c r="J17" s="19"/>
      <c r="K17" s="19"/>
      <c r="L17" s="19"/>
      <c r="M17" s="19"/>
    </row>
    <row r="18" spans="1:13" x14ac:dyDescent="0.25">
      <c r="A18" s="19"/>
      <c r="B18" s="24">
        <f>(B$2)*67.2</f>
        <v>67.2</v>
      </c>
      <c r="C18" s="102">
        <v>60</v>
      </c>
      <c r="D18" s="24">
        <f>(D$2)*448</f>
        <v>448</v>
      </c>
      <c r="E18" s="102">
        <v>60</v>
      </c>
      <c r="F18" s="24">
        <f>(F$2)*840</f>
        <v>840</v>
      </c>
      <c r="G18" s="102">
        <v>60</v>
      </c>
      <c r="H18" s="19"/>
      <c r="I18" s="19"/>
      <c r="J18" s="19"/>
      <c r="K18" s="19"/>
      <c r="L18" s="19"/>
      <c r="M18" s="19"/>
    </row>
    <row r="19" spans="1:13" x14ac:dyDescent="0.25">
      <c r="A19" s="19"/>
      <c r="B19" s="24">
        <f>(B$2)*66</f>
        <v>66</v>
      </c>
      <c r="C19" s="102">
        <v>65</v>
      </c>
      <c r="D19" s="24">
        <f>(D$2)*440</f>
        <v>440</v>
      </c>
      <c r="E19" s="102">
        <v>65</v>
      </c>
      <c r="F19" s="24">
        <f>(F$2)*825</f>
        <v>825</v>
      </c>
      <c r="G19" s="102">
        <v>65</v>
      </c>
      <c r="H19" s="19"/>
      <c r="I19" s="19"/>
      <c r="J19" s="19"/>
      <c r="K19" s="19"/>
      <c r="L19" s="19"/>
      <c r="M19" s="19"/>
    </row>
    <row r="20" spans="1:13" x14ac:dyDescent="0.25">
      <c r="A20" s="19"/>
      <c r="B20" s="24">
        <f>(B$2)*64.8</f>
        <v>64.8</v>
      </c>
      <c r="C20" s="102">
        <v>70</v>
      </c>
      <c r="D20" s="24">
        <f>(D$2)*432</f>
        <v>432</v>
      </c>
      <c r="E20" s="102">
        <v>70</v>
      </c>
      <c r="F20" s="24">
        <f>(F$2)*810</f>
        <v>810</v>
      </c>
      <c r="G20" s="102">
        <v>70</v>
      </c>
      <c r="H20" s="19"/>
      <c r="I20" s="19"/>
      <c r="J20" s="19"/>
      <c r="K20" s="19"/>
      <c r="L20" s="19"/>
      <c r="M20" s="19"/>
    </row>
    <row r="21" spans="1:13" x14ac:dyDescent="0.25">
      <c r="A21" s="19"/>
      <c r="B21" s="24">
        <f>(B$2)*63.6</f>
        <v>63.6</v>
      </c>
      <c r="C21" s="102">
        <v>75</v>
      </c>
      <c r="D21" s="24">
        <f>(D$2)*424</f>
        <v>424</v>
      </c>
      <c r="E21" s="102">
        <v>75</v>
      </c>
      <c r="F21" s="24">
        <f>(F$2)*795</f>
        <v>795</v>
      </c>
      <c r="G21" s="102">
        <v>75</v>
      </c>
      <c r="H21" s="19"/>
      <c r="I21" s="19"/>
      <c r="J21" s="19"/>
      <c r="K21" s="19"/>
      <c r="L21" s="19"/>
      <c r="M21" s="19"/>
    </row>
    <row r="22" spans="1:13" x14ac:dyDescent="0.25">
      <c r="A22" s="19"/>
      <c r="B22" s="24">
        <f>(B$2)*62.4</f>
        <v>62.4</v>
      </c>
      <c r="C22" s="102">
        <v>80</v>
      </c>
      <c r="D22" s="24">
        <f>(D$2)*416</f>
        <v>416</v>
      </c>
      <c r="E22" s="102">
        <v>80</v>
      </c>
      <c r="F22" s="24">
        <f>(F$2)*780</f>
        <v>780</v>
      </c>
      <c r="G22" s="102">
        <v>80</v>
      </c>
      <c r="H22" s="19"/>
      <c r="I22" s="19"/>
      <c r="J22" s="19"/>
      <c r="K22" s="19"/>
      <c r="L22" s="19"/>
      <c r="M22" s="19"/>
    </row>
    <row r="23" spans="1:13" x14ac:dyDescent="0.25">
      <c r="A23" s="19"/>
      <c r="B23" s="24">
        <f>(B$2)*61.2</f>
        <v>61.2</v>
      </c>
      <c r="C23" s="102">
        <v>85</v>
      </c>
      <c r="D23" s="24">
        <f>(D$2)*408</f>
        <v>408</v>
      </c>
      <c r="E23" s="102">
        <v>85</v>
      </c>
      <c r="F23" s="24">
        <f>(F$2)*765</f>
        <v>765</v>
      </c>
      <c r="G23" s="102">
        <v>85</v>
      </c>
      <c r="H23" s="19"/>
      <c r="I23" s="19"/>
      <c r="J23" s="19"/>
      <c r="K23" s="19"/>
      <c r="L23" s="19"/>
      <c r="M23" s="19"/>
    </row>
    <row r="24" spans="1:13" x14ac:dyDescent="0.25">
      <c r="A24" s="19"/>
      <c r="B24" s="24">
        <f>(B$2)*60</f>
        <v>60</v>
      </c>
      <c r="C24" s="102">
        <v>90</v>
      </c>
      <c r="D24" s="24">
        <f>(D$2)*400</f>
        <v>400</v>
      </c>
      <c r="E24" s="102">
        <v>90</v>
      </c>
      <c r="F24" s="24">
        <f>(F$2)*750</f>
        <v>750</v>
      </c>
      <c r="G24" s="102">
        <v>90</v>
      </c>
      <c r="H24" s="19"/>
      <c r="I24" s="19"/>
      <c r="J24" s="19"/>
      <c r="K24" s="19"/>
      <c r="L24" s="19"/>
      <c r="M24" s="19"/>
    </row>
    <row r="25" spans="1:13" x14ac:dyDescent="0.25">
      <c r="A25" s="19"/>
      <c r="B25" s="24">
        <f>(B$2)*58.8</f>
        <v>58.8</v>
      </c>
      <c r="C25" s="102">
        <v>95</v>
      </c>
      <c r="D25" s="24">
        <f>(D$2)*392</f>
        <v>392</v>
      </c>
      <c r="E25" s="102">
        <v>95</v>
      </c>
      <c r="F25" s="24">
        <f>(F$2)*735</f>
        <v>735</v>
      </c>
      <c r="G25" s="102">
        <v>95</v>
      </c>
      <c r="H25" s="19"/>
      <c r="I25" s="19"/>
      <c r="J25" s="19"/>
      <c r="K25" s="19"/>
      <c r="L25" s="19"/>
      <c r="M25" s="19"/>
    </row>
    <row r="26" spans="1:13" x14ac:dyDescent="0.25">
      <c r="A26" s="19"/>
      <c r="B26" s="24">
        <f>(B$2)*58.2</f>
        <v>58.2</v>
      </c>
      <c r="C26" s="102">
        <v>100</v>
      </c>
      <c r="D26" s="24">
        <f>(D$2)*388</f>
        <v>388</v>
      </c>
      <c r="E26" s="102">
        <v>100</v>
      </c>
      <c r="F26" s="24">
        <f>(F$2)*727.5</f>
        <v>727.5</v>
      </c>
      <c r="G26" s="102">
        <v>100</v>
      </c>
      <c r="H26" s="19"/>
      <c r="I26" s="19"/>
      <c r="J26" s="19"/>
      <c r="K26" s="19"/>
      <c r="L26" s="19"/>
      <c r="M26" s="19"/>
    </row>
    <row r="27" spans="1:13" x14ac:dyDescent="0.25">
      <c r="A27" s="19"/>
      <c r="B27" s="24">
        <f>(B$2)*51.6</f>
        <v>51.6</v>
      </c>
      <c r="C27" s="102">
        <v>150</v>
      </c>
      <c r="D27" s="24">
        <f>(D$2)*344</f>
        <v>344</v>
      </c>
      <c r="E27" s="102">
        <v>150</v>
      </c>
      <c r="F27" s="24">
        <f>(F$2)*645</f>
        <v>645</v>
      </c>
      <c r="G27" s="102">
        <v>150</v>
      </c>
      <c r="H27" s="19"/>
      <c r="I27" s="19"/>
      <c r="J27" s="19"/>
      <c r="K27" s="19"/>
      <c r="L27" s="19"/>
      <c r="M27" s="19"/>
    </row>
    <row r="28" spans="1:13" x14ac:dyDescent="0.25">
      <c r="A28" s="19"/>
      <c r="B28" s="24">
        <f>(B$2)*46.8</f>
        <v>46.8</v>
      </c>
      <c r="C28" s="102">
        <v>200</v>
      </c>
      <c r="D28" s="24">
        <f>(D$2)*312</f>
        <v>312</v>
      </c>
      <c r="E28" s="102">
        <v>200</v>
      </c>
      <c r="F28" s="24">
        <f>(F$2)*585</f>
        <v>585</v>
      </c>
      <c r="G28" s="102">
        <v>200</v>
      </c>
      <c r="H28" s="19"/>
      <c r="I28" s="19"/>
      <c r="J28" s="19"/>
      <c r="K28" s="19"/>
      <c r="L28" s="19"/>
      <c r="M28" s="19"/>
    </row>
    <row r="29" spans="1:13" x14ac:dyDescent="0.25">
      <c r="A29" s="19"/>
      <c r="B29" s="24">
        <f>(B$2)*42.6</f>
        <v>42.6</v>
      </c>
      <c r="C29" s="102">
        <v>250</v>
      </c>
      <c r="D29" s="24">
        <f>(D$2)*284</f>
        <v>284</v>
      </c>
      <c r="E29" s="102">
        <v>250</v>
      </c>
      <c r="F29" s="24">
        <f>(F$2)*532.5</f>
        <v>532.5</v>
      </c>
      <c r="G29" s="102">
        <v>250</v>
      </c>
      <c r="H29" s="19"/>
      <c r="I29" s="19"/>
      <c r="J29" s="19"/>
      <c r="K29" s="19"/>
      <c r="L29" s="19"/>
      <c r="M29" s="19"/>
    </row>
    <row r="30" spans="1:13" x14ac:dyDescent="0.25">
      <c r="A30" s="19"/>
      <c r="B30" s="24">
        <f>(B$2)*38.4</f>
        <v>38.4</v>
      </c>
      <c r="C30" s="102">
        <v>300</v>
      </c>
      <c r="D30" s="24">
        <f>(D$2)*256</f>
        <v>256</v>
      </c>
      <c r="E30" s="102">
        <v>300</v>
      </c>
      <c r="F30" s="24">
        <f>(F$2)*480</f>
        <v>480</v>
      </c>
      <c r="G30" s="102">
        <v>300</v>
      </c>
      <c r="H30" s="19"/>
      <c r="I30" s="19"/>
      <c r="J30" s="19"/>
      <c r="K30" s="19"/>
      <c r="L30" s="19"/>
      <c r="M30" s="19"/>
    </row>
    <row r="31" spans="1:13" x14ac:dyDescent="0.25">
      <c r="A31" s="19"/>
      <c r="B31" s="24">
        <f>(B$2)*34.8</f>
        <v>34.799999999999997</v>
      </c>
      <c r="C31" s="102">
        <v>350</v>
      </c>
      <c r="D31" s="24">
        <f>(D$2)*232</f>
        <v>232</v>
      </c>
      <c r="E31" s="102">
        <v>350</v>
      </c>
      <c r="F31" s="24">
        <f>(F$2)*435</f>
        <v>435</v>
      </c>
      <c r="G31" s="102">
        <v>350</v>
      </c>
      <c r="H31" s="19"/>
      <c r="I31" s="19"/>
      <c r="J31" s="19"/>
      <c r="K31" s="19"/>
      <c r="L31" s="19"/>
      <c r="M31" s="19"/>
    </row>
    <row r="32" spans="1:13" x14ac:dyDescent="0.25">
      <c r="A32" s="19"/>
      <c r="B32" s="24">
        <f>(B$2)*31.2</f>
        <v>31.2</v>
      </c>
      <c r="C32" s="102">
        <v>400</v>
      </c>
      <c r="D32" s="24">
        <f>(D$2)*208</f>
        <v>208</v>
      </c>
      <c r="E32" s="102">
        <v>400</v>
      </c>
      <c r="F32" s="24">
        <f>(F$2)*390</f>
        <v>390</v>
      </c>
      <c r="G32" s="102">
        <v>400</v>
      </c>
      <c r="H32" s="19"/>
      <c r="I32" s="19"/>
      <c r="J32" s="19"/>
      <c r="K32" s="19"/>
      <c r="L32" s="19"/>
      <c r="M32" s="19"/>
    </row>
    <row r="33" spans="1:22" x14ac:dyDescent="0.25">
      <c r="A33" s="19"/>
      <c r="B33" s="24">
        <f>(B$2)*28.2</f>
        <v>28.2</v>
      </c>
      <c r="C33" s="102">
        <v>450</v>
      </c>
      <c r="D33" s="24">
        <f>(D$2)*188</f>
        <v>188</v>
      </c>
      <c r="E33" s="102">
        <v>450</v>
      </c>
      <c r="F33" s="24">
        <f>(F$2)*352.5</f>
        <v>352.5</v>
      </c>
      <c r="G33" s="102">
        <v>450</v>
      </c>
      <c r="H33" s="19"/>
      <c r="I33" s="19"/>
      <c r="J33" s="19"/>
      <c r="K33" s="19"/>
      <c r="L33" s="19"/>
      <c r="M33" s="19"/>
    </row>
    <row r="34" spans="1:22" x14ac:dyDescent="0.25">
      <c r="A34" s="19"/>
      <c r="B34" s="24">
        <f>(B$2)*25.2</f>
        <v>25.2</v>
      </c>
      <c r="C34" s="102">
        <v>500</v>
      </c>
      <c r="D34" s="24">
        <f>(D$2)*168</f>
        <v>168</v>
      </c>
      <c r="E34" s="102">
        <v>500</v>
      </c>
      <c r="F34" s="24">
        <f>(F$2)*315</f>
        <v>315</v>
      </c>
      <c r="G34" s="102">
        <v>500</v>
      </c>
      <c r="H34" s="19"/>
      <c r="I34" s="19"/>
      <c r="J34" s="19"/>
      <c r="K34" s="19"/>
      <c r="L34" s="19"/>
      <c r="M34" s="19"/>
    </row>
    <row r="35" spans="1:22" x14ac:dyDescent="0.25">
      <c r="A35" s="19"/>
      <c r="B35" s="24">
        <f>(B$2)*22.8</f>
        <v>22.8</v>
      </c>
      <c r="C35" s="102">
        <v>550</v>
      </c>
      <c r="D35" s="24">
        <f>(D$2)*152</f>
        <v>152</v>
      </c>
      <c r="E35" s="102">
        <v>550</v>
      </c>
      <c r="F35" s="24">
        <f>(F$2)*285</f>
        <v>285</v>
      </c>
      <c r="G35" s="102">
        <v>550</v>
      </c>
      <c r="H35" s="19"/>
      <c r="I35" s="19"/>
      <c r="J35" s="19"/>
      <c r="K35" s="19"/>
      <c r="L35" s="19"/>
      <c r="M35" s="19"/>
    </row>
    <row r="36" spans="1:22" x14ac:dyDescent="0.25">
      <c r="A36" s="19"/>
      <c r="B36" s="24">
        <f>(B$2)*20.4</f>
        <v>20.399999999999999</v>
      </c>
      <c r="C36" s="102">
        <v>600</v>
      </c>
      <c r="D36" s="24">
        <f>(D$2)*136</f>
        <v>136</v>
      </c>
      <c r="E36" s="102">
        <v>600</v>
      </c>
      <c r="F36" s="24">
        <f>(F$2)*255</f>
        <v>255</v>
      </c>
      <c r="G36" s="102">
        <v>600</v>
      </c>
      <c r="H36" s="19"/>
      <c r="I36" s="19"/>
      <c r="J36" s="19"/>
      <c r="K36" s="19"/>
      <c r="L36" s="19"/>
      <c r="M36" s="19"/>
    </row>
    <row r="37" spans="1:22" x14ac:dyDescent="0.25">
      <c r="A37" s="19"/>
      <c r="B37" s="24">
        <f>(B$2)*18</f>
        <v>18</v>
      </c>
      <c r="C37" s="102">
        <v>650</v>
      </c>
      <c r="D37" s="24">
        <f>(D$2)*120</f>
        <v>120</v>
      </c>
      <c r="E37" s="102">
        <v>650</v>
      </c>
      <c r="F37" s="24">
        <f>(F$2)*225</f>
        <v>225</v>
      </c>
      <c r="G37" s="102">
        <v>650</v>
      </c>
      <c r="H37" s="19"/>
      <c r="I37" s="19"/>
      <c r="J37" s="19"/>
      <c r="K37" s="19"/>
      <c r="L37" s="19"/>
      <c r="M37" s="19"/>
    </row>
    <row r="38" spans="1:22" x14ac:dyDescent="0.25">
      <c r="A38" s="19"/>
      <c r="B38" s="24">
        <f>(B$2)*15.84</f>
        <v>15.84</v>
      </c>
      <c r="C38" s="102">
        <v>700</v>
      </c>
      <c r="D38" s="24">
        <f>(D$2)*105.6</f>
        <v>105.6</v>
      </c>
      <c r="E38" s="102">
        <v>700</v>
      </c>
      <c r="F38" s="24">
        <f>(F$2)*198</f>
        <v>198</v>
      </c>
      <c r="G38" s="102">
        <v>700</v>
      </c>
      <c r="H38" s="19"/>
      <c r="I38" s="19"/>
      <c r="J38" s="19"/>
      <c r="K38" s="19"/>
      <c r="L38" s="19"/>
      <c r="M38" s="19"/>
    </row>
    <row r="39" spans="1:22" x14ac:dyDescent="0.25">
      <c r="A39" s="19"/>
      <c r="B39" s="24">
        <f>(B$2)*13.8</f>
        <v>13.8</v>
      </c>
      <c r="C39" s="102">
        <v>750</v>
      </c>
      <c r="D39" s="24">
        <f>(D$2)*92</f>
        <v>92</v>
      </c>
      <c r="E39" s="102">
        <v>750</v>
      </c>
      <c r="F39" s="24">
        <f>(F$2)*172.5</f>
        <v>172.5</v>
      </c>
      <c r="G39" s="102">
        <v>750</v>
      </c>
      <c r="H39" s="19"/>
      <c r="I39" s="19"/>
      <c r="J39" s="19"/>
      <c r="K39" s="19"/>
      <c r="L39" s="19"/>
      <c r="M39" s="19"/>
    </row>
    <row r="40" spans="1:22" ht="15.75" thickBot="1" x14ac:dyDescent="0.3">
      <c r="A40" s="19"/>
      <c r="B40" s="26">
        <f>(B$2)*12</f>
        <v>12</v>
      </c>
      <c r="C40" s="121">
        <v>800</v>
      </c>
      <c r="D40" s="26">
        <f>(D$2)*80</f>
        <v>80</v>
      </c>
      <c r="E40" s="121">
        <v>800</v>
      </c>
      <c r="F40" s="26">
        <f>(F$2)*150</f>
        <v>150</v>
      </c>
      <c r="G40" s="121">
        <v>800</v>
      </c>
      <c r="H40" s="19"/>
      <c r="I40" s="19"/>
      <c r="J40" s="19"/>
      <c r="K40" s="19"/>
      <c r="L40" s="19"/>
      <c r="M40" s="19"/>
    </row>
    <row r="41" spans="1:22" x14ac:dyDescent="0.25">
      <c r="A41" s="19" t="s">
        <v>353</v>
      </c>
      <c r="B41" s="60" cm="1">
        <f t="array" ref="B41">IF(VLOOKUP(Input!$D$15,C$6:C$40,1,TRUE)=Input!$D$15,INDEX(B$6:B$40,MATCH(VLOOKUP(Input!$D$15,C$6:C$40,1,TRUE),C$6:C$40)),INDEX(B$6:B$40,MATCH(VLOOKUP(Input!$D$15,C$6:C$40,1,TRUE),C$6:C$40)+1))</f>
        <v>120</v>
      </c>
      <c r="C41" s="61"/>
      <c r="D41" s="60" cm="1">
        <f t="array" ref="D41">IF(VLOOKUP(Input!$D$15,E$6:E$40,1,TRUE)=Input!$D$15,INDEX(D$6:D$40,MATCH(VLOOKUP(Input!$D$15,E$6:E$40,1,TRUE),E$6:E$40)),INDEX(D$6:D$40,MATCH(VLOOKUP(Input!$D$15,E$6:E$40,1,TRUE),E$6:E$40)+1))</f>
        <v>800</v>
      </c>
      <c r="E41" s="61"/>
      <c r="F41" s="60" cm="1">
        <f t="array" ref="F41">IF(VLOOKUP(Input!$D$15,G$6:G$40,1,TRUE)=Input!$D$15,INDEX(F$6:F$40,MATCH(VLOOKUP(Input!$D$15,G$6:G$40,1,TRUE),G$6:G$40)),INDEX(F$6:F$40,MATCH(VLOOKUP(Input!$D$15,G$6:G$40,1,TRUE),G$6:G$40)+1))</f>
        <v>1500</v>
      </c>
      <c r="G41" s="19"/>
      <c r="H41" s="19"/>
      <c r="I41" s="19"/>
      <c r="J41" s="19"/>
      <c r="K41" s="19"/>
      <c r="L41" s="19"/>
      <c r="M41" s="19"/>
    </row>
    <row r="42" spans="1:22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</row>
    <row r="43" spans="1:22" ht="15.75" thickBot="1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22" ht="15.75" thickBot="1" x14ac:dyDescent="0.3">
      <c r="A44" s="20" t="s">
        <v>41</v>
      </c>
      <c r="B44" s="21" t="str">
        <f>IF($F$41&lt;Input!D12,"N/A",IF(Input!D12&lt;=$B$41,$B$5,IF(Input!D12&lt;=$D$41,$D$5,IF(Input!D12&lt;=$F$41,$F$5,))))</f>
        <v>N/A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</row>
    <row r="45" spans="1:22" ht="15.75" thickBot="1" x14ac:dyDescent="0.3">
      <c r="A45" s="19" t="s">
        <v>156</v>
      </c>
      <c r="B45" s="19" t="str">
        <f>Input!$D$30</f>
        <v>HS5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pans="1:22" ht="15.75" thickBot="1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R46" s="20" t="s">
        <v>349</v>
      </c>
      <c r="S46" s="117" t="s">
        <v>336</v>
      </c>
      <c r="T46" s="236" t="s">
        <v>345</v>
      </c>
      <c r="U46" s="227" t="s">
        <v>341</v>
      </c>
      <c r="V46" s="236" t="s">
        <v>345</v>
      </c>
    </row>
    <row r="47" spans="1:22" ht="45" x14ac:dyDescent="0.25">
      <c r="B47" s="37" t="s">
        <v>42</v>
      </c>
      <c r="C47" s="37" t="s">
        <v>43</v>
      </c>
      <c r="D47" s="38" t="s">
        <v>44</v>
      </c>
      <c r="E47" s="37" t="s">
        <v>129</v>
      </c>
      <c r="F47" s="37" t="s">
        <v>45</v>
      </c>
      <c r="G47" s="37" t="s">
        <v>46</v>
      </c>
      <c r="H47" s="37" t="s">
        <v>47</v>
      </c>
      <c r="I47" s="39" t="s">
        <v>48</v>
      </c>
      <c r="J47" s="39" t="s">
        <v>49</v>
      </c>
      <c r="K47" s="37" t="s">
        <v>50</v>
      </c>
      <c r="L47" s="37" t="s">
        <v>51</v>
      </c>
      <c r="M47" s="37" t="s">
        <v>187</v>
      </c>
      <c r="N47" s="216" t="s">
        <v>317</v>
      </c>
      <c r="R47" s="63" t="s">
        <v>53</v>
      </c>
      <c r="S47" s="64" t="str" cm="1">
        <f t="array" ref="S47">IF($B$44="N/A","N/A",IF(Input!D14&lt;=1000,VLOOKUP($B$44,$B$48:$N$53,2,FALSE),ROUNDDOWN(SQRT((213500000000000000*INDEX($J$48:$J$53,MATCH($B$44,$B$48:$B$53,0)+1))/(9.549*INDEX($E$48:$E$53,MATCH($B$44,$B$48:$B$53,0)+1)*(INDEX($F$48:$F$53,MATCH($B$44,$B$48:$B$53,0))/1000)*(INDEX($D$48:$D$53,MATCH($B$44,$B$48:$B$53,0)+1)^5))),0)))</f>
        <v>N/A</v>
      </c>
      <c r="T47" s="102" t="s">
        <v>342</v>
      </c>
      <c r="U47" s="228"/>
      <c r="V47" s="234" t="s">
        <v>342</v>
      </c>
    </row>
    <row r="48" spans="1:22" x14ac:dyDescent="0.25">
      <c r="B48" s="3" t="s">
        <v>36</v>
      </c>
      <c r="C48" s="40">
        <v>3900</v>
      </c>
      <c r="D48" s="119">
        <v>66</v>
      </c>
      <c r="E48" s="3">
        <v>0.8</v>
      </c>
      <c r="F48" s="3">
        <f>IF($B$44=$B48,Input!$D$14,1000)</f>
        <v>1000</v>
      </c>
      <c r="G48" s="3">
        <f>IF($B$44=$B48,Input!$D$12,50)</f>
        <v>50</v>
      </c>
      <c r="H48" s="54">
        <f>$E48*$F48*($C48/60)^3*($D48/1000)^5</f>
        <v>275.1374669472001</v>
      </c>
      <c r="I48" s="43">
        <v>1.1000000000000001</v>
      </c>
      <c r="J48" s="44">
        <f t="shared" ref="J48:J53" si="0">9549*H48/C48/1000</f>
        <v>0.67366350560995225</v>
      </c>
      <c r="K48" s="52">
        <f t="shared" ref="K48:K53" si="1">H48/G48</f>
        <v>5.5027493389440023</v>
      </c>
      <c r="L48" s="45">
        <f>3.14*$D48/1000*$C$48/60</f>
        <v>13.470599999999999</v>
      </c>
      <c r="M48" s="19">
        <v>80</v>
      </c>
      <c r="N48" s="40"/>
      <c r="R48" s="65" t="s">
        <v>13</v>
      </c>
      <c r="S48" s="66" t="str" cm="1">
        <f t="array" ref="S48">IF($B$44=$S$47,"N/A",(INDEX($E$48:$E$53,MATCH($B$44,$B$48:$B$53,0)+1)*Input!$D$14*($S$47/60)^3*((INDEX($D$48:$D$53,MATCH($B$44,$B$48:$B$53)-1))/1000)^5)/Input!$D$12)</f>
        <v>N/A</v>
      </c>
      <c r="T48" s="102" t="s">
        <v>14</v>
      </c>
      <c r="U48" s="226"/>
      <c r="V48" s="234" t="s">
        <v>343</v>
      </c>
    </row>
    <row r="49" spans="1:22" ht="15.75" thickBot="1" x14ac:dyDescent="0.3">
      <c r="A49" s="46" t="s">
        <v>52</v>
      </c>
      <c r="B49" s="118" t="s">
        <v>36</v>
      </c>
      <c r="C49" s="47">
        <v>3900</v>
      </c>
      <c r="D49" s="120">
        <v>66</v>
      </c>
      <c r="E49" s="47">
        <v>0.8</v>
      </c>
      <c r="F49" s="47">
        <f>1000</f>
        <v>1000</v>
      </c>
      <c r="G49" s="47">
        <v>50</v>
      </c>
      <c r="H49" s="56">
        <f t="shared" ref="H49:H53" si="2">$E49*$F49*($C49/60)^3*($D49/1000)^5</f>
        <v>275.1374669472001</v>
      </c>
      <c r="I49" s="50">
        <v>1.1000000000000001</v>
      </c>
      <c r="J49" s="51">
        <f t="shared" si="0"/>
        <v>0.67366350560995225</v>
      </c>
      <c r="K49" s="49">
        <f t="shared" si="1"/>
        <v>5.5027493389440023</v>
      </c>
      <c r="L49" s="51">
        <f t="shared" ref="L49:L53" si="3">3.14*$D49/1000*$C$48/60</f>
        <v>13.470599999999999</v>
      </c>
      <c r="M49" s="19">
        <v>80</v>
      </c>
      <c r="N49" s="47"/>
      <c r="R49" s="67" t="s">
        <v>15</v>
      </c>
      <c r="S49" s="68" t="str" cm="1">
        <f t="array" ref="S49">IF($B$44=$S$47,"N/A",3.14*INDEX($D$48:$D$53,MATCH($B$44,$B$48:$B$53)-1)/1000*$S$47/60)</f>
        <v>N/A</v>
      </c>
      <c r="T49" s="121" t="s">
        <v>16</v>
      </c>
      <c r="U49" s="238"/>
      <c r="V49" s="235" t="s">
        <v>344</v>
      </c>
    </row>
    <row r="50" spans="1:22" x14ac:dyDescent="0.25">
      <c r="B50" s="3" t="s">
        <v>37</v>
      </c>
      <c r="C50" s="40">
        <v>3900</v>
      </c>
      <c r="D50" s="119">
        <v>105</v>
      </c>
      <c r="E50" s="3">
        <v>0.5</v>
      </c>
      <c r="F50" s="3">
        <f>IF($B$44=$B50,Input!$D$14,1000)</f>
        <v>1000</v>
      </c>
      <c r="G50" s="3">
        <f>IF($B$44=$B50,Input!$D$12,850)</f>
        <v>850</v>
      </c>
      <c r="H50" s="54">
        <f t="shared" si="2"/>
        <v>1752.4941205078119</v>
      </c>
      <c r="I50" s="53">
        <v>7.8</v>
      </c>
      <c r="J50" s="54">
        <f t="shared" si="0"/>
        <v>4.2909144504433581</v>
      </c>
      <c r="K50" s="52">
        <f t="shared" si="1"/>
        <v>2.0617577888327197</v>
      </c>
      <c r="L50" s="45">
        <f t="shared" si="3"/>
        <v>21.430499999999999</v>
      </c>
      <c r="M50" s="19">
        <v>114</v>
      </c>
      <c r="N50" s="40"/>
      <c r="R50" s="63" t="s">
        <v>125</v>
      </c>
      <c r="S50" s="64" t="str">
        <f>IF($B$44=$S$47,"N/A",$S$47*0.5)</f>
        <v>N/A</v>
      </c>
      <c r="T50" s="102" t="s">
        <v>342</v>
      </c>
      <c r="U50" s="223"/>
      <c r="V50" s="234" t="s">
        <v>342</v>
      </c>
    </row>
    <row r="51" spans="1:22" x14ac:dyDescent="0.25">
      <c r="A51" s="46" t="s">
        <v>52</v>
      </c>
      <c r="B51" s="118" t="s">
        <v>37</v>
      </c>
      <c r="C51" s="47">
        <v>3900</v>
      </c>
      <c r="D51" s="120">
        <v>105</v>
      </c>
      <c r="E51" s="47">
        <v>0.5</v>
      </c>
      <c r="F51" s="47">
        <f>1000</f>
        <v>1000</v>
      </c>
      <c r="G51" s="47">
        <v>850</v>
      </c>
      <c r="H51" s="56">
        <f t="shared" si="2"/>
        <v>1752.4941205078119</v>
      </c>
      <c r="I51" s="55">
        <v>7.8</v>
      </c>
      <c r="J51" s="56">
        <f t="shared" si="0"/>
        <v>4.2909144504433581</v>
      </c>
      <c r="K51" s="49">
        <f t="shared" si="1"/>
        <v>2.0617577888327197</v>
      </c>
      <c r="L51" s="51">
        <f t="shared" si="3"/>
        <v>21.430499999999999</v>
      </c>
      <c r="M51" s="19">
        <v>114</v>
      </c>
      <c r="N51" s="47"/>
      <c r="R51" s="65" t="s">
        <v>126</v>
      </c>
      <c r="S51" s="66" t="str" cm="1">
        <f t="array" ref="S51">IF($B$44=$S$47,"N/A",(INDEX($E$48:$E$53,MATCH($B$44,$B$48:$B$53,0)+1)*Input!$D$14*($S$50/60)^3*((INDEX($D$48:$D$53,MATCH($B$44,$B$48:$B$53)-1))/1000)^5)/Input!$D$12)</f>
        <v>N/A</v>
      </c>
      <c r="T51" s="102" t="s">
        <v>14</v>
      </c>
      <c r="U51" s="237"/>
      <c r="V51" s="234" t="s">
        <v>343</v>
      </c>
    </row>
    <row r="52" spans="1:22" ht="15.75" thickBot="1" x14ac:dyDescent="0.3">
      <c r="B52" s="3" t="s">
        <v>38</v>
      </c>
      <c r="C52" s="40">
        <v>3500</v>
      </c>
      <c r="D52" s="119">
        <v>139</v>
      </c>
      <c r="E52" s="3">
        <v>0.7</v>
      </c>
      <c r="F52" s="3">
        <f>IF($B$44=$B52,Input!$D$14,1000)</f>
        <v>1000</v>
      </c>
      <c r="G52" s="3">
        <f>IF($B$44=$B52,Input!$D$12,2000)</f>
        <v>2000</v>
      </c>
      <c r="H52" s="54">
        <f t="shared" si="2"/>
        <v>7209.7868126330495</v>
      </c>
      <c r="I52" s="53">
        <v>26</v>
      </c>
      <c r="J52" s="54">
        <f t="shared" si="0"/>
        <v>19.670358363952285</v>
      </c>
      <c r="K52" s="52">
        <f t="shared" si="1"/>
        <v>3.6048934063165246</v>
      </c>
      <c r="L52" s="45">
        <f t="shared" si="3"/>
        <v>28.369899999999998</v>
      </c>
      <c r="M52" s="19">
        <v>160</v>
      </c>
      <c r="N52" s="40"/>
      <c r="R52" s="67" t="s">
        <v>127</v>
      </c>
      <c r="S52" s="68" t="str" cm="1">
        <f t="array" ref="S52">IF($B$44=$S$47,"N/A",3.14*INDEX($D$48:$D$53,MATCH($B$44,$B$48:$B$53)-1)/1000*$S$50/60)</f>
        <v>N/A</v>
      </c>
      <c r="T52" s="121" t="s">
        <v>16</v>
      </c>
      <c r="U52" s="239"/>
      <c r="V52" s="235" t="s">
        <v>344</v>
      </c>
    </row>
    <row r="53" spans="1:22" ht="15.75" thickBot="1" x14ac:dyDescent="0.3">
      <c r="A53" s="46" t="s">
        <v>52</v>
      </c>
      <c r="B53" s="118" t="s">
        <v>38</v>
      </c>
      <c r="C53" s="105">
        <v>3500</v>
      </c>
      <c r="D53" s="120">
        <v>139</v>
      </c>
      <c r="E53" s="46">
        <v>0.7</v>
      </c>
      <c r="F53" s="105">
        <f>1000</f>
        <v>1000</v>
      </c>
      <c r="G53" s="105">
        <v>2000</v>
      </c>
      <c r="H53" s="56">
        <f t="shared" si="2"/>
        <v>7209.7868126330495</v>
      </c>
      <c r="I53" s="108">
        <v>26</v>
      </c>
      <c r="J53" s="107">
        <f t="shared" si="0"/>
        <v>19.670358363952285</v>
      </c>
      <c r="K53" s="109">
        <f t="shared" si="1"/>
        <v>3.6048934063165246</v>
      </c>
      <c r="L53" s="51">
        <f t="shared" si="3"/>
        <v>28.369899999999998</v>
      </c>
      <c r="M53" s="19">
        <v>160</v>
      </c>
      <c r="N53" s="47"/>
      <c r="T53" s="117"/>
      <c r="U53" s="117"/>
      <c r="V53" s="233"/>
    </row>
    <row r="54" spans="1:22" ht="15.75" thickBot="1" x14ac:dyDescent="0.3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R54" s="20" t="s">
        <v>156</v>
      </c>
      <c r="S54" s="227"/>
      <c r="T54" s="21"/>
      <c r="U54" s="232"/>
      <c r="V54" s="236"/>
    </row>
    <row r="55" spans="1:22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R55" s="63" t="s">
        <v>53</v>
      </c>
      <c r="S55" s="223" cm="1">
        <f t="array" ref="S55">IF($B$45="N/A","N/A",IF(Input!D14&lt;=1000,VLOOKUP($B$45,$B$48:$N$53,2,FALSE),ROUNDDOWN(SQRT((213500000000000000*INDEX($J$48:$J$53,MATCH($B$45,$B$48:$B$53,0)+1))/(9.549*INDEX($E$48:$E$53,MATCH($B$45,$B$48:$B$53,0)+1)*(INDEX($F$48:$F$53,MATCH($B$45,$B$48:$B$53,0))/1000)*(INDEX($D$48:$D$53,MATCH($B$45,$B$48:$B$53,0)+1)^5))),0)))</f>
        <v>3877</v>
      </c>
      <c r="T55" s="102" t="s">
        <v>342</v>
      </c>
      <c r="U55" s="228"/>
      <c r="V55" s="234" t="s">
        <v>342</v>
      </c>
    </row>
    <row r="56" spans="1:22" x14ac:dyDescent="0.25"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R56" s="65" t="s">
        <v>13</v>
      </c>
      <c r="S56" s="224" cm="1">
        <f t="array" ref="S56">IF($B$77=$B$45,"N/A",(INDEX($E$48:$E$53,MATCH($B$45,$B$48:$B$53,0)+1)*Input!$D$14*($S$55/60)^3*((INDEX($D$48:$D$53,MATCH($B$45,$B$48:$B$53)-1))/1000)^5)/Input!$D$12)</f>
        <v>0.17233926207151898</v>
      </c>
      <c r="T56" s="102" t="s">
        <v>14</v>
      </c>
      <c r="U56" s="226"/>
      <c r="V56" s="234" t="s">
        <v>343</v>
      </c>
    </row>
    <row r="57" spans="1:22" ht="15.75" thickBot="1" x14ac:dyDescent="0.3"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R57" s="67" t="s">
        <v>15</v>
      </c>
      <c r="S57" s="225" cm="1">
        <f t="array" ref="S57">IF($S$55=$B$45,"N/A",3.14*INDEX($D$48:$D$53,MATCH($B$45,$B$48:$B$53)-1)/1000*$S$55/60)</f>
        <v>21.304114999999999</v>
      </c>
      <c r="T57" s="121" t="s">
        <v>16</v>
      </c>
      <c r="U57" s="238"/>
      <c r="V57" s="235" t="s">
        <v>344</v>
      </c>
    </row>
    <row r="58" spans="1:22" x14ac:dyDescent="0.25"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R58" s="63" t="s">
        <v>125</v>
      </c>
      <c r="S58" s="223">
        <f>IF($S$55=$B$45,"N/A",$S$55*0.5)</f>
        <v>1938.5</v>
      </c>
      <c r="T58" s="102" t="s">
        <v>342</v>
      </c>
      <c r="U58" s="223"/>
      <c r="V58" s="234" t="s">
        <v>342</v>
      </c>
    </row>
    <row r="59" spans="1:22" x14ac:dyDescent="0.25"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R59" s="65" t="s">
        <v>126</v>
      </c>
      <c r="S59" s="226" cm="1">
        <f t="array" ref="S59">IF($B$45=$S$55,"N/A",(INDEX($E$48:$E$53,MATCH($B$45,$B$48:$B$53,0)+1)*Input!$D$14*($S$58/60)^3*((INDEX($D$48:$D$53,MATCH($B$45,$B$48:$B$53)-1))/1000)^5)/Input!$D$12)</f>
        <v>2.1542407758939872E-2</v>
      </c>
      <c r="T59" s="102" t="s">
        <v>14</v>
      </c>
      <c r="U59" s="240"/>
      <c r="V59" s="234" t="s">
        <v>343</v>
      </c>
    </row>
    <row r="60" spans="1:22" ht="15.75" thickBot="1" x14ac:dyDescent="0.3"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R60" s="67" t="s">
        <v>127</v>
      </c>
      <c r="S60" s="225" cm="1">
        <f t="array" ref="S60">IF($B$45=$S$55,"N/A",3.14*INDEX($D$48:$D$53,MATCH($B$45,$B$48:$B$53)-1)/1000*$S$58/60)</f>
        <v>10.6520575</v>
      </c>
      <c r="T60" s="121" t="s">
        <v>16</v>
      </c>
      <c r="U60" s="242"/>
      <c r="V60" s="235" t="s">
        <v>344</v>
      </c>
    </row>
    <row r="61" spans="1:22" x14ac:dyDescent="0.25"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R61" s="19"/>
      <c r="S61" s="19"/>
      <c r="T61" s="19"/>
      <c r="U61" s="19"/>
      <c r="V61" s="19"/>
    </row>
    <row r="62" spans="1:22" ht="15.75" thickBot="1" x14ac:dyDescent="0.3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R62" s="19" t="s">
        <v>316</v>
      </c>
      <c r="S62" s="19">
        <v>0.5</v>
      </c>
      <c r="T62" s="233"/>
      <c r="U62" s="19"/>
      <c r="V62" s="233"/>
    </row>
    <row r="63" spans="1:22" ht="15.75" thickBot="1" x14ac:dyDescent="0.3">
      <c r="R63" s="20" t="s">
        <v>158</v>
      </c>
      <c r="S63" s="227"/>
      <c r="T63" s="21"/>
      <c r="U63" s="232"/>
      <c r="V63" s="236"/>
    </row>
    <row r="64" spans="1:22" x14ac:dyDescent="0.25">
      <c r="R64" s="63" t="s">
        <v>315</v>
      </c>
      <c r="S64" s="247" t="e">
        <f>IF($U$63*(10.74*(VLOOKUP($B$44,$B$48:$N$55,3,FALSE)/25.4)^2*$U$48*(Input!$D$14/1000)/Input!$D$15)&gt;=20000,1,IF($U$63*(10.74*(VLOOKUP($B$44,$B$48:$N$55,3,FALSE)/25.4)^2*$U$48*(Input!$D$14/1000)/Input!$D$15)&gt;=300,EXP(-5.328+1.683*LN($U$63*(10.74*(VLOOKUP($B$44,$B$48:$N$55,3,FALSE)/25.4)^2*$U$48*(Input!$D$14/1000)/Input!$D$15))-0.179*LN($U$63*(10.74*(VLOOKUP($B$44,$B$48:$N$55,3,FALSE)/25.4)^2*$U$48*(Input!$D$14/1000)/Input!$D$15))^2+0.0064*LN($U$63*(10.74*(VLOOKUP($B$44,$B$48:$N$55,3,FALSE)/25.4)^2*$U$48*(Input!$D$14/1000)/Input!$D$15))^3),IF($U$63*(10.74*(VLOOKUP($B$44,$B$48:$N$55,3,FALSE)/25.4)^2*$U$48*(Input!$D$14/1000)/Input!$D$15)&gt;25,EXP(-0.563-0.231*LN($U$63*(10.74*(VLOOKUP($B$44,$B$48:$N$55,3,FALSE)/25.4)^2*$U$48*(Input!$D$14/1000)/Input!$D$15))+0.0466*LN($U$63*(10.74*(VLOOKUP($B$44,$B$48:$N$55,3,FALSE)/25.4)^2*$U$48*(Input!$D$14/1000)/Input!$D$15))^2),0.439)))*VLOOKUP($B$44,$B$48:$N$55,13,FALSE)*$U$48*(VLOOKUP($B$44,$B$48:$N$55,3,FALSE)^3/1000000)</f>
        <v>#N/A</v>
      </c>
      <c r="T64" s="19" t="s">
        <v>346</v>
      </c>
      <c r="U64" s="244"/>
      <c r="V64" s="234" t="s">
        <v>347</v>
      </c>
    </row>
    <row r="65" spans="18:22" x14ac:dyDescent="0.25">
      <c r="R65" s="65" t="s">
        <v>312</v>
      </c>
      <c r="S65" s="224" t="e">
        <f>IF(Input!$D$12&lt;$U$65,CONCATENATE(TEXT(((CONCATENATE("0",MID((Input!$D$12/$U$65),FIND(",",(Input!$D$12/$U$65)),LEN((Input!$D$12/$U$65)))))*60),"0"),"s"),CONCATENATE(LEFT((Input!$D$12/$U$65),FIND(",",(Input!$D$12/$U$65))-1),"min ",TEXT(((CONCATENATE("0",MID((Input!$D$12/$U$65),FIND(",",(Input!$D$12/$U$65)),LEN((Input!$D$12/$U$65)))))*60),"0"),"s"))</f>
        <v>#DIV/0!</v>
      </c>
      <c r="T65" s="19"/>
      <c r="U65" s="243"/>
      <c r="V65" s="234"/>
    </row>
    <row r="66" spans="18:22" x14ac:dyDescent="0.25">
      <c r="R66" s="65" t="s">
        <v>314</v>
      </c>
      <c r="S66" s="228" t="e">
        <f>IF(Input!$D$12*3&lt;$U$65,CONCATENATE(TEXT(((CONCATENATE("0",MID((Input!$D$12/$U$65)*3,FIND(",",(Input!$D$12/$U$65)*3),LEN((Input!$D$12/$U$65)*3))))*60),"0"),"s"),CONCATENATE(LEFT((Input!$D$12/$U$65)*3,FIND(",",(Input!$D$12/$U$65)*3)-1),"min ",TEXT(((CONCATENATE("0",MID((Input!$D$12/$U$65)*3,FIND(",",(Input!$D$12/$U$65)*3),LEN((Input!$D$12/$U$65)*3))))*60),"0"),"s"))</f>
        <v>#DIV/0!</v>
      </c>
      <c r="T66" s="19"/>
      <c r="U66" s="230"/>
      <c r="V66" s="234"/>
    </row>
    <row r="67" spans="18:22" ht="15.75" thickBot="1" x14ac:dyDescent="0.3">
      <c r="R67" s="67" t="s">
        <v>313</v>
      </c>
      <c r="S67" s="225" t="e">
        <f>IF(Input!$D$12*5&lt;$U$65,CONCATENATE(TEXT(((CONCATENATE("0",MID((Input!$D$12/$U$65)*5,FIND(",",(Input!$D$12/$U$65)*5),LEN((Input!$D$12/$U$65)*5))))*60),"0"),"s"),CONCATENATE(LEFT((Input!$D$12/$U$65)*5,FIND(",",(Input!$D$12/$U$65)*5)-1),"min ",TEXT(((CONCATENATE("0",MID((Input!$D$12/$U$65)*5,FIND(",",(Input!$D$12/$U$65)*5),LEN((Input!$D$12/$U$65)*5))))*60),"0"),"s"))</f>
        <v>#DIV/0!</v>
      </c>
      <c r="T67" s="121"/>
      <c r="U67" s="241"/>
      <c r="V67" s="235"/>
    </row>
  </sheetData>
  <sortState xmlns:xlrd2="http://schemas.microsoft.com/office/spreadsheetml/2017/richdata2" ref="F6:F40">
    <sortCondition descending="1" ref="F6:F40"/>
  </sortState>
  <mergeCells count="3">
    <mergeCell ref="B2:C2"/>
    <mergeCell ref="D2:E2"/>
    <mergeCell ref="F2:G2"/>
  </mergeCells>
  <conditionalFormatting sqref="B55">
    <cfRule type="expression" dxfId="19" priority="1">
      <formula>$B$23=$B$2</formula>
    </cfRule>
  </conditionalFormatting>
  <conditionalFormatting sqref="C48 H48:J48 H49:H53">
    <cfRule type="expression" dxfId="18" priority="9">
      <formula>$B$13=$B$2</formula>
    </cfRule>
  </conditionalFormatting>
  <conditionalFormatting sqref="C50 I50:J50">
    <cfRule type="expression" dxfId="17" priority="6">
      <formula>$B$17=$B$2</formula>
    </cfRule>
  </conditionalFormatting>
  <conditionalFormatting sqref="C52 I52:J52">
    <cfRule type="expression" dxfId="16" priority="3">
      <formula>$B$21=$B$2</formula>
    </cfRule>
  </conditionalFormatting>
  <conditionalFormatting sqref="F48">
    <cfRule type="expression" dxfId="15" priority="8">
      <formula>$B$11=$B$2</formula>
    </cfRule>
  </conditionalFormatting>
  <conditionalFormatting sqref="F50">
    <cfRule type="expression" dxfId="14" priority="5">
      <formula>$B$11=$B$2</formula>
    </cfRule>
  </conditionalFormatting>
  <conditionalFormatting sqref="F52">
    <cfRule type="expression" dxfId="13" priority="2">
      <formula>$B$11=$B$2</formula>
    </cfRule>
  </conditionalFormatting>
  <conditionalFormatting sqref="J48">
    <cfRule type="expression" dxfId="12" priority="10">
      <formula>$J$14&lt;$J$13</formula>
    </cfRule>
  </conditionalFormatting>
  <conditionalFormatting sqref="J50">
    <cfRule type="expression" dxfId="11" priority="7">
      <formula>$J$18&lt;$J$17</formula>
    </cfRule>
  </conditionalFormatting>
  <conditionalFormatting sqref="J52">
    <cfRule type="expression" dxfId="10" priority="4">
      <formula>$J$22&lt;$J$21</formula>
    </cfRule>
  </conditionalFormatting>
  <dataValidations count="1">
    <dataValidation type="list" allowBlank="1" showInputMessage="1" showErrorMessage="1" sqref="B2:G2" xr:uid="{15EE7101-448C-4ABE-B344-D4E58538DE5F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0C9A3-8E08-4C80-A3E4-1E72CE63E123}">
  <sheetPr>
    <tabColor rgb="FF00B0F0"/>
  </sheetPr>
  <dimension ref="A1:V67"/>
  <sheetViews>
    <sheetView topLeftCell="C45" workbookViewId="0">
      <selection activeCell="D43" sqref="D43"/>
    </sheetView>
  </sheetViews>
  <sheetFormatPr defaultRowHeight="15" x14ac:dyDescent="0.25"/>
  <cols>
    <col min="1" max="1" width="20.28515625" bestFit="1" customWidth="1"/>
    <col min="12" max="12" width="15" bestFit="1" customWidth="1"/>
    <col min="14" max="14" width="13.5703125" customWidth="1"/>
    <col min="18" max="18" width="18.85546875" bestFit="1" customWidth="1"/>
  </cols>
  <sheetData>
    <row r="1" spans="1:5" ht="15.75" thickBot="1" x14ac:dyDescent="0.3"/>
    <row r="2" spans="1:5" ht="15.75" thickBot="1" x14ac:dyDescent="0.3">
      <c r="A2" s="28" t="s">
        <v>5</v>
      </c>
      <c r="B2" s="281">
        <f>IF(Input!$D$13="Gentle",1.2,IF(Input!$D$13="Vigorous", 0.8,1))</f>
        <v>1</v>
      </c>
      <c r="C2" s="282"/>
      <c r="D2" s="281">
        <f>IF(Input!$D$13="Gentle",1.2,IF(Input!$D$13="Vigorous", 0.8,1))</f>
        <v>1</v>
      </c>
      <c r="E2" s="282"/>
    </row>
    <row r="3" spans="1:5" ht="15.75" thickBot="1" x14ac:dyDescent="0.3">
      <c r="A3" s="33" t="s">
        <v>23</v>
      </c>
      <c r="B3" s="33">
        <v>250</v>
      </c>
      <c r="C3" s="34"/>
      <c r="D3" s="33">
        <v>3000</v>
      </c>
      <c r="E3" s="34"/>
    </row>
    <row r="4" spans="1:5" x14ac:dyDescent="0.25">
      <c r="B4" s="29" t="s">
        <v>19</v>
      </c>
      <c r="C4" s="30" t="s">
        <v>3</v>
      </c>
      <c r="D4" s="29" t="s">
        <v>19</v>
      </c>
      <c r="E4" s="30" t="s">
        <v>3</v>
      </c>
    </row>
    <row r="5" spans="1:5" x14ac:dyDescent="0.25">
      <c r="B5" s="29" t="s">
        <v>39</v>
      </c>
      <c r="C5" s="30" t="s">
        <v>39</v>
      </c>
      <c r="D5" s="29" t="s">
        <v>40</v>
      </c>
      <c r="E5" s="30" t="s">
        <v>40</v>
      </c>
    </row>
    <row r="6" spans="1:5" x14ac:dyDescent="0.25">
      <c r="B6" s="31">
        <f>(B$2)*250</f>
        <v>250</v>
      </c>
      <c r="C6" s="30">
        <v>1</v>
      </c>
      <c r="D6" s="29">
        <f>(D$2)*3000</f>
        <v>3000</v>
      </c>
      <c r="E6" s="30">
        <v>1</v>
      </c>
    </row>
    <row r="7" spans="1:5" x14ac:dyDescent="0.25">
      <c r="B7" s="31">
        <f>(B$2)*227.5</f>
        <v>227.5</v>
      </c>
      <c r="C7" s="30">
        <v>5</v>
      </c>
      <c r="D7" s="29">
        <f>(D$2)*2730</f>
        <v>2730</v>
      </c>
      <c r="E7" s="30">
        <v>5</v>
      </c>
    </row>
    <row r="8" spans="1:5" x14ac:dyDescent="0.25">
      <c r="B8" s="31">
        <f>(B$2)*207.5</f>
        <v>207.5</v>
      </c>
      <c r="C8" s="30">
        <v>10</v>
      </c>
      <c r="D8" s="29">
        <f>(D$2)*2490</f>
        <v>2490</v>
      </c>
      <c r="E8" s="30">
        <v>10</v>
      </c>
    </row>
    <row r="9" spans="1:5" x14ac:dyDescent="0.25">
      <c r="B9" s="31">
        <f>(B$2)*192.5</f>
        <v>192.5</v>
      </c>
      <c r="C9" s="30">
        <v>15</v>
      </c>
      <c r="D9" s="29">
        <f>(D$2)*2310</f>
        <v>2310</v>
      </c>
      <c r="E9" s="30">
        <v>15</v>
      </c>
    </row>
    <row r="10" spans="1:5" x14ac:dyDescent="0.25">
      <c r="B10" s="31">
        <f>(B$2)*180</f>
        <v>180</v>
      </c>
      <c r="C10" s="30">
        <v>20</v>
      </c>
      <c r="D10" s="29">
        <f>(D$2)*2160</f>
        <v>2160</v>
      </c>
      <c r="E10" s="30">
        <v>20</v>
      </c>
    </row>
    <row r="11" spans="1:5" x14ac:dyDescent="0.25">
      <c r="B11" s="31">
        <f>(B$2)*170</f>
        <v>170</v>
      </c>
      <c r="C11" s="30">
        <v>25</v>
      </c>
      <c r="D11" s="29">
        <f>(D$2)*2040</f>
        <v>2040</v>
      </c>
      <c r="E11" s="30">
        <v>25</v>
      </c>
    </row>
    <row r="12" spans="1:5" x14ac:dyDescent="0.25">
      <c r="B12" s="31">
        <f>(B$2)*163.75</f>
        <v>163.75</v>
      </c>
      <c r="C12" s="30">
        <v>30</v>
      </c>
      <c r="D12" s="29">
        <f>(D$2)*1965</f>
        <v>1965</v>
      </c>
      <c r="E12" s="30">
        <v>30</v>
      </c>
    </row>
    <row r="13" spans="1:5" x14ac:dyDescent="0.25">
      <c r="B13" s="31">
        <f>(B$2)*157.5</f>
        <v>157.5</v>
      </c>
      <c r="C13" s="30">
        <v>35</v>
      </c>
      <c r="D13" s="29">
        <f>(D$2)*1890</f>
        <v>1890</v>
      </c>
      <c r="E13" s="30">
        <v>35</v>
      </c>
    </row>
    <row r="14" spans="1:5" x14ac:dyDescent="0.25">
      <c r="B14" s="31">
        <f>(B$2)*153.75</f>
        <v>153.75</v>
      </c>
      <c r="C14" s="30">
        <v>40</v>
      </c>
      <c r="D14" s="29">
        <f>(D$2)*1845</f>
        <v>1845</v>
      </c>
      <c r="E14" s="30">
        <v>40</v>
      </c>
    </row>
    <row r="15" spans="1:5" x14ac:dyDescent="0.25">
      <c r="B15" s="31">
        <f>(B$2)*150</f>
        <v>150</v>
      </c>
      <c r="C15" s="30">
        <v>45</v>
      </c>
      <c r="D15" s="29">
        <f>(D$2)*1800</f>
        <v>1800</v>
      </c>
      <c r="E15" s="30">
        <v>45</v>
      </c>
    </row>
    <row r="16" spans="1:5" x14ac:dyDescent="0.25">
      <c r="B16" s="31">
        <f>(B$2)*146.5</f>
        <v>146.5</v>
      </c>
      <c r="C16" s="30">
        <v>50</v>
      </c>
      <c r="D16" s="29">
        <f>(D$2)*1758</f>
        <v>1758</v>
      </c>
      <c r="E16" s="30">
        <v>50</v>
      </c>
    </row>
    <row r="17" spans="2:5" x14ac:dyDescent="0.25">
      <c r="B17" s="31">
        <f>(B$2)*142.5</f>
        <v>142.5</v>
      </c>
      <c r="C17" s="30">
        <v>55</v>
      </c>
      <c r="D17" s="29">
        <f>(D$2)*1710</f>
        <v>1710</v>
      </c>
      <c r="E17" s="30">
        <v>55</v>
      </c>
    </row>
    <row r="18" spans="2:5" x14ac:dyDescent="0.25">
      <c r="B18" s="31">
        <f>(B$2)*140</f>
        <v>140</v>
      </c>
      <c r="C18" s="30">
        <v>60</v>
      </c>
      <c r="D18" s="29">
        <f>(D$2)*1680</f>
        <v>1680</v>
      </c>
      <c r="E18" s="30">
        <v>60</v>
      </c>
    </row>
    <row r="19" spans="2:5" x14ac:dyDescent="0.25">
      <c r="B19" s="31">
        <f>(B$2)*137.5</f>
        <v>137.5</v>
      </c>
      <c r="C19" s="30">
        <v>65</v>
      </c>
      <c r="D19" s="29">
        <f>(D$2)*1650</f>
        <v>1650</v>
      </c>
      <c r="E19" s="30">
        <v>65</v>
      </c>
    </row>
    <row r="20" spans="2:5" x14ac:dyDescent="0.25">
      <c r="B20" s="31">
        <f>(B$2)*135</f>
        <v>135</v>
      </c>
      <c r="C20" s="30">
        <v>70</v>
      </c>
      <c r="D20" s="29">
        <f>(D$2)*1620</f>
        <v>1620</v>
      </c>
      <c r="E20" s="30">
        <v>70</v>
      </c>
    </row>
    <row r="21" spans="2:5" x14ac:dyDescent="0.25">
      <c r="B21" s="31">
        <f>(B$2)*132.5</f>
        <v>132.5</v>
      </c>
      <c r="C21" s="30">
        <v>75</v>
      </c>
      <c r="D21" s="29">
        <f>(D$2)*1590</f>
        <v>1590</v>
      </c>
      <c r="E21" s="30">
        <v>75</v>
      </c>
    </row>
    <row r="22" spans="2:5" x14ac:dyDescent="0.25">
      <c r="B22" s="31">
        <f>(B$2)*130</f>
        <v>130</v>
      </c>
      <c r="C22" s="30">
        <v>80</v>
      </c>
      <c r="D22" s="29">
        <f>(D$2)*1560</f>
        <v>1560</v>
      </c>
      <c r="E22" s="30">
        <v>80</v>
      </c>
    </row>
    <row r="23" spans="2:5" x14ac:dyDescent="0.25">
      <c r="B23" s="31">
        <f>(B$2)*127.5</f>
        <v>127.5</v>
      </c>
      <c r="C23" s="30">
        <v>85</v>
      </c>
      <c r="D23" s="29">
        <f>(D$2)*1530</f>
        <v>1530</v>
      </c>
      <c r="E23" s="30">
        <v>85</v>
      </c>
    </row>
    <row r="24" spans="2:5" x14ac:dyDescent="0.25">
      <c r="B24" s="31">
        <f>(B$2)*125</f>
        <v>125</v>
      </c>
      <c r="C24" s="30">
        <v>90</v>
      </c>
      <c r="D24" s="29">
        <f>(D$2)*1500</f>
        <v>1500</v>
      </c>
      <c r="E24" s="30">
        <v>90</v>
      </c>
    </row>
    <row r="25" spans="2:5" x14ac:dyDescent="0.25">
      <c r="B25" s="31">
        <f>(B$2)*122.5</f>
        <v>122.5</v>
      </c>
      <c r="C25" s="30">
        <v>95</v>
      </c>
      <c r="D25" s="29">
        <f>(D$2)*1470</f>
        <v>1470</v>
      </c>
      <c r="E25" s="30">
        <v>95</v>
      </c>
    </row>
    <row r="26" spans="2:5" x14ac:dyDescent="0.25">
      <c r="B26" s="31">
        <f>(B$2)*121.25</f>
        <v>121.25</v>
      </c>
      <c r="C26" s="30">
        <v>100</v>
      </c>
      <c r="D26" s="29">
        <f>(D$2)*1455</f>
        <v>1455</v>
      </c>
      <c r="E26" s="30">
        <v>100</v>
      </c>
    </row>
    <row r="27" spans="2:5" x14ac:dyDescent="0.25">
      <c r="B27" s="31">
        <f>(B$2)*107.5</f>
        <v>107.5</v>
      </c>
      <c r="C27" s="30">
        <v>150</v>
      </c>
      <c r="D27" s="29">
        <f>(D$2)*1290</f>
        <v>1290</v>
      </c>
      <c r="E27" s="30">
        <v>150</v>
      </c>
    </row>
    <row r="28" spans="2:5" x14ac:dyDescent="0.25">
      <c r="B28" s="31">
        <f>(B$2)*97.5</f>
        <v>97.5</v>
      </c>
      <c r="C28" s="30">
        <v>200</v>
      </c>
      <c r="D28" s="29">
        <f>(D$2)*1170</f>
        <v>1170</v>
      </c>
      <c r="E28" s="30">
        <v>200</v>
      </c>
    </row>
    <row r="29" spans="2:5" x14ac:dyDescent="0.25">
      <c r="B29" s="31">
        <f>(B$2)*88.75</f>
        <v>88.75</v>
      </c>
      <c r="C29" s="30">
        <v>250</v>
      </c>
      <c r="D29" s="29">
        <f>(D$2)*1065</f>
        <v>1065</v>
      </c>
      <c r="E29" s="30">
        <v>250</v>
      </c>
    </row>
    <row r="30" spans="2:5" x14ac:dyDescent="0.25">
      <c r="B30" s="31">
        <f>(B$2)*80</f>
        <v>80</v>
      </c>
      <c r="C30" s="30">
        <v>300</v>
      </c>
      <c r="D30" s="29">
        <f>(D$2)*960</f>
        <v>960</v>
      </c>
      <c r="E30" s="30">
        <v>300</v>
      </c>
    </row>
    <row r="31" spans="2:5" x14ac:dyDescent="0.25">
      <c r="B31" s="31">
        <f>(B$2)*72.5</f>
        <v>72.5</v>
      </c>
      <c r="C31" s="30">
        <v>350</v>
      </c>
      <c r="D31" s="29">
        <f>(D$2)*870</f>
        <v>870</v>
      </c>
      <c r="E31" s="30">
        <v>350</v>
      </c>
    </row>
    <row r="32" spans="2:5" x14ac:dyDescent="0.25">
      <c r="B32" s="31">
        <f>(B$2)*65</f>
        <v>65</v>
      </c>
      <c r="C32" s="30">
        <v>400</v>
      </c>
      <c r="D32" s="29">
        <f>(D$2)*780</f>
        <v>780</v>
      </c>
      <c r="E32" s="30">
        <v>400</v>
      </c>
    </row>
    <row r="33" spans="1:22" x14ac:dyDescent="0.25">
      <c r="B33" s="31">
        <f>(B$2)*58.75</f>
        <v>58.75</v>
      </c>
      <c r="C33" s="30">
        <v>450</v>
      </c>
      <c r="D33" s="29">
        <f>(D$2)*705</f>
        <v>705</v>
      </c>
      <c r="E33" s="30">
        <v>450</v>
      </c>
    </row>
    <row r="34" spans="1:22" x14ac:dyDescent="0.25">
      <c r="B34" s="31">
        <f>(B$2)*52.5</f>
        <v>52.5</v>
      </c>
      <c r="C34" s="30">
        <v>500</v>
      </c>
      <c r="D34" s="29">
        <f>(D$2)*630</f>
        <v>630</v>
      </c>
      <c r="E34" s="30">
        <v>500</v>
      </c>
    </row>
    <row r="35" spans="1:22" x14ac:dyDescent="0.25">
      <c r="B35" s="31">
        <f>(B$2)*47.5</f>
        <v>47.5</v>
      </c>
      <c r="C35" s="30">
        <v>550</v>
      </c>
      <c r="D35" s="29">
        <f>(D$2)*570</f>
        <v>570</v>
      </c>
      <c r="E35" s="30">
        <v>550</v>
      </c>
    </row>
    <row r="36" spans="1:22" x14ac:dyDescent="0.25">
      <c r="B36" s="31">
        <f>(B$2)*42.5</f>
        <v>42.5</v>
      </c>
      <c r="C36" s="30">
        <v>600</v>
      </c>
      <c r="D36" s="29">
        <f>(D$2)*510</f>
        <v>510</v>
      </c>
      <c r="E36" s="30">
        <v>600</v>
      </c>
    </row>
    <row r="37" spans="1:22" x14ac:dyDescent="0.25">
      <c r="B37" s="31">
        <f>(B$2)*37.5</f>
        <v>37.5</v>
      </c>
      <c r="C37" s="30">
        <v>650</v>
      </c>
      <c r="D37" s="29">
        <f>(D$2)*450</f>
        <v>450</v>
      </c>
      <c r="E37" s="30">
        <v>650</v>
      </c>
    </row>
    <row r="38" spans="1:22" x14ac:dyDescent="0.25">
      <c r="B38" s="31">
        <f>(B$2)*33</f>
        <v>33</v>
      </c>
      <c r="C38" s="30">
        <v>700</v>
      </c>
      <c r="D38" s="29">
        <f>(D$2)*396</f>
        <v>396</v>
      </c>
      <c r="E38" s="30">
        <v>700</v>
      </c>
    </row>
    <row r="39" spans="1:22" x14ac:dyDescent="0.25">
      <c r="B39" s="31">
        <f>(B$2)*28.75</f>
        <v>28.75</v>
      </c>
      <c r="C39" s="30">
        <v>750</v>
      </c>
      <c r="D39" s="29">
        <f>(D$2)*345</f>
        <v>345</v>
      </c>
      <c r="E39" s="30">
        <v>750</v>
      </c>
    </row>
    <row r="40" spans="1:22" ht="15.75" thickBot="1" x14ac:dyDescent="0.3">
      <c r="B40" s="32">
        <f>(B$2)*25</f>
        <v>25</v>
      </c>
      <c r="C40" s="34">
        <v>800</v>
      </c>
      <c r="D40" s="33">
        <f>(D$2)*300</f>
        <v>300</v>
      </c>
      <c r="E40" s="34">
        <v>800</v>
      </c>
    </row>
    <row r="41" spans="1:22" x14ac:dyDescent="0.25">
      <c r="A41" s="19" t="s">
        <v>353</v>
      </c>
      <c r="B41" s="60" cm="1">
        <f t="array" ref="B41">IF(VLOOKUP(Input!$D$15,C$6:C$40,1,TRUE)=Input!$D$15,INDEX(B$6:B$40,MATCH(VLOOKUP(Input!$D$15,C$6:C$40,1,TRUE),C$6:C$40)),INDEX(B$6:B$40,MATCH(VLOOKUP(Input!$D$15,C$6:C$40,1,TRUE),C$6:C$40)+1))</f>
        <v>250</v>
      </c>
      <c r="C41" s="61"/>
      <c r="D41" s="60" cm="1">
        <f t="array" ref="D41">IF(VLOOKUP(Input!$D$15,E$6:E$40,1,TRUE)=Input!$D$15,INDEX(D$6:D$40,MATCH(VLOOKUP(Input!$D$15,E$6:E$40,1,TRUE),E$6:E$40)),INDEX(D$6:D$40,MATCH(VLOOKUP(Input!$D$15,E$6:E$40,1,TRUE),E$6:E$40)+1))</f>
        <v>3000</v>
      </c>
      <c r="E41" s="61"/>
      <c r="F41" s="60"/>
      <c r="G41" s="19"/>
      <c r="H41" s="19"/>
      <c r="I41" s="19"/>
      <c r="J41" s="19"/>
      <c r="K41" s="19"/>
      <c r="L41" s="19"/>
    </row>
    <row r="42" spans="1:22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</row>
    <row r="43" spans="1:22" ht="15.75" thickBot="1" x14ac:dyDescent="0.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</row>
    <row r="44" spans="1:22" ht="15.75" thickBot="1" x14ac:dyDescent="0.3">
      <c r="A44" s="20" t="s">
        <v>41</v>
      </c>
      <c r="B44" s="21" t="str">
        <f>IF($D$41&lt;Input!D12,"N/A",IF(Input!D12&lt;=$B$41,$B$5,IF(Input!D12&lt;=$D$41,$D$5,)))</f>
        <v>N/A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</row>
    <row r="45" spans="1:22" ht="15.75" thickBot="1" x14ac:dyDescent="0.3">
      <c r="A45" s="19" t="s">
        <v>156</v>
      </c>
      <c r="B45" s="19" t="str">
        <f>Input!$D$31</f>
        <v>ZF100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</row>
    <row r="46" spans="1:22" ht="15.75" thickBot="1" x14ac:dyDescent="0.3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R46" s="20" t="s">
        <v>349</v>
      </c>
      <c r="S46" s="117" t="s">
        <v>336</v>
      </c>
      <c r="T46" s="236" t="s">
        <v>345</v>
      </c>
      <c r="U46" s="227" t="s">
        <v>341</v>
      </c>
      <c r="V46" s="236" t="s">
        <v>345</v>
      </c>
    </row>
    <row r="47" spans="1:22" ht="30" x14ac:dyDescent="0.25">
      <c r="B47" s="37" t="s">
        <v>42</v>
      </c>
      <c r="C47" s="37" t="s">
        <v>43</v>
      </c>
      <c r="D47" s="38" t="s">
        <v>44</v>
      </c>
      <c r="E47" s="37" t="s">
        <v>129</v>
      </c>
      <c r="F47" s="37" t="s">
        <v>45</v>
      </c>
      <c r="G47" s="37" t="s">
        <v>46</v>
      </c>
      <c r="H47" s="37" t="s">
        <v>47</v>
      </c>
      <c r="I47" s="39" t="s">
        <v>48</v>
      </c>
      <c r="J47" s="39" t="s">
        <v>49</v>
      </c>
      <c r="K47" s="37" t="s">
        <v>50</v>
      </c>
      <c r="L47" s="37" t="s">
        <v>51</v>
      </c>
      <c r="M47" s="37" t="s">
        <v>187</v>
      </c>
      <c r="N47" s="216" t="s">
        <v>317</v>
      </c>
      <c r="R47" s="63" t="s">
        <v>53</v>
      </c>
      <c r="S47" s="64" t="str" cm="1">
        <f t="array" ref="S47">IF($B$44="N/A","N/A",ROUNDDOWN(SQRT((213500000000000000*INDEX($J$48:$J$51,MATCH($B$44,$B$48:$B$51,0)+1))/(9.549*INDEX($E$48:$E$51,MATCH($B$44,$B$48:$B$51,0)+1)*(INDEX($F$48:$F$51,MATCH($B$44,$B$48:$B$51,0))/1000)*(INDEX($D$48:$D$51,MATCH($B$44,$B$48:$B$51,0)+1)^5))),0))</f>
        <v>N/A</v>
      </c>
      <c r="T47" s="102" t="s">
        <v>342</v>
      </c>
      <c r="U47" s="228"/>
      <c r="V47" s="234" t="s">
        <v>342</v>
      </c>
    </row>
    <row r="48" spans="1:22" x14ac:dyDescent="0.25">
      <c r="B48" s="3" t="s">
        <v>39</v>
      </c>
      <c r="C48" s="40">
        <v>350</v>
      </c>
      <c r="D48" s="119">
        <v>140</v>
      </c>
      <c r="E48" s="3">
        <v>2.4</v>
      </c>
      <c r="F48" s="3">
        <f>IF($B$44=$B48,Input!$D$14,1000)</f>
        <v>1000</v>
      </c>
      <c r="G48" s="3">
        <f>IF($B$44=$B48,Input!$D$12,250)</f>
        <v>250</v>
      </c>
      <c r="H48" s="54">
        <f>$E48*$F48*($C48/60)^3*($D48/1000)^5</f>
        <v>25.621337777777779</v>
      </c>
      <c r="I48" s="43">
        <v>1.5</v>
      </c>
      <c r="J48" s="44">
        <f t="shared" ref="J48:J51" si="0">9549*H48/C48/1000</f>
        <v>0.69902329839999999</v>
      </c>
      <c r="K48" s="52">
        <f t="shared" ref="K48:K51" si="1">H48/G48</f>
        <v>0.10248535111111111</v>
      </c>
      <c r="L48" s="45">
        <f>3.14*$D48/1000*$C$48/60</f>
        <v>2.5643333333333334</v>
      </c>
      <c r="M48">
        <v>109.5</v>
      </c>
      <c r="N48" s="40"/>
      <c r="R48" s="65" t="s">
        <v>13</v>
      </c>
      <c r="S48" s="66" t="str" cm="1">
        <f t="array" ref="S48">IF($B$44=$S$47,"N/A",(INDEX($E$48:$E$51,MATCH($B$44,$B$48:$B$51,0)+1)*Input!$D$14*($S$47/60)^3*((INDEX($D$48:$D$51,MATCH($B$44,$B$48:$B$51)-1))/1000)^5)/Input!$D$12)</f>
        <v>N/A</v>
      </c>
      <c r="T48" s="102" t="s">
        <v>14</v>
      </c>
      <c r="U48" s="226"/>
      <c r="V48" s="234" t="s">
        <v>343</v>
      </c>
    </row>
    <row r="49" spans="1:22" ht="15.75" thickBot="1" x14ac:dyDescent="0.3">
      <c r="A49" s="46" t="s">
        <v>52</v>
      </c>
      <c r="B49" s="47" t="s">
        <v>39</v>
      </c>
      <c r="C49" s="47">
        <v>350</v>
      </c>
      <c r="D49" s="48">
        <v>140</v>
      </c>
      <c r="E49" s="47">
        <v>2.4</v>
      </c>
      <c r="F49" s="47">
        <f>1000</f>
        <v>1000</v>
      </c>
      <c r="G49" s="47">
        <v>250</v>
      </c>
      <c r="H49" s="56">
        <f t="shared" ref="H49:H51" si="2">$E49*$F49*($C49/60)^3*($D49/1000)^5</f>
        <v>25.621337777777779</v>
      </c>
      <c r="I49" s="50">
        <v>1.5</v>
      </c>
      <c r="J49" s="51">
        <f t="shared" si="0"/>
        <v>0.69902329839999999</v>
      </c>
      <c r="K49" s="49">
        <f t="shared" si="1"/>
        <v>0.10248535111111111</v>
      </c>
      <c r="L49" s="51">
        <f t="shared" ref="L49:L51" si="3">3.14*$D49/1000*$C$48/60</f>
        <v>2.5643333333333334</v>
      </c>
      <c r="M49">
        <v>109.5</v>
      </c>
      <c r="N49" s="47"/>
      <c r="R49" s="67" t="s">
        <v>15</v>
      </c>
      <c r="S49" s="68" t="str" cm="1">
        <f t="array" ref="S49">IF($B$44=$S$47,"N/A",3.14*INDEX($D$48:$D$51,MATCH($B$44,$B$48:$B$51)-1)/1000*$S$47/60)</f>
        <v>N/A</v>
      </c>
      <c r="T49" s="121" t="s">
        <v>16</v>
      </c>
      <c r="U49" s="238"/>
      <c r="V49" s="235" t="s">
        <v>344</v>
      </c>
    </row>
    <row r="50" spans="1:22" x14ac:dyDescent="0.25">
      <c r="B50" s="3" t="s">
        <v>40</v>
      </c>
      <c r="C50" s="40">
        <v>350</v>
      </c>
      <c r="D50" s="119">
        <v>220</v>
      </c>
      <c r="E50" s="3">
        <v>2.2000000000000002</v>
      </c>
      <c r="F50" s="3">
        <f>IF($B$44=$B50,Input!$D$14,1000)</f>
        <v>1000</v>
      </c>
      <c r="G50" s="3">
        <f>IF($B$44=$B50,Input!$D$12,3000)</f>
        <v>3000</v>
      </c>
      <c r="H50" s="54">
        <f t="shared" si="2"/>
        <v>225.0538603703703</v>
      </c>
      <c r="I50" s="53">
        <v>10</v>
      </c>
      <c r="J50" s="54">
        <f t="shared" si="0"/>
        <v>6.1401123219333309</v>
      </c>
      <c r="K50" s="52">
        <f t="shared" si="1"/>
        <v>7.5017953456790104E-2</v>
      </c>
      <c r="L50" s="45">
        <f t="shared" si="3"/>
        <v>4.0296666666666674</v>
      </c>
      <c r="M50">
        <v>168</v>
      </c>
      <c r="N50" s="40"/>
      <c r="R50" s="63" t="s">
        <v>125</v>
      </c>
      <c r="S50" s="23" t="str">
        <f>IF($S$47=$B$44,"N/A",$S$47*0.5)</f>
        <v>N/A</v>
      </c>
      <c r="T50" s="102" t="s">
        <v>342</v>
      </c>
      <c r="U50" s="223"/>
      <c r="V50" s="234" t="s">
        <v>342</v>
      </c>
    </row>
    <row r="51" spans="1:22" x14ac:dyDescent="0.25">
      <c r="A51" s="46" t="s">
        <v>52</v>
      </c>
      <c r="B51" s="131" t="s">
        <v>40</v>
      </c>
      <c r="C51" s="105">
        <v>350</v>
      </c>
      <c r="D51" s="132">
        <v>220</v>
      </c>
      <c r="E51" s="105">
        <v>2.2000000000000002</v>
      </c>
      <c r="F51" s="105">
        <f>1000</f>
        <v>1000</v>
      </c>
      <c r="G51" s="105">
        <v>3000</v>
      </c>
      <c r="H51" s="56">
        <f t="shared" si="2"/>
        <v>225.0538603703703</v>
      </c>
      <c r="I51" s="108">
        <v>10</v>
      </c>
      <c r="J51" s="107">
        <f t="shared" si="0"/>
        <v>6.1401123219333309</v>
      </c>
      <c r="K51" s="109">
        <f t="shared" si="1"/>
        <v>7.5017953456790104E-2</v>
      </c>
      <c r="L51" s="51">
        <f t="shared" si="3"/>
        <v>4.0296666666666674</v>
      </c>
      <c r="M51">
        <v>168</v>
      </c>
      <c r="N51" s="47"/>
      <c r="R51" s="65" t="s">
        <v>126</v>
      </c>
      <c r="S51" s="66" t="str" cm="1">
        <f t="array" ref="S51">IF($B$44=$S$50,"N/A",(INDEX($E$48:$E$51,MATCH($B$44,$B$48:$B$51,0)+1)*Input!$D$14*($S$50/60)^3*((INDEX($D$48:$D$51,MATCH($B$44,$B$48:$B$51)-1))/1000)^5)/Input!$D$12)</f>
        <v>N/A</v>
      </c>
      <c r="T51" s="102" t="s">
        <v>14</v>
      </c>
      <c r="U51" s="237"/>
      <c r="V51" s="234" t="s">
        <v>343</v>
      </c>
    </row>
    <row r="52" spans="1:22" ht="15.75" thickBot="1" x14ac:dyDescent="0.3">
      <c r="A52" s="19"/>
      <c r="B52" s="19"/>
      <c r="C52" s="19"/>
      <c r="D52" s="61"/>
      <c r="E52" s="19"/>
      <c r="F52" s="19"/>
      <c r="G52" s="19"/>
      <c r="H52" s="114"/>
      <c r="I52" s="115"/>
      <c r="J52" s="114"/>
      <c r="K52" s="113"/>
      <c r="L52" s="104"/>
      <c r="R52" s="67" t="s">
        <v>127</v>
      </c>
      <c r="S52" s="68" t="str" cm="1">
        <f t="array" ref="S52">IF($B$44=$S$47,"N/A",3.14*INDEX($D$48:$D$51,MATCH($B$44,$B$48:$B$51)-1)/1000*$S$50/60)</f>
        <v>N/A</v>
      </c>
      <c r="T52" s="121" t="s">
        <v>16</v>
      </c>
      <c r="U52" s="239"/>
      <c r="V52" s="235" t="s">
        <v>344</v>
      </c>
    </row>
    <row r="53" spans="1:22" ht="15.75" thickBot="1" x14ac:dyDescent="0.3">
      <c r="C53" s="19"/>
      <c r="D53" s="133"/>
      <c r="E53" s="19"/>
      <c r="F53" s="19"/>
      <c r="G53" s="19"/>
      <c r="H53" s="114"/>
      <c r="I53" s="115"/>
      <c r="J53" s="114"/>
      <c r="K53" s="113"/>
      <c r="L53" s="104"/>
      <c r="T53" s="117"/>
      <c r="U53" s="117"/>
      <c r="V53" s="233"/>
    </row>
    <row r="54" spans="1:22" ht="15.75" thickBot="1" x14ac:dyDescent="0.3">
      <c r="R54" s="20" t="s">
        <v>156</v>
      </c>
      <c r="S54" s="227"/>
      <c r="T54" s="21"/>
      <c r="U54" s="232"/>
      <c r="V54" s="236"/>
    </row>
    <row r="55" spans="1:22" x14ac:dyDescent="0.25">
      <c r="R55" s="63" t="s">
        <v>53</v>
      </c>
      <c r="S55" s="223" cm="1">
        <f t="array" ref="S55">IF($B$45="N/A","N/A",IF(Input!D14&lt;=1000,VLOOKUP($B$45,$B$48:$N$53,2,FALSE),ROUNDDOWN(SQRT((213500000000000000*INDEX($J$48:$J$53,MATCH($B$45,$B$48:$B$53,0)+1))/(9.549*INDEX($E$48:$E$53,MATCH($B$45,$B$48:$B$53,0)+1)*(INDEX($F$48:$F$53,MATCH($B$45,$B$48:$B$53,0))/1000)*(INDEX($D$48:$D$53,MATCH($B$45,$B$48:$B$53,0)+1)^5))),0)))</f>
        <v>347</v>
      </c>
      <c r="T55" s="102" t="s">
        <v>342</v>
      </c>
      <c r="U55" s="228"/>
      <c r="V55" s="234" t="s">
        <v>342</v>
      </c>
    </row>
    <row r="56" spans="1:22" x14ac:dyDescent="0.25">
      <c r="R56" s="65" t="s">
        <v>13</v>
      </c>
      <c r="S56" s="224" cm="1">
        <f t="array" ref="S56">IF($B$77=$B$45,"N/A",(INDEX($E$48:$E$53,MATCH($B$45,$B$48:$B$53,0)+1)*Input!$D$14*($S$55/60)^3*((INDEX($D$48:$D$53,MATCH($B$45,$B$48:$B$53)-1))/1000)^5)/Input!$D$12)</f>
        <v>2.4993102529452839E-3</v>
      </c>
      <c r="T56" s="102" t="s">
        <v>14</v>
      </c>
      <c r="U56" s="226"/>
      <c r="V56" s="234" t="s">
        <v>343</v>
      </c>
    </row>
    <row r="57" spans="1:22" ht="15.75" thickBot="1" x14ac:dyDescent="0.3">
      <c r="R57" s="67" t="s">
        <v>15</v>
      </c>
      <c r="S57" s="225" cm="1">
        <f t="array" ref="S57">IF($S$55=$B$45,"N/A",3.14*INDEX($D$48:$D$53,MATCH($B$45,$B$48:$B$53)-1)/1000*$S$55/60)</f>
        <v>2.5423533333333332</v>
      </c>
      <c r="T57" s="121" t="s">
        <v>16</v>
      </c>
      <c r="U57" s="238"/>
      <c r="V57" s="235" t="s">
        <v>344</v>
      </c>
    </row>
    <row r="58" spans="1:22" x14ac:dyDescent="0.25">
      <c r="R58" s="63" t="s">
        <v>125</v>
      </c>
      <c r="S58" s="223">
        <f>IF($S$55=$B$45,"N/A",$S$55*0.5)</f>
        <v>173.5</v>
      </c>
      <c r="T58" s="102" t="s">
        <v>342</v>
      </c>
      <c r="U58" s="223"/>
      <c r="V58" s="234" t="s">
        <v>342</v>
      </c>
    </row>
    <row r="59" spans="1:22" x14ac:dyDescent="0.25">
      <c r="R59" s="65" t="s">
        <v>126</v>
      </c>
      <c r="S59" s="226" cm="1">
        <f t="array" ref="S59">IF($B$45=$S$55,"N/A",(INDEX($E$48:$E$53,MATCH($B$45,$B$48:$B$53,0)+1)*Input!$D$14*($S$58/60)^3*((INDEX($D$48:$D$53,MATCH($B$45,$B$48:$B$53)-1))/1000)^5)/Input!$D$12)</f>
        <v>3.1241378161816049E-4</v>
      </c>
      <c r="T59" s="102" t="s">
        <v>14</v>
      </c>
      <c r="U59" s="240"/>
      <c r="V59" s="234" t="s">
        <v>343</v>
      </c>
    </row>
    <row r="60" spans="1:22" ht="15.75" thickBot="1" x14ac:dyDescent="0.3">
      <c r="R60" s="67" t="s">
        <v>127</v>
      </c>
      <c r="S60" s="225" cm="1">
        <f t="array" ref="S60">IF($B$45=$S$55,"N/A",3.14*INDEX($D$48:$D$53,MATCH($B$45,$B$48:$B$53)-1)/1000*$S$58/60)</f>
        <v>1.2711766666666666</v>
      </c>
      <c r="T60" s="121" t="s">
        <v>16</v>
      </c>
      <c r="U60" s="242"/>
      <c r="V60" s="235" t="s">
        <v>344</v>
      </c>
    </row>
    <row r="61" spans="1:22" x14ac:dyDescent="0.25">
      <c r="R61" s="19"/>
      <c r="S61" s="19"/>
      <c r="T61" s="19"/>
      <c r="U61" s="19"/>
      <c r="V61" s="19"/>
    </row>
    <row r="62" spans="1:22" ht="15.75" thickBot="1" x14ac:dyDescent="0.3">
      <c r="R62" s="19" t="s">
        <v>316</v>
      </c>
      <c r="S62" s="19">
        <v>0.5</v>
      </c>
      <c r="T62" s="233"/>
      <c r="U62" s="19"/>
      <c r="V62" s="233"/>
    </row>
    <row r="63" spans="1:22" ht="15.75" thickBot="1" x14ac:dyDescent="0.3">
      <c r="R63" s="20" t="s">
        <v>158</v>
      </c>
      <c r="S63" s="227"/>
      <c r="T63" s="21"/>
      <c r="U63" s="232"/>
      <c r="V63" s="236"/>
    </row>
    <row r="64" spans="1:22" x14ac:dyDescent="0.25">
      <c r="R64" s="63" t="s">
        <v>315</v>
      </c>
      <c r="S64" s="247" t="e">
        <f>IF($U$63*(10.74*(VLOOKUP($B$44,$B$48:$N$55,3,FALSE)/25.4)^2*$U$48*(Input!$D$14/1000)/Input!$D$15)&gt;=20000,1,IF($U$63*(10.74*(VLOOKUP($B$44,$B$48:$N$55,3,FALSE)/25.4)^2*$U$48*(Input!$D$14/1000)/Input!$D$15)&gt;=300,EXP(-5.328+1.683*LN($U$63*(10.74*(VLOOKUP($B$44,$B$48:$N$55,3,FALSE)/25.4)^2*$U$48*(Input!$D$14/1000)/Input!$D$15))-0.179*LN($U$63*(10.74*(VLOOKUP($B$44,$B$48:$N$55,3,FALSE)/25.4)^2*$U$48*(Input!$D$14/1000)/Input!$D$15))^2+0.0064*LN($U$63*(10.74*(VLOOKUP($B$44,$B$48:$N$55,3,FALSE)/25.4)^2*$U$48*(Input!$D$14/1000)/Input!$D$15))^3),IF($U$63*(10.74*(VLOOKUP($B$44,$B$48:$N$55,3,FALSE)/25.4)^2*$U$48*(Input!$D$14/1000)/Input!$D$15)&gt;25,EXP(-0.563-0.231*LN($U$63*(10.74*(VLOOKUP($B$44,$B$48:$N$55,3,FALSE)/25.4)^2*$U$48*(Input!$D$14/1000)/Input!$D$15))+0.0466*LN($U$63*(10.74*(VLOOKUP($B$44,$B$48:$N$55,3,FALSE)/25.4)^2*$U$48*(Input!$D$14/1000)/Input!$D$15))^2),0.439)))*VLOOKUP($B$44,$B$48:$N$55,13,FALSE)*$U$48*(VLOOKUP($B$44,$B$48:$N$55,3,FALSE)^3/1000000)</f>
        <v>#N/A</v>
      </c>
      <c r="T64" s="19" t="s">
        <v>346</v>
      </c>
      <c r="U64" s="244"/>
      <c r="V64" s="234" t="s">
        <v>347</v>
      </c>
    </row>
    <row r="65" spans="18:22" x14ac:dyDescent="0.25">
      <c r="R65" s="65" t="s">
        <v>312</v>
      </c>
      <c r="S65" s="224" t="e">
        <f>IF(Input!$D$12&lt;$U$65,CONCATENATE(TEXT(((CONCATENATE("0",MID((Input!$D$12/$U$65),FIND(",",(Input!$D$12/$U$65)),LEN((Input!$D$12/$U$65)))))*60),"0"),"s"),CONCATENATE(LEFT((Input!$D$12/$U$65),FIND(",",(Input!$D$12/$U$65))-1),"min ",TEXT(((CONCATENATE("0",MID((Input!$D$12/$U$65),FIND(",",(Input!$D$12/$U$65)),LEN((Input!$D$12/$U$65)))))*60),"0"),"s"))</f>
        <v>#DIV/0!</v>
      </c>
      <c r="T65" s="19"/>
      <c r="U65" s="243"/>
      <c r="V65" s="234"/>
    </row>
    <row r="66" spans="18:22" x14ac:dyDescent="0.25">
      <c r="R66" s="65" t="s">
        <v>314</v>
      </c>
      <c r="S66" s="228" t="e">
        <f>IF(Input!$D$12*3&lt;$U$65,CONCATENATE(TEXT(((CONCATENATE("0",MID((Input!$D$12/$U$65)*3,FIND(",",(Input!$D$12/$U$65)*3),LEN((Input!$D$12/$U$65)*3))))*60),"0"),"s"),CONCATENATE(LEFT((Input!$D$12/$U$65)*3,FIND(",",(Input!$D$12/$U$65)*3)-1),"min ",TEXT(((CONCATENATE("0",MID((Input!$D$12/$U$65)*3,FIND(",",(Input!$D$12/$U$65)*3),LEN((Input!$D$12/$U$65)*3))))*60),"0"),"s"))</f>
        <v>#DIV/0!</v>
      </c>
      <c r="T66" s="19"/>
      <c r="U66" s="230"/>
      <c r="V66" s="234"/>
    </row>
    <row r="67" spans="18:22" ht="15.75" thickBot="1" x14ac:dyDescent="0.3">
      <c r="R67" s="67" t="s">
        <v>313</v>
      </c>
      <c r="S67" s="225" t="e">
        <f>IF(Input!$D$12*5&lt;$U$65,CONCATENATE(TEXT(((CONCATENATE("0",MID((Input!$D$12/$U$65)*5,FIND(",",(Input!$D$12/$U$65)*5),LEN((Input!$D$12/$U$65)*5))))*60),"0"),"s"),CONCATENATE(LEFT((Input!$D$12/$U$65)*5,FIND(",",(Input!$D$12/$U$65)*5)-1),"min ",TEXT(((CONCATENATE("0",MID((Input!$D$12/$U$65)*5,FIND(",",(Input!$D$12/$U$65)*5),LEN((Input!$D$12/$U$65)*5))))*60),"0"),"s"))</f>
        <v>#DIV/0!</v>
      </c>
      <c r="T67" s="121"/>
      <c r="U67" s="241"/>
      <c r="V67" s="235"/>
    </row>
  </sheetData>
  <sortState xmlns:xlrd2="http://schemas.microsoft.com/office/spreadsheetml/2017/richdata2" ref="D6:D40">
    <sortCondition descending="1" ref="D6:D40"/>
  </sortState>
  <mergeCells count="2">
    <mergeCell ref="B2:C2"/>
    <mergeCell ref="D2:E2"/>
  </mergeCells>
  <conditionalFormatting sqref="B52">
    <cfRule type="expression" dxfId="9" priority="1">
      <formula>$B$23=$B$2</formula>
    </cfRule>
  </conditionalFormatting>
  <conditionalFormatting sqref="C48 H48:J48 H49:H53">
    <cfRule type="expression" dxfId="8" priority="9">
      <formula>$B$13=$B$2</formula>
    </cfRule>
  </conditionalFormatting>
  <conditionalFormatting sqref="C50 I50:J50">
    <cfRule type="expression" dxfId="7" priority="6">
      <formula>$B$17=$B$2</formula>
    </cfRule>
  </conditionalFormatting>
  <conditionalFormatting sqref="C52 I52:J52">
    <cfRule type="expression" dxfId="6" priority="3">
      <formula>$B$21=$B$2</formula>
    </cfRule>
  </conditionalFormatting>
  <conditionalFormatting sqref="F48">
    <cfRule type="expression" dxfId="5" priority="8">
      <formula>$B$11=$B$2</formula>
    </cfRule>
  </conditionalFormatting>
  <conditionalFormatting sqref="F50">
    <cfRule type="expression" dxfId="4" priority="5">
      <formula>$B$11=$B$2</formula>
    </cfRule>
  </conditionalFormatting>
  <conditionalFormatting sqref="F52">
    <cfRule type="expression" dxfId="3" priority="2">
      <formula>$B$11=$B$2</formula>
    </cfRule>
  </conditionalFormatting>
  <conditionalFormatting sqref="J48">
    <cfRule type="expression" dxfId="2" priority="10">
      <formula>$J$14&lt;$J$13</formula>
    </cfRule>
  </conditionalFormatting>
  <conditionalFormatting sqref="J50">
    <cfRule type="expression" dxfId="1" priority="7">
      <formula>$J$18&lt;$J$17</formula>
    </cfRule>
  </conditionalFormatting>
  <conditionalFormatting sqref="J52">
    <cfRule type="expression" dxfId="0" priority="4">
      <formula>$J$22&lt;$J$21</formula>
    </cfRule>
  </conditionalFormatting>
  <dataValidations count="1">
    <dataValidation type="list" allowBlank="1" showInputMessage="1" showErrorMessage="1" sqref="B2:E2" xr:uid="{031B44D5-F858-41BA-B828-A236963FDC25}">
      <mc:AlternateContent xmlns:x12ac="http://schemas.microsoft.com/office/spreadsheetml/2011/1/ac" xmlns:mc="http://schemas.openxmlformats.org/markup-compatibility/2006">
        <mc:Choice Requires="x12ac">
          <x12ac:list>"0,8",1,"1,2"</x12ac:list>
        </mc:Choice>
        <mc:Fallback>
          <formula1>"0,8,1,1,2"</formula1>
        </mc:Fallback>
      </mc:AlternateContent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A202-F8E5-4FA8-B9F1-B532074FA162}">
  <sheetPr>
    <tabColor theme="7" tint="0.39997558519241921"/>
  </sheetPr>
  <dimension ref="A1:U39"/>
  <sheetViews>
    <sheetView topLeftCell="A7" workbookViewId="0">
      <selection activeCell="B28" sqref="B28"/>
    </sheetView>
  </sheetViews>
  <sheetFormatPr defaultRowHeight="15" x14ac:dyDescent="0.25"/>
  <cols>
    <col min="1" max="1" width="17" customWidth="1"/>
    <col min="2" max="2" width="20.7109375" bestFit="1" customWidth="1"/>
    <col min="3" max="3" width="13" customWidth="1"/>
    <col min="4" max="4" width="98.28515625" customWidth="1"/>
    <col min="6" max="6" width="17.5703125" customWidth="1"/>
    <col min="9" max="9" width="9.7109375" customWidth="1"/>
  </cols>
  <sheetData>
    <row r="1" spans="1:21" ht="18.75" x14ac:dyDescent="0.25">
      <c r="A1" s="200" t="s">
        <v>209</v>
      </c>
      <c r="B1" s="200"/>
      <c r="C1" s="200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</row>
    <row r="2" spans="1:21" ht="15.75" x14ac:dyDescent="0.25">
      <c r="A2" s="198" t="s">
        <v>22</v>
      </c>
      <c r="B2" s="198"/>
      <c r="C2" s="198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</row>
    <row r="3" spans="1:21" ht="18.75" x14ac:dyDescent="0.3">
      <c r="A3" s="6" t="s">
        <v>19</v>
      </c>
      <c r="B3" s="7">
        <f>Input!$D$12</f>
        <v>10000</v>
      </c>
      <c r="C3" s="8" t="s">
        <v>18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1" ht="18.75" x14ac:dyDescent="0.3">
      <c r="A4" s="10" t="s">
        <v>1</v>
      </c>
      <c r="B4" s="11">
        <f>Input!$D$9</f>
        <v>1003</v>
      </c>
      <c r="C4" s="12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ht="18.75" x14ac:dyDescent="0.3">
      <c r="A5" s="10" t="s">
        <v>21</v>
      </c>
      <c r="B5" s="11">
        <f>Input!$D$10</f>
        <v>5</v>
      </c>
      <c r="C5" s="1" t="s">
        <v>11</v>
      </c>
      <c r="G5" s="14"/>
      <c r="N5" s="99"/>
      <c r="O5" s="100"/>
      <c r="Q5" s="14"/>
      <c r="R5" s="15"/>
      <c r="S5" s="202"/>
      <c r="U5" s="14"/>
    </row>
    <row r="6" spans="1:21" ht="18.75" x14ac:dyDescent="0.3">
      <c r="A6" s="10"/>
      <c r="B6" s="16"/>
      <c r="C6" s="1"/>
      <c r="G6" s="14"/>
      <c r="N6" s="14"/>
      <c r="O6" s="14"/>
      <c r="Q6" s="14"/>
      <c r="R6" s="15"/>
      <c r="S6" s="14"/>
      <c r="U6" s="14"/>
    </row>
    <row r="7" spans="1:21" ht="45.75" x14ac:dyDescent="0.3">
      <c r="A7" s="123" t="s">
        <v>130</v>
      </c>
      <c r="B7" s="16" t="str">
        <f>IF($B$4&lt;1000,CONCATENATE(ROUNDUP(0.22167*$B$4,0),"mm"),CONCATENATE(ROUNDUP(0.133002*$B$4,0), "mm - ",ROUNDUP(0.22167*$B$4,0),"mm"))</f>
        <v>134mm - 223mm</v>
      </c>
      <c r="C7" s="1"/>
      <c r="G7" s="14"/>
      <c r="N7" s="14"/>
      <c r="O7" s="14"/>
      <c r="Q7" s="14"/>
      <c r="R7" s="15"/>
      <c r="S7" s="14"/>
      <c r="U7" s="14"/>
    </row>
    <row r="8" spans="1:21" ht="30.75" x14ac:dyDescent="0.3">
      <c r="A8" s="123" t="s">
        <v>202</v>
      </c>
      <c r="B8" s="199">
        <f>(0.1*($B$4/100)^3)</f>
        <v>100.90270269999998</v>
      </c>
      <c r="C8" s="1" t="s">
        <v>18</v>
      </c>
      <c r="G8" s="14"/>
      <c r="N8" s="14"/>
      <c r="O8" s="14"/>
      <c r="Q8" s="14"/>
      <c r="R8" s="15"/>
      <c r="S8" s="14"/>
      <c r="U8" s="14"/>
    </row>
    <row r="9" spans="1:21" ht="30.75" x14ac:dyDescent="0.3">
      <c r="A9" s="123" t="s">
        <v>6</v>
      </c>
      <c r="B9" s="124">
        <f>0.1935*($B$4+2*$B$5)-(0.455*$B$5)</f>
        <v>193.7405</v>
      </c>
      <c r="C9" s="1" t="s">
        <v>11</v>
      </c>
      <c r="G9" s="14"/>
      <c r="N9" s="14"/>
      <c r="O9" s="14"/>
      <c r="Q9" s="14"/>
      <c r="R9" s="15"/>
      <c r="S9" s="14"/>
      <c r="U9" s="14"/>
    </row>
    <row r="10" spans="1:21" ht="18.75" x14ac:dyDescent="0.3">
      <c r="A10" s="123" t="s">
        <v>203</v>
      </c>
      <c r="B10" s="124">
        <f>$B$3-$B$8</f>
        <v>9899.0972973000007</v>
      </c>
      <c r="C10" s="1" t="s">
        <v>18</v>
      </c>
      <c r="G10" s="14"/>
      <c r="N10" s="14"/>
      <c r="O10" s="14"/>
      <c r="Q10" s="14"/>
      <c r="R10" s="15"/>
      <c r="S10" s="14"/>
      <c r="U10" s="14"/>
    </row>
    <row r="11" spans="1:21" ht="30.75" x14ac:dyDescent="0.3">
      <c r="A11" s="123" t="s">
        <v>207</v>
      </c>
      <c r="B11" s="124">
        <f>($B$3-(0.1*($B$4/100)^3))/(PI()*(($B$4)/200)^2)*100</f>
        <v>12528.637553047074</v>
      </c>
      <c r="C11" s="1" t="s">
        <v>11</v>
      </c>
      <c r="G11" s="14"/>
      <c r="N11" s="14"/>
      <c r="O11" s="14"/>
      <c r="Q11" s="14"/>
      <c r="R11" s="15"/>
      <c r="S11" s="14"/>
      <c r="U11" s="14"/>
    </row>
    <row r="12" spans="1:21" ht="18.75" x14ac:dyDescent="0.3">
      <c r="A12" s="17" t="s">
        <v>20</v>
      </c>
      <c r="B12" s="122">
        <f>($B$9+$B$11)/$B$4</f>
        <v>12.684325077813632</v>
      </c>
      <c r="C12" s="2"/>
    </row>
    <row r="15" spans="1:21" ht="15.75" x14ac:dyDescent="0.25">
      <c r="A15" s="201" t="s">
        <v>208</v>
      </c>
      <c r="B15" s="201"/>
      <c r="C15" s="201"/>
      <c r="D15" s="201"/>
      <c r="E15" s="201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</row>
    <row r="16" spans="1:21" ht="30.75" x14ac:dyDescent="0.3">
      <c r="A16" s="6" t="s">
        <v>200</v>
      </c>
      <c r="B16" s="7">
        <f>Input!$D$11-$B$3</f>
        <v>-8000</v>
      </c>
      <c r="C16" s="8" t="s">
        <v>18</v>
      </c>
      <c r="D16" s="9"/>
      <c r="E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18.75" x14ac:dyDescent="0.3">
      <c r="A17" s="10" t="s">
        <v>1</v>
      </c>
      <c r="B17" s="11">
        <f>$B$4</f>
        <v>1003</v>
      </c>
      <c r="C17" s="12" t="s">
        <v>11</v>
      </c>
      <c r="D17" s="13"/>
      <c r="E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ht="18.75" x14ac:dyDescent="0.3">
      <c r="A18" s="10" t="s">
        <v>21</v>
      </c>
      <c r="B18" s="11">
        <f>$B$5</f>
        <v>5</v>
      </c>
      <c r="C18" s="1" t="s">
        <v>11</v>
      </c>
      <c r="N18" s="14"/>
      <c r="O18" s="75"/>
      <c r="Q18" s="14"/>
      <c r="R18" s="15"/>
      <c r="S18" s="202"/>
      <c r="U18" s="14"/>
    </row>
    <row r="19" spans="1:21" ht="18.75" x14ac:dyDescent="0.3">
      <c r="A19" s="10"/>
      <c r="B19" s="16"/>
      <c r="C19" s="1"/>
      <c r="G19" s="14"/>
      <c r="N19" s="14"/>
      <c r="O19" s="14"/>
      <c r="Q19" s="14"/>
      <c r="R19" s="15"/>
      <c r="S19" s="14"/>
      <c r="U19" s="14"/>
    </row>
    <row r="20" spans="1:21" ht="18.75" x14ac:dyDescent="0.3">
      <c r="A20" s="123" t="s">
        <v>131</v>
      </c>
      <c r="B20" s="124">
        <f>$B$9</f>
        <v>193.7405</v>
      </c>
      <c r="C20" s="1" t="s">
        <v>11</v>
      </c>
      <c r="G20" s="14"/>
      <c r="N20" s="14"/>
      <c r="O20" s="14"/>
      <c r="Q20" s="14"/>
      <c r="R20" s="15"/>
      <c r="S20" s="14"/>
      <c r="U20" s="14"/>
    </row>
    <row r="21" spans="1:21" ht="30.75" x14ac:dyDescent="0.3">
      <c r="A21" s="123" t="s">
        <v>197</v>
      </c>
      <c r="B21" s="124">
        <f>(Input!$D$11-$B$3)/(PI()*($B$4/200)^2)*100</f>
        <v>-10125.074783507209</v>
      </c>
      <c r="C21" s="1" t="s">
        <v>11</v>
      </c>
      <c r="G21" s="14"/>
      <c r="N21" s="14"/>
      <c r="O21" s="14"/>
      <c r="Q21" s="14"/>
      <c r="R21" s="15"/>
      <c r="S21" s="14"/>
      <c r="U21" s="14"/>
    </row>
    <row r="22" spans="1:21" ht="30.75" x14ac:dyDescent="0.3">
      <c r="A22" s="123" t="s">
        <v>132</v>
      </c>
      <c r="B22" s="124">
        <f>SUM($B$9,$B$11,$B$20,$B$21)</f>
        <v>2791.043769539865</v>
      </c>
      <c r="C22" s="1" t="s">
        <v>11</v>
      </c>
      <c r="G22" s="14"/>
      <c r="N22" s="14"/>
      <c r="O22" s="14"/>
      <c r="Q22" s="14"/>
      <c r="R22" s="15"/>
      <c r="S22" s="14"/>
      <c r="U22" s="14"/>
    </row>
    <row r="23" spans="1:21" ht="18.75" x14ac:dyDescent="0.3">
      <c r="A23" s="17"/>
      <c r="B23" s="18"/>
      <c r="C23" s="2"/>
      <c r="E23" s="14"/>
    </row>
    <row r="25" spans="1:21" ht="15.75" x14ac:dyDescent="0.25">
      <c r="A25" s="201" t="s">
        <v>206</v>
      </c>
      <c r="B25" s="201"/>
      <c r="C25" s="201"/>
      <c r="K25" s="14"/>
    </row>
    <row r="26" spans="1:21" ht="30" x14ac:dyDescent="0.25">
      <c r="A26" s="38" t="s">
        <v>201</v>
      </c>
      <c r="B26" s="54">
        <f>($B$3+$B$16+$B$8)*8</f>
        <v>16807.221621600002</v>
      </c>
      <c r="C26" s="38" t="s">
        <v>205</v>
      </c>
      <c r="F26" s="70"/>
    </row>
    <row r="27" spans="1:21" ht="30" x14ac:dyDescent="0.25">
      <c r="A27" s="38" t="s">
        <v>199</v>
      </c>
      <c r="B27" s="54">
        <f>(PI()*(($B$4+2*$B$5)/200)^2*((($B$22+2*$B$5)-2*(0.1935*($B$4+4*$B$5)-0.455*$B$5))/100)+2*(0.1*(($B$4+2*$B$5)/100)^3))*8</f>
        <v>17199.973873212442</v>
      </c>
      <c r="C27" s="37" t="s">
        <v>205</v>
      </c>
      <c r="F27" s="70"/>
    </row>
    <row r="28" spans="1:21" ht="30" x14ac:dyDescent="0.25">
      <c r="A28" s="38" t="s">
        <v>204</v>
      </c>
      <c r="B28" s="54">
        <f>ROUNDUP($B$27-$B$26,-1)</f>
        <v>400</v>
      </c>
      <c r="C28" s="3" t="s">
        <v>205</v>
      </c>
      <c r="F28" s="70"/>
    </row>
    <row r="29" spans="1:21" x14ac:dyDescent="0.25">
      <c r="F29" s="70"/>
    </row>
    <row r="30" spans="1:21" x14ac:dyDescent="0.25">
      <c r="A30" s="9"/>
      <c r="F30" s="70"/>
      <c r="G30" s="59"/>
      <c r="J30" s="14"/>
      <c r="M30" s="14"/>
    </row>
    <row r="31" spans="1:21" x14ac:dyDescent="0.25">
      <c r="A31" s="9"/>
      <c r="B31" s="14"/>
      <c r="F31" s="70"/>
      <c r="M31" s="100"/>
    </row>
    <row r="33" spans="2:7" x14ac:dyDescent="0.25">
      <c r="F33" s="70"/>
      <c r="G33" s="59"/>
    </row>
    <row r="34" spans="2:7" x14ac:dyDescent="0.25">
      <c r="F34" s="70"/>
    </row>
    <row r="35" spans="2:7" x14ac:dyDescent="0.25">
      <c r="F35" s="70"/>
      <c r="G35" s="59"/>
    </row>
    <row r="39" spans="2:7" x14ac:dyDescent="0.25">
      <c r="B39" s="14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ADFED-FABF-46E7-AA79-CBBDBC2D0427}">
  <sheetPr>
    <tabColor theme="0" tint="-0.249977111117893"/>
  </sheetPr>
  <dimension ref="A1:R2049"/>
  <sheetViews>
    <sheetView topLeftCell="A21" workbookViewId="0">
      <selection activeCell="G45" sqref="G45"/>
    </sheetView>
  </sheetViews>
  <sheetFormatPr defaultRowHeight="15" x14ac:dyDescent="0.25"/>
  <cols>
    <col min="1" max="1" width="22.140625" customWidth="1"/>
    <col min="2" max="3" width="14.140625" bestFit="1" customWidth="1"/>
    <col min="5" max="5" width="18.42578125" customWidth="1"/>
    <col min="6" max="6" width="18.85546875" customWidth="1"/>
    <col min="7" max="7" width="12.7109375" bestFit="1" customWidth="1"/>
    <col min="14" max="14" width="12.140625" customWidth="1"/>
    <col min="15" max="15" width="13.5703125" customWidth="1"/>
    <col min="17" max="17" width="15.85546875" customWidth="1"/>
    <col min="18" max="18" width="12.7109375" bestFit="1" customWidth="1"/>
  </cols>
  <sheetData>
    <row r="1" spans="1:18" ht="15.75" thickBot="1" x14ac:dyDescent="0.3"/>
    <row r="2" spans="1:18" ht="15.75" thickBot="1" x14ac:dyDescent="0.3">
      <c r="A2" t="s">
        <v>89</v>
      </c>
      <c r="B2" t="str">
        <f>ZG!$B$44</f>
        <v>ZG9</v>
      </c>
      <c r="M2" s="288" t="s">
        <v>88</v>
      </c>
      <c r="N2" s="289"/>
      <c r="O2" s="289"/>
      <c r="P2" s="289"/>
      <c r="Q2" s="289"/>
      <c r="R2" s="290"/>
    </row>
    <row r="3" spans="1:18" ht="30" x14ac:dyDescent="0.25">
      <c r="A3" s="291" t="s">
        <v>60</v>
      </c>
      <c r="B3" s="292"/>
      <c r="C3" s="292"/>
      <c r="D3" s="292"/>
      <c r="E3" s="292"/>
      <c r="F3" s="293"/>
      <c r="M3" s="83"/>
      <c r="N3" s="70" t="s">
        <v>80</v>
      </c>
      <c r="O3" s="70" t="s">
        <v>81</v>
      </c>
      <c r="P3" s="70" t="s">
        <v>82</v>
      </c>
      <c r="Q3" s="70" t="s">
        <v>83</v>
      </c>
      <c r="R3" s="125" t="s">
        <v>84</v>
      </c>
    </row>
    <row r="4" spans="1:18" x14ac:dyDescent="0.25">
      <c r="A4" s="29"/>
      <c r="B4" t="s">
        <v>55</v>
      </c>
      <c r="C4" t="s">
        <v>56</v>
      </c>
      <c r="D4" t="s">
        <v>57</v>
      </c>
      <c r="E4" t="s">
        <v>58</v>
      </c>
      <c r="F4" s="30" t="s">
        <v>59</v>
      </c>
      <c r="M4" s="29" t="s">
        <v>24</v>
      </c>
      <c r="N4">
        <v>55</v>
      </c>
      <c r="O4" s="46">
        <v>6.21</v>
      </c>
      <c r="P4">
        <v>70</v>
      </c>
      <c r="Q4">
        <v>71.5</v>
      </c>
      <c r="R4" s="30">
        <v>18</v>
      </c>
    </row>
    <row r="5" spans="1:18" x14ac:dyDescent="0.25">
      <c r="A5" s="29" t="s">
        <v>54</v>
      </c>
      <c r="B5">
        <v>1</v>
      </c>
      <c r="C5">
        <v>1</v>
      </c>
      <c r="D5" s="100">
        <v>0.1</v>
      </c>
      <c r="E5" s="100">
        <v>0.1</v>
      </c>
      <c r="F5" s="101">
        <v>0.2</v>
      </c>
      <c r="M5" s="29" t="s">
        <v>25</v>
      </c>
      <c r="N5">
        <v>55</v>
      </c>
      <c r="O5" s="46">
        <v>10.1</v>
      </c>
      <c r="P5">
        <v>96</v>
      </c>
      <c r="Q5">
        <v>71.5</v>
      </c>
      <c r="R5" s="30">
        <v>18</v>
      </c>
    </row>
    <row r="6" spans="1:18" x14ac:dyDescent="0.25">
      <c r="A6" s="29"/>
      <c r="F6" s="30"/>
      <c r="M6" s="29" t="s">
        <v>26</v>
      </c>
      <c r="N6">
        <v>94</v>
      </c>
      <c r="O6" s="46">
        <v>6.63</v>
      </c>
      <c r="P6">
        <v>117</v>
      </c>
      <c r="Q6">
        <v>112</v>
      </c>
      <c r="R6" s="30">
        <v>32</v>
      </c>
    </row>
    <row r="7" spans="1:18" x14ac:dyDescent="0.25">
      <c r="A7" s="294" t="s">
        <v>61</v>
      </c>
      <c r="B7" s="249"/>
      <c r="C7" s="249"/>
      <c r="D7" s="249"/>
      <c r="E7" s="249"/>
      <c r="F7" s="295"/>
      <c r="M7" s="29" t="s">
        <v>27</v>
      </c>
      <c r="N7">
        <v>94</v>
      </c>
      <c r="O7" s="46">
        <v>7.92</v>
      </c>
      <c r="P7">
        <v>148</v>
      </c>
      <c r="Q7">
        <v>122</v>
      </c>
      <c r="R7" s="30">
        <v>32</v>
      </c>
    </row>
    <row r="8" spans="1:18" x14ac:dyDescent="0.25">
      <c r="A8" s="29" t="s">
        <v>77</v>
      </c>
      <c r="B8" s="73" t="s">
        <v>66</v>
      </c>
      <c r="C8" s="74">
        <v>0</v>
      </c>
      <c r="D8" s="71"/>
      <c r="E8" s="71"/>
      <c r="F8" s="72"/>
      <c r="M8" s="29" t="s">
        <v>28</v>
      </c>
      <c r="N8">
        <v>104</v>
      </c>
      <c r="O8" s="46">
        <v>9.49</v>
      </c>
      <c r="P8">
        <v>160</v>
      </c>
      <c r="Q8">
        <v>123.5</v>
      </c>
      <c r="R8" s="30">
        <v>32</v>
      </c>
    </row>
    <row r="9" spans="1:18" x14ac:dyDescent="0.25">
      <c r="A9" s="29" t="s">
        <v>74</v>
      </c>
      <c r="B9" t="s">
        <v>62</v>
      </c>
      <c r="C9">
        <f>Input!$D$9+(2*$C$8)</f>
        <v>1003</v>
      </c>
      <c r="F9" s="30"/>
      <c r="M9" s="29" t="s">
        <v>29</v>
      </c>
      <c r="N9">
        <v>129.5</v>
      </c>
      <c r="O9" s="46">
        <v>8.33</v>
      </c>
      <c r="P9">
        <v>177</v>
      </c>
      <c r="Q9">
        <v>127</v>
      </c>
      <c r="R9" s="30">
        <v>32</v>
      </c>
    </row>
    <row r="10" spans="1:18" x14ac:dyDescent="0.25">
      <c r="A10" s="29" t="s">
        <v>75</v>
      </c>
      <c r="B10" t="s">
        <v>56</v>
      </c>
      <c r="C10">
        <f>$C$9</f>
        <v>1003</v>
      </c>
      <c r="F10" s="30"/>
      <c r="M10" s="29" t="s">
        <v>30</v>
      </c>
      <c r="N10">
        <v>159.5</v>
      </c>
      <c r="O10" s="46">
        <v>25.01</v>
      </c>
      <c r="P10">
        <v>236</v>
      </c>
      <c r="Q10">
        <v>135</v>
      </c>
      <c r="R10" s="30">
        <v>40</v>
      </c>
    </row>
    <row r="11" spans="1:18" x14ac:dyDescent="0.25">
      <c r="A11" s="29" t="s">
        <v>76</v>
      </c>
      <c r="B11" t="s">
        <v>57</v>
      </c>
      <c r="C11">
        <f>0.1*$C$10</f>
        <v>100.30000000000001</v>
      </c>
      <c r="F11" s="30"/>
      <c r="M11" s="29" t="s">
        <v>31</v>
      </c>
      <c r="N11">
        <v>199.5</v>
      </c>
      <c r="O11" s="46">
        <v>23.39</v>
      </c>
      <c r="P11">
        <v>300</v>
      </c>
      <c r="Q11">
        <v>147</v>
      </c>
      <c r="R11" s="30">
        <v>40</v>
      </c>
    </row>
    <row r="12" spans="1:18" x14ac:dyDescent="0.25">
      <c r="A12" s="29"/>
      <c r="B12" t="s">
        <v>18</v>
      </c>
      <c r="C12" s="75">
        <f>($C$9/2-$C$11)*$C$10/($C$10-$C$11)</f>
        <v>445.77777777777771</v>
      </c>
      <c r="F12" s="30"/>
      <c r="M12" s="29" t="s">
        <v>32</v>
      </c>
      <c r="N12">
        <v>229.5</v>
      </c>
      <c r="O12" s="46">
        <v>25.44</v>
      </c>
      <c r="P12">
        <v>350</v>
      </c>
      <c r="Q12">
        <v>152</v>
      </c>
      <c r="R12" s="30">
        <v>40</v>
      </c>
    </row>
    <row r="13" spans="1:18" ht="30" x14ac:dyDescent="0.25">
      <c r="A13" s="83" t="s">
        <v>99</v>
      </c>
      <c r="B13" t="s">
        <v>63</v>
      </c>
      <c r="C13" s="75">
        <f>$C$10-((($C$10-$C$11)^2)-(($C$9/2-$C$11)^2))^(0.5)</f>
        <v>194.35554784565545</v>
      </c>
      <c r="F13" s="30"/>
      <c r="M13" s="29" t="s">
        <v>33</v>
      </c>
      <c r="N13">
        <v>55</v>
      </c>
      <c r="O13" s="46">
        <v>4.82</v>
      </c>
      <c r="P13">
        <v>66</v>
      </c>
      <c r="Q13">
        <v>71.27</v>
      </c>
      <c r="R13" s="30">
        <v>18</v>
      </c>
    </row>
    <row r="14" spans="1:18" ht="30" x14ac:dyDescent="0.25">
      <c r="A14" s="83" t="s">
        <v>100</v>
      </c>
      <c r="B14" t="s">
        <v>64</v>
      </c>
      <c r="C14" s="75">
        <f>$C$10*(1-(($C$10-$C$13)/($C$10-$C$11)))</f>
        <v>104.50616427295054</v>
      </c>
      <c r="F14" s="30"/>
      <c r="M14" s="29" t="s">
        <v>34</v>
      </c>
      <c r="N14">
        <v>94</v>
      </c>
      <c r="O14" s="46">
        <v>7</v>
      </c>
      <c r="P14">
        <v>103</v>
      </c>
      <c r="Q14">
        <v>122</v>
      </c>
      <c r="R14" s="30">
        <v>32</v>
      </c>
    </row>
    <row r="15" spans="1:18" ht="45" x14ac:dyDescent="0.25">
      <c r="A15" s="83" t="s">
        <v>101</v>
      </c>
      <c r="B15" t="s">
        <v>65</v>
      </c>
      <c r="C15" s="75">
        <f>$C$13-$C$14</f>
        <v>89.849383572704909</v>
      </c>
      <c r="F15" s="30"/>
      <c r="M15" s="29" t="s">
        <v>35</v>
      </c>
      <c r="N15">
        <v>159.5</v>
      </c>
      <c r="O15" s="46"/>
      <c r="P15">
        <v>136</v>
      </c>
      <c r="Q15" s="46"/>
      <c r="R15" s="30">
        <v>40</v>
      </c>
    </row>
    <row r="16" spans="1:18" ht="15.75" thickBot="1" x14ac:dyDescent="0.3">
      <c r="A16" s="95"/>
      <c r="B16" s="76" t="s">
        <v>121</v>
      </c>
      <c r="C16" s="77">
        <f>($C$9/2-$C$11)</f>
        <v>401.2</v>
      </c>
      <c r="D16" s="76" t="s">
        <v>122</v>
      </c>
      <c r="E16" s="76"/>
      <c r="F16" s="34"/>
      <c r="M16" s="29" t="s">
        <v>36</v>
      </c>
      <c r="N16">
        <v>80</v>
      </c>
      <c r="O16" s="46"/>
      <c r="P16">
        <v>77.2</v>
      </c>
      <c r="Q16" s="46"/>
      <c r="R16" s="30">
        <v>18</v>
      </c>
    </row>
    <row r="17" spans="1:18" ht="15.75" thickBot="1" x14ac:dyDescent="0.3">
      <c r="M17" s="29" t="s">
        <v>37</v>
      </c>
      <c r="N17">
        <v>114</v>
      </c>
      <c r="O17" s="46"/>
      <c r="P17">
        <v>119</v>
      </c>
      <c r="Q17" s="46"/>
      <c r="R17" s="30">
        <v>32</v>
      </c>
    </row>
    <row r="18" spans="1:18" ht="15.75" thickBot="1" x14ac:dyDescent="0.3">
      <c r="A18" s="288" t="s">
        <v>67</v>
      </c>
      <c r="B18" s="289"/>
      <c r="C18" s="289"/>
      <c r="D18" s="289"/>
      <c r="E18" s="289"/>
      <c r="F18" s="289"/>
      <c r="G18" s="35"/>
      <c r="M18" s="29" t="s">
        <v>38</v>
      </c>
      <c r="N18">
        <v>160</v>
      </c>
      <c r="O18" s="46"/>
      <c r="P18">
        <v>153.19999999999999</v>
      </c>
      <c r="Q18" s="46"/>
      <c r="R18" s="30">
        <v>40</v>
      </c>
    </row>
    <row r="19" spans="1:18" x14ac:dyDescent="0.25">
      <c r="A19" s="29" t="s">
        <v>79</v>
      </c>
      <c r="B19" s="71" t="s">
        <v>78</v>
      </c>
      <c r="C19" s="79">
        <f>IF($C$9&lt;1000,$C$12/2,$C$12*0.4)</f>
        <v>178.3111111111111</v>
      </c>
      <c r="E19" s="71"/>
      <c r="F19" s="71"/>
      <c r="G19" s="30"/>
      <c r="M19" s="29" t="s">
        <v>85</v>
      </c>
      <c r="O19" s="46"/>
      <c r="Q19" s="46"/>
      <c r="R19" s="30">
        <v>18</v>
      </c>
    </row>
    <row r="20" spans="1:18" x14ac:dyDescent="0.25">
      <c r="A20" s="83" t="s">
        <v>68</v>
      </c>
      <c r="B20" t="s">
        <v>71</v>
      </c>
      <c r="C20" s="80">
        <f>ASIN($C$19/$C$10)</f>
        <v>0.17872779475577341</v>
      </c>
      <c r="G20" s="30"/>
      <c r="M20" s="29" t="s">
        <v>86</v>
      </c>
      <c r="N20">
        <v>94</v>
      </c>
      <c r="O20" s="46"/>
      <c r="P20">
        <v>150</v>
      </c>
      <c r="Q20" s="46"/>
      <c r="R20" s="30">
        <v>32</v>
      </c>
    </row>
    <row r="21" spans="1:18" ht="30" x14ac:dyDescent="0.25">
      <c r="A21" s="83" t="s">
        <v>69</v>
      </c>
      <c r="B21" t="s">
        <v>72</v>
      </c>
      <c r="C21" s="81">
        <f>$C$10-(($C$10^2)-(VLOOKUP($B$2,$M$4:$R$23,2,FALSE)/2)^2)^0.5</f>
        <v>4.9724765819331651</v>
      </c>
      <c r="G21" s="30"/>
      <c r="M21" s="29" t="s">
        <v>87</v>
      </c>
      <c r="O21" s="46"/>
      <c r="Q21" s="46"/>
      <c r="R21" s="30">
        <v>40</v>
      </c>
    </row>
    <row r="22" spans="1:18" ht="30.75" thickBot="1" x14ac:dyDescent="0.3">
      <c r="A22" s="83" t="s">
        <v>70</v>
      </c>
      <c r="B22" t="s">
        <v>73</v>
      </c>
      <c r="C22" s="82">
        <f>$C$10-(($C$10^2-$C$19^2)^0.5)</f>
        <v>15.977129112845205</v>
      </c>
      <c r="G22" s="30"/>
      <c r="M22" s="29" t="s">
        <v>39</v>
      </c>
      <c r="N22">
        <v>109.5</v>
      </c>
      <c r="O22" s="46"/>
      <c r="Q22" s="46"/>
      <c r="R22" s="30"/>
    </row>
    <row r="23" spans="1:18" ht="15.75" thickBot="1" x14ac:dyDescent="0.3">
      <c r="A23" s="29"/>
      <c r="G23" s="30"/>
      <c r="M23" s="33" t="s">
        <v>40</v>
      </c>
      <c r="N23" s="76">
        <v>168</v>
      </c>
      <c r="O23" s="126"/>
      <c r="P23" s="76"/>
      <c r="Q23" s="126"/>
      <c r="R23" s="34"/>
    </row>
    <row r="24" spans="1:18" ht="29.25" customHeight="1" thickBot="1" x14ac:dyDescent="0.3">
      <c r="A24" s="296" t="s">
        <v>91</v>
      </c>
      <c r="B24" s="284"/>
      <c r="C24" s="284"/>
      <c r="E24" s="285" t="s">
        <v>92</v>
      </c>
      <c r="F24" s="285"/>
      <c r="G24" s="286"/>
      <c r="H24" s="78"/>
      <c r="I24" s="78"/>
      <c r="J24" s="78"/>
      <c r="K24" s="78"/>
    </row>
    <row r="25" spans="1:18" ht="30" x14ac:dyDescent="0.25">
      <c r="A25" s="83" t="s">
        <v>90</v>
      </c>
      <c r="B25" t="s">
        <v>93</v>
      </c>
      <c r="C25" s="84">
        <f>VLOOKUP($B$2,$M$4:$R$23,3,FALSE)</f>
        <v>23.39</v>
      </c>
      <c r="E25" s="70" t="s">
        <v>102</v>
      </c>
      <c r="F25" t="s">
        <v>96</v>
      </c>
      <c r="G25" s="84">
        <f>VLOOKUP($B$2,$M$4:$R$23,5,FALSE)</f>
        <v>147</v>
      </c>
    </row>
    <row r="26" spans="1:18" ht="45" x14ac:dyDescent="0.25">
      <c r="A26" s="29"/>
      <c r="B26" s="70" t="s">
        <v>94</v>
      </c>
      <c r="C26" s="85">
        <f>VLOOKUP($B$2,$M$4:$R$23,4,FALSE)*SIN($C$20)/2</f>
        <v>26.666666666666664</v>
      </c>
      <c r="F26" s="70" t="s">
        <v>97</v>
      </c>
      <c r="G26" s="85">
        <f>VLOOKUP($B$2,$M$4:$R$23,6,FALSE)*SIN($C$20)/2</f>
        <v>3.5555555555555554</v>
      </c>
    </row>
    <row r="27" spans="1:18" ht="15.75" thickBot="1" x14ac:dyDescent="0.3">
      <c r="A27" s="29" t="s">
        <v>91</v>
      </c>
      <c r="B27" s="59" t="s">
        <v>95</v>
      </c>
      <c r="C27" s="82">
        <f>($C$22+$C$21)*COS($C$20)+$C$25+$C$26</f>
        <v>70.672558946640777</v>
      </c>
      <c r="E27" t="s">
        <v>92</v>
      </c>
      <c r="F27" t="s">
        <v>98</v>
      </c>
      <c r="G27" s="88">
        <f>($C$22+$C$21)*COS($C$20)+G25+G26</f>
        <v>171.17144783552965</v>
      </c>
    </row>
    <row r="28" spans="1:18" x14ac:dyDescent="0.25">
      <c r="B28" s="59" t="s">
        <v>123</v>
      </c>
      <c r="C28" s="96">
        <f>$C$10-$C$27</f>
        <v>932.32744105335928</v>
      </c>
      <c r="F28" t="s">
        <v>124</v>
      </c>
      <c r="G28" s="30">
        <f>$C$10-$G$27</f>
        <v>831.82855216447035</v>
      </c>
    </row>
    <row r="29" spans="1:18" ht="27" customHeight="1" thickBot="1" x14ac:dyDescent="0.3">
      <c r="B29" s="284" t="s">
        <v>113</v>
      </c>
      <c r="C29" s="284"/>
      <c r="F29" s="285" t="s">
        <v>92</v>
      </c>
      <c r="G29" s="286"/>
      <c r="H29" s="59"/>
      <c r="I29" s="59"/>
      <c r="J29" s="59"/>
      <c r="K29" s="59"/>
    </row>
    <row r="30" spans="1:18" x14ac:dyDescent="0.25">
      <c r="A30" s="29" t="s">
        <v>103</v>
      </c>
      <c r="B30" t="s">
        <v>104</v>
      </c>
      <c r="C30" s="84">
        <f>-$C$10</f>
        <v>-1003</v>
      </c>
      <c r="F30" t="s">
        <v>104</v>
      </c>
      <c r="G30" s="84">
        <f>-$C$10</f>
        <v>-1003</v>
      </c>
      <c r="L30" s="59"/>
    </row>
    <row r="31" spans="1:18" x14ac:dyDescent="0.25">
      <c r="A31" s="29"/>
      <c r="B31" s="59" t="s">
        <v>105</v>
      </c>
      <c r="C31" s="87">
        <f>-$C$10+IF($C$27&lt;$C$14,$C$27,$C$14)</f>
        <v>-932.32744105335928</v>
      </c>
      <c r="F31" t="s">
        <v>105</v>
      </c>
      <c r="G31" s="87">
        <f>-$C$10+IF($G$27&lt;$C$14,$G$27,$C$14)</f>
        <v>-898.49383572704949</v>
      </c>
      <c r="L31" s="59"/>
    </row>
    <row r="32" spans="1:18" x14ac:dyDescent="0.25">
      <c r="A32" s="29"/>
      <c r="B32" s="59" t="s">
        <v>106</v>
      </c>
      <c r="C32" s="87">
        <f>($C$10^2)*($C$30)-(($C$30)^3)/3</f>
        <v>-672684684.66666675</v>
      </c>
      <c r="F32" t="s">
        <v>106</v>
      </c>
      <c r="G32" s="87">
        <f>($C$10^2)*($G$30)-(($G$30)^3)/3</f>
        <v>-672684684.66666675</v>
      </c>
      <c r="L32" s="59"/>
    </row>
    <row r="33" spans="1:15" x14ac:dyDescent="0.25">
      <c r="A33" s="29"/>
      <c r="B33" t="s">
        <v>107</v>
      </c>
      <c r="C33" s="87">
        <f>($C$10^2)*($C$31)-(($C$31)^3)/3</f>
        <v>-667792750.88390291</v>
      </c>
      <c r="F33" t="s">
        <v>107</v>
      </c>
      <c r="G33" s="87">
        <f>($C$10^2)*($G$31)-(($G$31)^3)/3</f>
        <v>-662110837.70821452</v>
      </c>
      <c r="L33" s="59"/>
    </row>
    <row r="34" spans="1:15" ht="15.75" thickBot="1" x14ac:dyDescent="0.3">
      <c r="A34" s="29"/>
      <c r="B34" t="s">
        <v>19</v>
      </c>
      <c r="C34" s="88">
        <f>($C$33-$C$32)*PI()</f>
        <v>15368463.233778603</v>
      </c>
      <c r="F34" t="s">
        <v>19</v>
      </c>
      <c r="G34" s="88">
        <f>($G$33-$G$32)*PI()</f>
        <v>33218719.924856286</v>
      </c>
      <c r="L34" s="59"/>
    </row>
    <row r="35" spans="1:15" ht="15.75" thickBot="1" x14ac:dyDescent="0.3">
      <c r="A35" s="29"/>
      <c r="G35" s="30"/>
    </row>
    <row r="36" spans="1:15" x14ac:dyDescent="0.25">
      <c r="A36" s="29" t="s">
        <v>61</v>
      </c>
      <c r="B36" t="s">
        <v>104</v>
      </c>
      <c r="C36" s="84">
        <f>IF($C$27&gt;$C$14,$C$14,0)</f>
        <v>0</v>
      </c>
      <c r="F36" t="s">
        <v>104</v>
      </c>
      <c r="G36" s="84">
        <f>IF($G$27&gt;$C$14,$C$14,0)</f>
        <v>104.50616427295054</v>
      </c>
      <c r="L36" s="59"/>
    </row>
    <row r="37" spans="1:15" x14ac:dyDescent="0.25">
      <c r="A37" s="29"/>
      <c r="B37" t="s">
        <v>105</v>
      </c>
      <c r="C37" s="87">
        <f>IF($C$27&gt;$C$14,IF($C$13&gt;$C$27,$C$27,$C$13),0)</f>
        <v>0</v>
      </c>
      <c r="F37" t="s">
        <v>105</v>
      </c>
      <c r="G37" s="92">
        <f>IF($G$27&gt;$C$14,IF($C$13&gt;$G$27,$G$27,$C$13),0)</f>
        <v>171.17144783552965</v>
      </c>
      <c r="O37" s="59"/>
    </row>
    <row r="38" spans="1:15" ht="15.75" thickBot="1" x14ac:dyDescent="0.3">
      <c r="A38" s="29"/>
      <c r="B38" t="s">
        <v>19</v>
      </c>
      <c r="C38" s="86">
        <f>SUM($E$50:$E$2049)*PI()</f>
        <v>0</v>
      </c>
      <c r="F38" t="s">
        <v>19</v>
      </c>
      <c r="G38" s="86">
        <f>SUM($K$50:$K$2048)*PI()</f>
        <v>48362100.558174156</v>
      </c>
      <c r="L38" s="59"/>
    </row>
    <row r="39" spans="1:15" ht="15.75" thickBot="1" x14ac:dyDescent="0.3">
      <c r="A39" s="29"/>
      <c r="G39" s="30"/>
    </row>
    <row r="40" spans="1:15" x14ac:dyDescent="0.25">
      <c r="A40" s="29" t="s">
        <v>108</v>
      </c>
      <c r="B40" t="s">
        <v>104</v>
      </c>
      <c r="C40" s="84">
        <f>IF($C$33&gt;$G$25,0,0)</f>
        <v>0</v>
      </c>
      <c r="F40" t="s">
        <v>104</v>
      </c>
      <c r="G40" s="84">
        <f>IF($G$33&gt;$G$25,0,0)</f>
        <v>0</v>
      </c>
      <c r="O40" s="59"/>
    </row>
    <row r="41" spans="1:15" x14ac:dyDescent="0.25">
      <c r="A41" s="29"/>
      <c r="B41" t="s">
        <v>105</v>
      </c>
      <c r="C41" s="87">
        <f>IF($C$27&gt;$C$13,$C$27-$C$13,D41)</f>
        <v>0</v>
      </c>
      <c r="F41" t="s">
        <v>105</v>
      </c>
      <c r="G41" s="87">
        <f>IF($G$27&gt;$C$13,$G$27-$C$13,0)</f>
        <v>0</v>
      </c>
      <c r="L41" s="59"/>
      <c r="O41" s="59"/>
    </row>
    <row r="42" spans="1:15" ht="15.75" thickBot="1" x14ac:dyDescent="0.3">
      <c r="A42" s="29"/>
      <c r="B42" t="s">
        <v>19</v>
      </c>
      <c r="C42" s="88">
        <f>PI()*($C$9^2)*$C$41/4</f>
        <v>0</v>
      </c>
      <c r="F42" t="s">
        <v>19</v>
      </c>
      <c r="G42" s="86">
        <f>PI()*($C$9^2)*$G$41/4</f>
        <v>0</v>
      </c>
      <c r="L42" s="59"/>
      <c r="O42" s="59"/>
    </row>
    <row r="43" spans="1:15" ht="15.75" thickBot="1" x14ac:dyDescent="0.3">
      <c r="A43" s="29"/>
      <c r="G43" s="30"/>
    </row>
    <row r="44" spans="1:15" ht="30" x14ac:dyDescent="0.25">
      <c r="A44" s="89" t="s">
        <v>109</v>
      </c>
      <c r="C44" s="84">
        <f>$C$34+$C$38+$C$42</f>
        <v>15368463.233778603</v>
      </c>
      <c r="F44" s="9" t="s">
        <v>111</v>
      </c>
      <c r="G44" s="84">
        <f>$G$34+$G$38+$G$42</f>
        <v>81580820.483030438</v>
      </c>
    </row>
    <row r="45" spans="1:15" ht="30.75" thickBot="1" x14ac:dyDescent="0.3">
      <c r="A45" s="90" t="s">
        <v>110</v>
      </c>
      <c r="B45" s="76"/>
      <c r="C45" s="93">
        <f>$C$44/10^6</f>
        <v>15.368463233778604</v>
      </c>
      <c r="D45" s="76"/>
      <c r="E45" s="76"/>
      <c r="F45" s="91" t="s">
        <v>112</v>
      </c>
      <c r="G45" s="93">
        <f>$G$44/10^6</f>
        <v>81.580820483030436</v>
      </c>
    </row>
    <row r="46" spans="1:15" x14ac:dyDescent="0.25">
      <c r="A46" s="36"/>
      <c r="B46" s="94"/>
      <c r="C46" s="94"/>
      <c r="D46" s="94"/>
      <c r="E46" s="94"/>
      <c r="F46" s="94"/>
      <c r="G46" s="94"/>
      <c r="H46" s="94"/>
      <c r="I46" s="94"/>
      <c r="J46" s="94"/>
      <c r="K46" s="35"/>
    </row>
    <row r="47" spans="1:15" ht="24" customHeight="1" x14ac:dyDescent="0.25">
      <c r="A47" s="287" t="s">
        <v>114</v>
      </c>
      <c r="B47" s="285"/>
      <c r="C47" s="285"/>
      <c r="D47" s="285"/>
      <c r="E47" s="285"/>
      <c r="F47" s="285"/>
      <c r="G47" s="285"/>
      <c r="H47" s="285"/>
      <c r="I47" s="285"/>
      <c r="J47" s="285"/>
      <c r="K47" s="286"/>
    </row>
    <row r="48" spans="1:15" x14ac:dyDescent="0.25">
      <c r="A48" s="287" t="s">
        <v>115</v>
      </c>
      <c r="B48" s="285"/>
      <c r="C48" s="285"/>
      <c r="D48" s="285"/>
      <c r="E48" s="285"/>
      <c r="G48" s="285" t="s">
        <v>120</v>
      </c>
      <c r="H48" s="285"/>
      <c r="I48" s="285"/>
      <c r="J48" s="285"/>
      <c r="K48" s="286"/>
    </row>
    <row r="49" spans="1:14" x14ac:dyDescent="0.25">
      <c r="A49" s="29"/>
      <c r="B49" t="s">
        <v>116</v>
      </c>
      <c r="C49" t="s">
        <v>117</v>
      </c>
      <c r="D49" t="s">
        <v>118</v>
      </c>
      <c r="E49" t="s">
        <v>119</v>
      </c>
      <c r="H49" t="s">
        <v>116</v>
      </c>
      <c r="I49" t="s">
        <v>117</v>
      </c>
      <c r="J49" t="s">
        <v>118</v>
      </c>
      <c r="K49" s="30" t="s">
        <v>119</v>
      </c>
    </row>
    <row r="50" spans="1:14" x14ac:dyDescent="0.25">
      <c r="A50" s="29">
        <v>0</v>
      </c>
      <c r="B50" s="99">
        <v>0</v>
      </c>
      <c r="C50" s="75">
        <f>$C$14</f>
        <v>104.50616427295054</v>
      </c>
      <c r="D50" s="100">
        <f>IF($G$28&lt;$C$14,0,((($C$11^2)-((C50-$C$13)^2))^0.5)+$C$16)</f>
        <v>445.77777777777789</v>
      </c>
      <c r="E50">
        <f>((D50^2)+(D50*D51)+(D51^2))*B51/3</f>
        <v>0</v>
      </c>
      <c r="G50">
        <v>0</v>
      </c>
      <c r="H50">
        <v>0</v>
      </c>
      <c r="I50" s="75">
        <f>$C$14</f>
        <v>104.50616427295054</v>
      </c>
      <c r="J50">
        <f>IF($G$28&lt;$C$14,0,((($C$11^2)-((I50-$C$13)^2))^0.5)+$C$16)</f>
        <v>445.77777777777789</v>
      </c>
      <c r="K50" s="30">
        <f>((J50^2)+(J50*J51)+(J51^2))*H51/3</f>
        <v>6624.7875473826507</v>
      </c>
      <c r="M50" s="59"/>
      <c r="N50" s="59"/>
    </row>
    <row r="51" spans="1:14" x14ac:dyDescent="0.25">
      <c r="A51" s="29">
        <v>1</v>
      </c>
      <c r="B51" s="99">
        <f>C51-C50</f>
        <v>0</v>
      </c>
      <c r="C51" s="75">
        <f>($C$37-$C$36)/2000+C50</f>
        <v>104.50616427295054</v>
      </c>
      <c r="D51" s="100">
        <f>IF($G$28&lt;$C$14,0,((($C$11^2)-((C51-$C$13)^2))^0.5)+$C$16)</f>
        <v>445.77777777777789</v>
      </c>
      <c r="E51">
        <f t="shared" ref="E51:E114" si="0">((D51^2)+(D51*D52)+(D52^2))*B52/3</f>
        <v>0</v>
      </c>
      <c r="G51">
        <v>1</v>
      </c>
      <c r="H51" s="15">
        <f>I51-I50</f>
        <v>3.3332641781285588E-2</v>
      </c>
      <c r="I51">
        <f>($G$27-$C$14)/2000+I50</f>
        <v>104.53949691473183</v>
      </c>
      <c r="J51">
        <f t="shared" ref="J51:J114" si="1">IF($G$28&lt;$C$14,0,((($C$11^2)-((I51-$C$13)^2))^0.5)+$C$16)</f>
        <v>445.84489887068548</v>
      </c>
      <c r="K51" s="30">
        <f t="shared" ref="K51:K114" si="2">((J51^2)+(J51*J52)+(J52^2))*H52/3</f>
        <v>6626.7806788710004</v>
      </c>
      <c r="M51" s="59"/>
    </row>
    <row r="52" spans="1:14" x14ac:dyDescent="0.25">
      <c r="A52" s="29">
        <v>2</v>
      </c>
      <c r="B52" s="99">
        <f t="shared" ref="B52:B115" si="3">C52-C51</f>
        <v>0</v>
      </c>
      <c r="C52" s="75">
        <f t="shared" ref="C52:C58" si="4">($C$37-$C$36)/2000+C51</f>
        <v>104.50616427295054</v>
      </c>
      <c r="D52" s="100">
        <f t="shared" ref="D52:D115" si="5">IF($G$28&lt;$C$14,0,((($C$11^2)-((C52-$C$13)^2))^0.5)+$C$16)</f>
        <v>445.77777777777789</v>
      </c>
      <c r="E52">
        <f t="shared" si="0"/>
        <v>0</v>
      </c>
      <c r="G52">
        <v>2</v>
      </c>
      <c r="H52" s="15">
        <f t="shared" ref="H52:H115" si="6">I52-I51</f>
        <v>3.3332641781285588E-2</v>
      </c>
      <c r="I52">
        <f t="shared" ref="I52:I115" si="7">($G$27-$C$14)/2000+I51</f>
        <v>104.57282955651311</v>
      </c>
      <c r="J52">
        <f t="shared" si="1"/>
        <v>445.91189435276152</v>
      </c>
      <c r="K52" s="30">
        <f t="shared" si="2"/>
        <v>6628.7703842276233</v>
      </c>
      <c r="M52" s="59"/>
    </row>
    <row r="53" spans="1:14" x14ac:dyDescent="0.25">
      <c r="A53" s="29">
        <v>3</v>
      </c>
      <c r="B53" s="99">
        <f t="shared" si="3"/>
        <v>0</v>
      </c>
      <c r="C53" s="75">
        <f t="shared" si="4"/>
        <v>104.50616427295054</v>
      </c>
      <c r="D53" s="100">
        <f t="shared" si="5"/>
        <v>445.77777777777789</v>
      </c>
      <c r="E53">
        <f t="shared" si="0"/>
        <v>0</v>
      </c>
      <c r="G53">
        <v>3</v>
      </c>
      <c r="H53" s="15">
        <f t="shared" si="6"/>
        <v>3.3332641781285588E-2</v>
      </c>
      <c r="I53">
        <f t="shared" si="7"/>
        <v>104.6061621982944</v>
      </c>
      <c r="J53">
        <f t="shared" si="1"/>
        <v>445.97876478780165</v>
      </c>
      <c r="K53" s="30">
        <f t="shared" si="2"/>
        <v>6630.7566784728624</v>
      </c>
    </row>
    <row r="54" spans="1:14" x14ac:dyDescent="0.25">
      <c r="A54" s="29">
        <v>4</v>
      </c>
      <c r="B54" s="99">
        <f t="shared" si="3"/>
        <v>0</v>
      </c>
      <c r="C54" s="75">
        <f t="shared" si="4"/>
        <v>104.50616427295054</v>
      </c>
      <c r="D54" s="100">
        <f t="shared" si="5"/>
        <v>445.77777777777789</v>
      </c>
      <c r="E54">
        <f t="shared" si="0"/>
        <v>0</v>
      </c>
      <c r="G54">
        <v>4</v>
      </c>
      <c r="H54" s="15">
        <f t="shared" si="6"/>
        <v>3.3332641781285588E-2</v>
      </c>
      <c r="I54">
        <f t="shared" si="7"/>
        <v>104.63949484007568</v>
      </c>
      <c r="J54">
        <f t="shared" si="1"/>
        <v>446.04551073518957</v>
      </c>
      <c r="K54" s="30">
        <f t="shared" si="2"/>
        <v>6632.7395765097144</v>
      </c>
    </row>
    <row r="55" spans="1:14" x14ac:dyDescent="0.25">
      <c r="A55" s="29">
        <v>5</v>
      </c>
      <c r="B55" s="99">
        <f t="shared" si="3"/>
        <v>0</v>
      </c>
      <c r="C55" s="75">
        <f t="shared" si="4"/>
        <v>104.50616427295054</v>
      </c>
      <c r="D55" s="100">
        <f t="shared" si="5"/>
        <v>445.77777777777789</v>
      </c>
      <c r="E55">
        <f t="shared" si="0"/>
        <v>0</v>
      </c>
      <c r="G55">
        <v>5</v>
      </c>
      <c r="H55" s="15">
        <f t="shared" si="6"/>
        <v>3.3332641781285588E-2</v>
      </c>
      <c r="I55">
        <f t="shared" si="7"/>
        <v>104.67282748185697</v>
      </c>
      <c r="J55">
        <f t="shared" si="1"/>
        <v>446.11213274994549</v>
      </c>
      <c r="K55" s="30">
        <f t="shared" si="2"/>
        <v>6634.7190931250952</v>
      </c>
    </row>
    <row r="56" spans="1:14" x14ac:dyDescent="0.25">
      <c r="A56" s="29">
        <v>6</v>
      </c>
      <c r="B56" s="99">
        <f t="shared" si="3"/>
        <v>0</v>
      </c>
      <c r="C56" s="75">
        <f t="shared" si="4"/>
        <v>104.50616427295054</v>
      </c>
      <c r="D56" s="100">
        <f t="shared" si="5"/>
        <v>445.77777777777789</v>
      </c>
      <c r="E56">
        <f t="shared" si="0"/>
        <v>0</v>
      </c>
      <c r="G56">
        <v>6</v>
      </c>
      <c r="H56" s="15">
        <f t="shared" si="6"/>
        <v>3.3332641781285588E-2</v>
      </c>
      <c r="I56">
        <f t="shared" si="7"/>
        <v>104.70616012363826</v>
      </c>
      <c r="J56">
        <f t="shared" si="1"/>
        <v>446.17863138277369</v>
      </c>
      <c r="K56" s="30">
        <f t="shared" si="2"/>
        <v>6636.6952429911253</v>
      </c>
    </row>
    <row r="57" spans="1:14" x14ac:dyDescent="0.25">
      <c r="A57" s="29">
        <v>7</v>
      </c>
      <c r="B57" s="99">
        <f t="shared" si="3"/>
        <v>0</v>
      </c>
      <c r="C57" s="75">
        <f t="shared" si="4"/>
        <v>104.50616427295054</v>
      </c>
      <c r="D57" s="100">
        <f t="shared" si="5"/>
        <v>445.77777777777789</v>
      </c>
      <c r="E57">
        <f t="shared" si="0"/>
        <v>0</v>
      </c>
      <c r="G57">
        <v>7</v>
      </c>
      <c r="H57" s="15">
        <f t="shared" si="6"/>
        <v>3.3332641781285588E-2</v>
      </c>
      <c r="I57">
        <f t="shared" si="7"/>
        <v>104.73949276541954</v>
      </c>
      <c r="J57">
        <f t="shared" si="1"/>
        <v>446.24500718010961</v>
      </c>
      <c r="K57" s="30">
        <f t="shared" si="2"/>
        <v>6638.6680406663627</v>
      </c>
    </row>
    <row r="58" spans="1:14" x14ac:dyDescent="0.25">
      <c r="A58" s="29">
        <v>8</v>
      </c>
      <c r="B58" s="99">
        <f t="shared" si="3"/>
        <v>0</v>
      </c>
      <c r="C58" s="75">
        <f t="shared" si="4"/>
        <v>104.50616427295054</v>
      </c>
      <c r="D58" s="100">
        <f t="shared" si="5"/>
        <v>445.77777777777789</v>
      </c>
      <c r="E58">
        <f t="shared" si="0"/>
        <v>0</v>
      </c>
      <c r="G58">
        <v>8</v>
      </c>
      <c r="H58" s="15">
        <f t="shared" si="6"/>
        <v>3.3332641781285588E-2</v>
      </c>
      <c r="I58">
        <f t="shared" si="7"/>
        <v>104.77282540720083</v>
      </c>
      <c r="J58">
        <f t="shared" si="1"/>
        <v>446.3112606841662</v>
      </c>
      <c r="K58" s="30">
        <f t="shared" si="2"/>
        <v>6640.6375005970467</v>
      </c>
    </row>
    <row r="59" spans="1:14" x14ac:dyDescent="0.25">
      <c r="A59" s="29">
        <v>9</v>
      </c>
      <c r="B59" s="99">
        <f t="shared" si="3"/>
        <v>0</v>
      </c>
      <c r="C59" s="75">
        <f t="shared" ref="C59:C64" si="8">($C$37-$C$36)/2000+C58</f>
        <v>104.50616427295054</v>
      </c>
      <c r="D59" s="100">
        <f t="shared" si="5"/>
        <v>445.77777777777789</v>
      </c>
      <c r="E59">
        <f t="shared" si="0"/>
        <v>0</v>
      </c>
      <c r="G59">
        <v>9</v>
      </c>
      <c r="H59" s="15">
        <f t="shared" si="6"/>
        <v>3.3332641781285588E-2</v>
      </c>
      <c r="I59">
        <f t="shared" si="7"/>
        <v>104.80615804898211</v>
      </c>
      <c r="J59">
        <f t="shared" si="1"/>
        <v>446.37739243297978</v>
      </c>
      <c r="K59" s="30">
        <f t="shared" si="2"/>
        <v>6642.60363711831</v>
      </c>
    </row>
    <row r="60" spans="1:14" x14ac:dyDescent="0.25">
      <c r="A60" s="29">
        <v>10</v>
      </c>
      <c r="B60" s="99">
        <f t="shared" si="3"/>
        <v>0</v>
      </c>
      <c r="C60" s="75">
        <f t="shared" si="8"/>
        <v>104.50616427295054</v>
      </c>
      <c r="D60" s="100">
        <f t="shared" si="5"/>
        <v>445.77777777777789</v>
      </c>
      <c r="E60">
        <f t="shared" si="0"/>
        <v>0</v>
      </c>
      <c r="G60">
        <v>10</v>
      </c>
      <c r="H60" s="15">
        <f t="shared" si="6"/>
        <v>3.3332641781285588E-2</v>
      </c>
      <c r="I60">
        <f t="shared" si="7"/>
        <v>104.8394906907634</v>
      </c>
      <c r="J60">
        <f t="shared" si="1"/>
        <v>446.44340296045493</v>
      </c>
      <c r="K60" s="30">
        <f t="shared" si="2"/>
        <v>6644.566464455369</v>
      </c>
    </row>
    <row r="61" spans="1:14" x14ac:dyDescent="0.25">
      <c r="A61" s="29">
        <v>11</v>
      </c>
      <c r="B61" s="99">
        <f t="shared" si="3"/>
        <v>0</v>
      </c>
      <c r="C61" s="75">
        <f t="shared" si="8"/>
        <v>104.50616427295054</v>
      </c>
      <c r="D61" s="100">
        <f t="shared" si="5"/>
        <v>445.77777777777789</v>
      </c>
      <c r="E61">
        <f t="shared" si="0"/>
        <v>0</v>
      </c>
      <c r="G61">
        <v>11</v>
      </c>
      <c r="H61" s="15">
        <f t="shared" si="6"/>
        <v>3.3332641781285588E-2</v>
      </c>
      <c r="I61">
        <f t="shared" si="7"/>
        <v>104.87282333254468</v>
      </c>
      <c r="J61">
        <f t="shared" si="1"/>
        <v>446.50929279640906</v>
      </c>
      <c r="K61" s="30">
        <f t="shared" si="2"/>
        <v>6646.5259967247157</v>
      </c>
    </row>
    <row r="62" spans="1:14" x14ac:dyDescent="0.25">
      <c r="A62" s="29">
        <v>12</v>
      </c>
      <c r="B62" s="99">
        <f t="shared" si="3"/>
        <v>0</v>
      </c>
      <c r="C62" s="75">
        <f t="shared" si="8"/>
        <v>104.50616427295054</v>
      </c>
      <c r="D62" s="100">
        <f t="shared" si="5"/>
        <v>445.77777777777789</v>
      </c>
      <c r="E62">
        <f t="shared" si="0"/>
        <v>0</v>
      </c>
      <c r="G62">
        <v>12</v>
      </c>
      <c r="H62" s="15">
        <f t="shared" si="6"/>
        <v>3.3332641781285588E-2</v>
      </c>
      <c r="I62">
        <f t="shared" si="7"/>
        <v>104.90615597432597</v>
      </c>
      <c r="J62">
        <f t="shared" si="1"/>
        <v>446.57506246661637</v>
      </c>
      <c r="K62" s="30">
        <f t="shared" si="2"/>
        <v>6648.482247935277</v>
      </c>
    </row>
    <row r="63" spans="1:14" x14ac:dyDescent="0.25">
      <c r="A63" s="29">
        <v>13</v>
      </c>
      <c r="B63" s="99">
        <f t="shared" si="3"/>
        <v>0</v>
      </c>
      <c r="C63" s="75">
        <f t="shared" si="8"/>
        <v>104.50616427295054</v>
      </c>
      <c r="D63" s="100">
        <f t="shared" si="5"/>
        <v>445.77777777777789</v>
      </c>
      <c r="E63">
        <f t="shared" si="0"/>
        <v>0</v>
      </c>
      <c r="G63">
        <v>13</v>
      </c>
      <c r="H63" s="15">
        <f t="shared" si="6"/>
        <v>3.3332641781285588E-2</v>
      </c>
      <c r="I63">
        <f t="shared" si="7"/>
        <v>104.93948861610725</v>
      </c>
      <c r="J63">
        <f t="shared" si="1"/>
        <v>446.64071249285081</v>
      </c>
      <c r="K63" s="30">
        <f t="shared" si="2"/>
        <v>6650.4352319895579</v>
      </c>
    </row>
    <row r="64" spans="1:14" x14ac:dyDescent="0.25">
      <c r="A64" s="29">
        <v>14</v>
      </c>
      <c r="B64" s="99">
        <f t="shared" si="3"/>
        <v>0</v>
      </c>
      <c r="C64" s="75">
        <f t="shared" si="8"/>
        <v>104.50616427295054</v>
      </c>
      <c r="D64" s="100">
        <f t="shared" si="5"/>
        <v>445.77777777777789</v>
      </c>
      <c r="E64">
        <f t="shared" si="0"/>
        <v>0</v>
      </c>
      <c r="G64">
        <v>14</v>
      </c>
      <c r="H64" s="15">
        <f t="shared" si="6"/>
        <v>3.3332641781285588E-2</v>
      </c>
      <c r="I64">
        <f t="shared" si="7"/>
        <v>104.97282125788854</v>
      </c>
      <c r="J64">
        <f t="shared" si="1"/>
        <v>446.70624339292914</v>
      </c>
      <c r="K64" s="30">
        <f t="shared" si="2"/>
        <v>6652.3849626847887</v>
      </c>
    </row>
    <row r="65" spans="1:11" x14ac:dyDescent="0.25">
      <c r="A65" s="29">
        <v>15</v>
      </c>
      <c r="B65" s="99">
        <f t="shared" si="3"/>
        <v>0</v>
      </c>
      <c r="C65" s="75">
        <f t="shared" ref="C65:C79" si="9">($C$37-$C$36)/2000+C64</f>
        <v>104.50616427295054</v>
      </c>
      <c r="D65" s="100">
        <f t="shared" si="5"/>
        <v>445.77777777777789</v>
      </c>
      <c r="E65">
        <f t="shared" si="0"/>
        <v>0</v>
      </c>
      <c r="G65">
        <v>15</v>
      </c>
      <c r="H65" s="15">
        <f t="shared" si="6"/>
        <v>3.3332641781285588E-2</v>
      </c>
      <c r="I65">
        <f t="shared" si="7"/>
        <v>105.00615389966983</v>
      </c>
      <c r="J65">
        <f t="shared" si="1"/>
        <v>446.77165568075259</v>
      </c>
      <c r="K65" s="30">
        <f t="shared" si="2"/>
        <v>6654.3314537140286</v>
      </c>
    </row>
    <row r="66" spans="1:11" x14ac:dyDescent="0.25">
      <c r="A66" s="29">
        <v>16</v>
      </c>
      <c r="B66" s="99">
        <f t="shared" si="3"/>
        <v>0</v>
      </c>
      <c r="C66" s="75">
        <f t="shared" si="9"/>
        <v>104.50616427295054</v>
      </c>
      <c r="D66" s="100">
        <f t="shared" si="5"/>
        <v>445.77777777777789</v>
      </c>
      <c r="E66">
        <f t="shared" si="0"/>
        <v>0</v>
      </c>
      <c r="G66">
        <v>16</v>
      </c>
      <c r="H66" s="15">
        <f t="shared" si="6"/>
        <v>3.3332641781285588E-2</v>
      </c>
      <c r="I66">
        <f t="shared" si="7"/>
        <v>105.03948654145111</v>
      </c>
      <c r="J66">
        <f t="shared" si="1"/>
        <v>446.83694986634856</v>
      </c>
      <c r="K66" s="30">
        <f t="shared" si="2"/>
        <v>6656.2747186672777</v>
      </c>
    </row>
    <row r="67" spans="1:11" x14ac:dyDescent="0.25">
      <c r="A67" s="29">
        <v>17</v>
      </c>
      <c r="B67" s="99">
        <f t="shared" si="3"/>
        <v>0</v>
      </c>
      <c r="C67" s="75">
        <f t="shared" si="9"/>
        <v>104.50616427295054</v>
      </c>
      <c r="D67" s="100">
        <f t="shared" si="5"/>
        <v>445.77777777777789</v>
      </c>
      <c r="E67">
        <f t="shared" si="0"/>
        <v>0</v>
      </c>
      <c r="G67">
        <v>17</v>
      </c>
      <c r="H67" s="15">
        <f t="shared" si="6"/>
        <v>3.3332641781285588E-2</v>
      </c>
      <c r="I67">
        <f t="shared" si="7"/>
        <v>105.0728191832324</v>
      </c>
      <c r="J67">
        <f t="shared" si="1"/>
        <v>446.90212645591168</v>
      </c>
      <c r="K67" s="30">
        <f t="shared" si="2"/>
        <v>6658.2147710325553</v>
      </c>
    </row>
    <row r="68" spans="1:11" x14ac:dyDescent="0.25">
      <c r="A68" s="29">
        <v>18</v>
      </c>
      <c r="B68" s="99">
        <f t="shared" si="3"/>
        <v>0</v>
      </c>
      <c r="C68" s="75">
        <f t="shared" si="9"/>
        <v>104.50616427295054</v>
      </c>
      <c r="D68" s="100">
        <f t="shared" si="5"/>
        <v>445.77777777777789</v>
      </c>
      <c r="E68">
        <f t="shared" si="0"/>
        <v>0</v>
      </c>
      <c r="G68">
        <v>18</v>
      </c>
      <c r="H68" s="15">
        <f t="shared" si="6"/>
        <v>3.3332641781285588E-2</v>
      </c>
      <c r="I68">
        <f t="shared" si="7"/>
        <v>105.10615182501368</v>
      </c>
      <c r="J68">
        <f t="shared" si="1"/>
        <v>446.96718595184387</v>
      </c>
      <c r="K68" s="30">
        <f t="shared" si="2"/>
        <v>6660.151624196983</v>
      </c>
    </row>
    <row r="69" spans="1:11" x14ac:dyDescent="0.25">
      <c r="A69" s="29">
        <v>19</v>
      </c>
      <c r="B69" s="99">
        <f t="shared" si="3"/>
        <v>0</v>
      </c>
      <c r="C69" s="75">
        <f t="shared" si="9"/>
        <v>104.50616427295054</v>
      </c>
      <c r="D69" s="100">
        <f t="shared" si="5"/>
        <v>445.77777777777789</v>
      </c>
      <c r="E69">
        <f t="shared" si="0"/>
        <v>0</v>
      </c>
      <c r="G69">
        <v>19</v>
      </c>
      <c r="H69" s="15">
        <f t="shared" si="6"/>
        <v>3.3332641781285588E-2</v>
      </c>
      <c r="I69">
        <f t="shared" si="7"/>
        <v>105.13948446679497</v>
      </c>
      <c r="J69">
        <f t="shared" si="1"/>
        <v>447.03212885279441</v>
      </c>
      <c r="K69" s="30">
        <f t="shared" si="2"/>
        <v>6662.0852914478337</v>
      </c>
    </row>
    <row r="70" spans="1:11" x14ac:dyDescent="0.25">
      <c r="A70" s="29">
        <v>20</v>
      </c>
      <c r="B70" s="99">
        <f t="shared" si="3"/>
        <v>0</v>
      </c>
      <c r="C70" s="75">
        <f t="shared" si="9"/>
        <v>104.50616427295054</v>
      </c>
      <c r="D70" s="100">
        <f t="shared" si="5"/>
        <v>445.77777777777789</v>
      </c>
      <c r="E70">
        <f t="shared" si="0"/>
        <v>0</v>
      </c>
      <c r="G70">
        <v>20</v>
      </c>
      <c r="H70" s="15">
        <f t="shared" si="6"/>
        <v>3.3332641781285588E-2</v>
      </c>
      <c r="I70">
        <f t="shared" si="7"/>
        <v>105.17281710857625</v>
      </c>
      <c r="J70">
        <f t="shared" si="1"/>
        <v>447.09695565369918</v>
      </c>
      <c r="K70" s="30">
        <f t="shared" si="2"/>
        <v>6664.0157859735809</v>
      </c>
    </row>
    <row r="71" spans="1:11" x14ac:dyDescent="0.25">
      <c r="A71" s="29">
        <v>21</v>
      </c>
      <c r="B71" s="99">
        <f t="shared" si="3"/>
        <v>0</v>
      </c>
      <c r="C71" s="75">
        <f t="shared" si="9"/>
        <v>104.50616427295054</v>
      </c>
      <c r="D71" s="100">
        <f t="shared" si="5"/>
        <v>445.77777777777789</v>
      </c>
      <c r="E71">
        <f t="shared" si="0"/>
        <v>0</v>
      </c>
      <c r="G71">
        <v>21</v>
      </c>
      <c r="H71" s="15">
        <f t="shared" si="6"/>
        <v>3.3332641781285588E-2</v>
      </c>
      <c r="I71">
        <f t="shared" si="7"/>
        <v>105.20614975035754</v>
      </c>
      <c r="J71">
        <f t="shared" si="1"/>
        <v>447.16166684581941</v>
      </c>
      <c r="K71" s="30">
        <f t="shared" si="2"/>
        <v>6665.9431208649266</v>
      </c>
    </row>
    <row r="72" spans="1:11" x14ac:dyDescent="0.25">
      <c r="A72" s="29">
        <v>22</v>
      </c>
      <c r="B72" s="99">
        <f t="shared" si="3"/>
        <v>0</v>
      </c>
      <c r="C72" s="75">
        <f t="shared" si="9"/>
        <v>104.50616427295054</v>
      </c>
      <c r="D72" s="100">
        <f t="shared" si="5"/>
        <v>445.77777777777789</v>
      </c>
      <c r="E72">
        <f t="shared" si="0"/>
        <v>0</v>
      </c>
      <c r="G72">
        <v>22</v>
      </c>
      <c r="H72" s="15">
        <f t="shared" si="6"/>
        <v>3.3332641781285588E-2</v>
      </c>
      <c r="I72">
        <f t="shared" si="7"/>
        <v>105.23948239213883</v>
      </c>
      <c r="J72">
        <f t="shared" si="1"/>
        <v>447.22626291677983</v>
      </c>
      <c r="K72" s="30">
        <f t="shared" si="2"/>
        <v>6667.8673091158171</v>
      </c>
    </row>
    <row r="73" spans="1:11" x14ac:dyDescent="0.25">
      <c r="A73" s="29">
        <v>23</v>
      </c>
      <c r="B73" s="99">
        <f t="shared" si="3"/>
        <v>0</v>
      </c>
      <c r="C73" s="75">
        <f t="shared" si="9"/>
        <v>104.50616427295054</v>
      </c>
      <c r="D73" s="100">
        <f t="shared" si="5"/>
        <v>445.77777777777789</v>
      </c>
      <c r="E73">
        <f t="shared" si="0"/>
        <v>0</v>
      </c>
      <c r="G73">
        <v>23</v>
      </c>
      <c r="H73" s="15">
        <f t="shared" si="6"/>
        <v>3.3332641781285588E-2</v>
      </c>
      <c r="I73">
        <f t="shared" si="7"/>
        <v>105.27281503392011</v>
      </c>
      <c r="J73">
        <f t="shared" si="1"/>
        <v>447.29074435060659</v>
      </c>
      <c r="K73" s="30">
        <f t="shared" si="2"/>
        <v>6669.7883636244442</v>
      </c>
    </row>
    <row r="74" spans="1:11" x14ac:dyDescent="0.25">
      <c r="A74" s="29">
        <v>24</v>
      </c>
      <c r="B74" s="99">
        <f t="shared" si="3"/>
        <v>0</v>
      </c>
      <c r="C74" s="75">
        <f t="shared" si="9"/>
        <v>104.50616427295054</v>
      </c>
      <c r="D74" s="100">
        <f t="shared" si="5"/>
        <v>445.77777777777789</v>
      </c>
      <c r="E74">
        <f t="shared" si="0"/>
        <v>0</v>
      </c>
      <c r="G74">
        <v>24</v>
      </c>
      <c r="H74" s="15">
        <f t="shared" si="6"/>
        <v>3.3332641781285588E-2</v>
      </c>
      <c r="I74">
        <f t="shared" si="7"/>
        <v>105.3061476757014</v>
      </c>
      <c r="J74">
        <f t="shared" si="1"/>
        <v>447.35511162776436</v>
      </c>
      <c r="K74" s="30">
        <f t="shared" si="2"/>
        <v>6671.7062971942405</v>
      </c>
    </row>
    <row r="75" spans="1:11" x14ac:dyDescent="0.25">
      <c r="A75" s="29">
        <v>25</v>
      </c>
      <c r="B75" s="99">
        <f t="shared" si="3"/>
        <v>0</v>
      </c>
      <c r="C75" s="75">
        <f t="shared" si="9"/>
        <v>104.50616427295054</v>
      </c>
      <c r="D75" s="100">
        <f t="shared" si="5"/>
        <v>445.77777777777789</v>
      </c>
      <c r="E75">
        <f t="shared" si="0"/>
        <v>0</v>
      </c>
      <c r="G75">
        <v>25</v>
      </c>
      <c r="H75" s="15">
        <f t="shared" si="6"/>
        <v>3.3332641781285588E-2</v>
      </c>
      <c r="I75">
        <f t="shared" si="7"/>
        <v>105.33948031748268</v>
      </c>
      <c r="J75">
        <f t="shared" si="1"/>
        <v>447.41936522519308</v>
      </c>
      <c r="K75" s="30">
        <f t="shared" si="2"/>
        <v>6673.6211225348461</v>
      </c>
    </row>
    <row r="76" spans="1:11" x14ac:dyDescent="0.25">
      <c r="A76" s="29">
        <v>26</v>
      </c>
      <c r="B76" s="99">
        <f t="shared" si="3"/>
        <v>0</v>
      </c>
      <c r="C76" s="75">
        <f t="shared" si="9"/>
        <v>104.50616427295054</v>
      </c>
      <c r="D76" s="100">
        <f t="shared" si="5"/>
        <v>445.77777777777789</v>
      </c>
      <c r="E76">
        <f t="shared" si="0"/>
        <v>0</v>
      </c>
      <c r="G76">
        <v>26</v>
      </c>
      <c r="H76" s="15">
        <f t="shared" si="6"/>
        <v>3.3332641781285588E-2</v>
      </c>
      <c r="I76">
        <f t="shared" si="7"/>
        <v>105.37281295926397</v>
      </c>
      <c r="J76">
        <f t="shared" si="1"/>
        <v>447.48350561634425</v>
      </c>
      <c r="K76" s="30">
        <f t="shared" si="2"/>
        <v>6675.5328522630798</v>
      </c>
    </row>
    <row r="77" spans="1:11" x14ac:dyDescent="0.25">
      <c r="A77" s="29">
        <v>27</v>
      </c>
      <c r="B77" s="99">
        <f t="shared" si="3"/>
        <v>0</v>
      </c>
      <c r="C77" s="75">
        <f t="shared" si="9"/>
        <v>104.50616427295054</v>
      </c>
      <c r="D77" s="100">
        <f t="shared" si="5"/>
        <v>445.77777777777789</v>
      </c>
      <c r="E77">
        <f t="shared" si="0"/>
        <v>0</v>
      </c>
      <c r="G77">
        <v>27</v>
      </c>
      <c r="H77" s="15">
        <f t="shared" si="6"/>
        <v>3.3332641781285588E-2</v>
      </c>
      <c r="I77">
        <f t="shared" si="7"/>
        <v>105.40614560104525</v>
      </c>
      <c r="J77">
        <f t="shared" si="1"/>
        <v>447.54753327121665</v>
      </c>
      <c r="K77" s="30">
        <f t="shared" si="2"/>
        <v>6677.4414989038842</v>
      </c>
    </row>
    <row r="78" spans="1:11" x14ac:dyDescent="0.25">
      <c r="A78" s="29">
        <v>28</v>
      </c>
      <c r="B78" s="99">
        <f t="shared" si="3"/>
        <v>0</v>
      </c>
      <c r="C78" s="75">
        <f t="shared" si="9"/>
        <v>104.50616427295054</v>
      </c>
      <c r="D78" s="100">
        <f t="shared" si="5"/>
        <v>445.77777777777789</v>
      </c>
      <c r="E78">
        <f t="shared" si="0"/>
        <v>0</v>
      </c>
      <c r="G78">
        <v>28</v>
      </c>
      <c r="H78" s="15">
        <f t="shared" si="6"/>
        <v>3.3332641781285588E-2</v>
      </c>
      <c r="I78">
        <f t="shared" si="7"/>
        <v>105.43947824282654</v>
      </c>
      <c r="J78">
        <f t="shared" si="1"/>
        <v>447.6114486563917</v>
      </c>
      <c r="K78" s="30">
        <f t="shared" si="2"/>
        <v>6679.3470748912669</v>
      </c>
    </row>
    <row r="79" spans="1:11" x14ac:dyDescent="0.25">
      <c r="A79" s="29">
        <v>29</v>
      </c>
      <c r="B79" s="99">
        <f t="shared" si="3"/>
        <v>0</v>
      </c>
      <c r="C79" s="75">
        <f t="shared" si="9"/>
        <v>104.50616427295054</v>
      </c>
      <c r="D79" s="100">
        <f t="shared" si="5"/>
        <v>445.77777777777789</v>
      </c>
      <c r="E79">
        <f t="shared" si="0"/>
        <v>0</v>
      </c>
      <c r="G79">
        <v>29</v>
      </c>
      <c r="H79" s="15">
        <f t="shared" si="6"/>
        <v>3.3332641781285588E-2</v>
      </c>
      <c r="I79">
        <f t="shared" si="7"/>
        <v>105.47281088460782</v>
      </c>
      <c r="J79">
        <f t="shared" si="1"/>
        <v>447.67525223506829</v>
      </c>
      <c r="K79" s="30">
        <f t="shared" si="2"/>
        <v>6681.2495925692265</v>
      </c>
    </row>
    <row r="80" spans="1:11" x14ac:dyDescent="0.25">
      <c r="A80" s="29">
        <v>30</v>
      </c>
      <c r="B80" s="99">
        <f t="shared" si="3"/>
        <v>0</v>
      </c>
      <c r="C80" s="75">
        <f t="shared" ref="C80:C143" si="10">($C$37-$C$36)/2000+C79</f>
        <v>104.50616427295054</v>
      </c>
      <c r="D80" s="100">
        <f t="shared" si="5"/>
        <v>445.77777777777789</v>
      </c>
      <c r="E80">
        <f t="shared" si="0"/>
        <v>0</v>
      </c>
      <c r="G80">
        <v>30</v>
      </c>
      <c r="H80" s="15">
        <f t="shared" si="6"/>
        <v>3.3332641781285588E-2</v>
      </c>
      <c r="I80">
        <f t="shared" si="7"/>
        <v>105.50614352638911</v>
      </c>
      <c r="J80">
        <f t="shared" si="1"/>
        <v>447.73894446709699</v>
      </c>
      <c r="K80" s="30">
        <f t="shared" si="2"/>
        <v>6683.1490641926584</v>
      </c>
    </row>
    <row r="81" spans="1:11" x14ac:dyDescent="0.25">
      <c r="A81" s="29">
        <v>31</v>
      </c>
      <c r="B81" s="99">
        <f t="shared" si="3"/>
        <v>0</v>
      </c>
      <c r="C81" s="75">
        <f t="shared" si="10"/>
        <v>104.50616427295054</v>
      </c>
      <c r="D81" s="100">
        <f t="shared" si="5"/>
        <v>445.77777777777789</v>
      </c>
      <c r="E81">
        <f t="shared" si="0"/>
        <v>0</v>
      </c>
      <c r="G81">
        <v>31</v>
      </c>
      <c r="H81" s="15">
        <f t="shared" si="6"/>
        <v>3.3332641781285588E-2</v>
      </c>
      <c r="I81">
        <f t="shared" si="7"/>
        <v>105.5394761681704</v>
      </c>
      <c r="J81">
        <f t="shared" si="1"/>
        <v>447.80252580901424</v>
      </c>
      <c r="K81" s="30">
        <f t="shared" si="2"/>
        <v>6685.0455019282699</v>
      </c>
    </row>
    <row r="82" spans="1:11" x14ac:dyDescent="0.25">
      <c r="A82" s="29">
        <v>32</v>
      </c>
      <c r="B82" s="99">
        <f t="shared" si="3"/>
        <v>0</v>
      </c>
      <c r="C82" s="75">
        <f t="shared" si="10"/>
        <v>104.50616427295054</v>
      </c>
      <c r="D82" s="100">
        <f t="shared" si="5"/>
        <v>445.77777777777789</v>
      </c>
      <c r="E82">
        <f t="shared" si="0"/>
        <v>0</v>
      </c>
      <c r="G82">
        <v>32</v>
      </c>
      <c r="H82" s="15">
        <f t="shared" si="6"/>
        <v>3.3332641781285588E-2</v>
      </c>
      <c r="I82">
        <f t="shared" si="7"/>
        <v>105.57280880995168</v>
      </c>
      <c r="J82">
        <f t="shared" si="1"/>
        <v>447.86599671407566</v>
      </c>
      <c r="K82" s="30">
        <f t="shared" si="2"/>
        <v>6686.9389178554584</v>
      </c>
    </row>
    <row r="83" spans="1:11" x14ac:dyDescent="0.25">
      <c r="A83" s="29">
        <v>33</v>
      </c>
      <c r="B83" s="99">
        <f t="shared" si="3"/>
        <v>0</v>
      </c>
      <c r="C83" s="75">
        <f t="shared" si="10"/>
        <v>104.50616427295054</v>
      </c>
      <c r="D83" s="100">
        <f t="shared" si="5"/>
        <v>445.77777777777789</v>
      </c>
      <c r="E83">
        <f t="shared" si="0"/>
        <v>0</v>
      </c>
      <c r="G83">
        <v>33</v>
      </c>
      <c r="H83" s="15">
        <f t="shared" si="6"/>
        <v>3.3332641781285588E-2</v>
      </c>
      <c r="I83">
        <f t="shared" si="7"/>
        <v>105.60614145173297</v>
      </c>
      <c r="J83">
        <f t="shared" si="1"/>
        <v>447.92935763228928</v>
      </c>
      <c r="K83" s="30">
        <f t="shared" si="2"/>
        <v>6688.8293239671939</v>
      </c>
    </row>
    <row r="84" spans="1:11" x14ac:dyDescent="0.25">
      <c r="A84" s="29">
        <v>34</v>
      </c>
      <c r="B84" s="99">
        <f t="shared" si="3"/>
        <v>0</v>
      </c>
      <c r="C84" s="75">
        <f t="shared" si="10"/>
        <v>104.50616427295054</v>
      </c>
      <c r="D84" s="100">
        <f t="shared" si="5"/>
        <v>445.77777777777789</v>
      </c>
      <c r="E84">
        <f t="shared" si="0"/>
        <v>0</v>
      </c>
      <c r="G84">
        <v>34</v>
      </c>
      <c r="H84" s="15">
        <f t="shared" si="6"/>
        <v>3.3332641781285588E-2</v>
      </c>
      <c r="I84">
        <f t="shared" si="7"/>
        <v>105.63947409351425</v>
      </c>
      <c r="J84">
        <f t="shared" si="1"/>
        <v>447.99260901044784</v>
      </c>
      <c r="K84" s="30">
        <f t="shared" si="2"/>
        <v>6690.7167321708885</v>
      </c>
    </row>
    <row r="85" spans="1:11" x14ac:dyDescent="0.25">
      <c r="A85" s="29">
        <v>35</v>
      </c>
      <c r="B85" s="99">
        <f t="shared" si="3"/>
        <v>0</v>
      </c>
      <c r="C85" s="75">
        <f t="shared" si="10"/>
        <v>104.50616427295054</v>
      </c>
      <c r="D85" s="100">
        <f t="shared" si="5"/>
        <v>445.77777777777789</v>
      </c>
      <c r="E85">
        <f t="shared" si="0"/>
        <v>0</v>
      </c>
      <c r="G85">
        <v>35</v>
      </c>
      <c r="H85" s="15">
        <f t="shared" si="6"/>
        <v>3.3332641781285588E-2</v>
      </c>
      <c r="I85">
        <f t="shared" si="7"/>
        <v>105.67280673529554</v>
      </c>
      <c r="J85">
        <f t="shared" si="1"/>
        <v>448.05575129216135</v>
      </c>
      <c r="K85" s="30">
        <f t="shared" si="2"/>
        <v>6692.6011542892475</v>
      </c>
    </row>
    <row r="86" spans="1:11" x14ac:dyDescent="0.25">
      <c r="A86" s="29">
        <v>36</v>
      </c>
      <c r="B86" s="99">
        <f t="shared" si="3"/>
        <v>0</v>
      </c>
      <c r="C86" s="75">
        <f t="shared" si="10"/>
        <v>104.50616427295054</v>
      </c>
      <c r="D86" s="100">
        <f t="shared" si="5"/>
        <v>445.77777777777789</v>
      </c>
      <c r="E86">
        <f t="shared" si="0"/>
        <v>0</v>
      </c>
      <c r="G86">
        <v>36</v>
      </c>
      <c r="H86" s="15">
        <f t="shared" si="6"/>
        <v>3.3332641781285588E-2</v>
      </c>
      <c r="I86">
        <f t="shared" si="7"/>
        <v>105.70613937707682</v>
      </c>
      <c r="J86">
        <f t="shared" si="1"/>
        <v>448.11878491788872</v>
      </c>
      <c r="K86" s="30">
        <f t="shared" si="2"/>
        <v>6694.4826020611154</v>
      </c>
    </row>
    <row r="87" spans="1:11" x14ac:dyDescent="0.25">
      <c r="A87" s="29">
        <v>37</v>
      </c>
      <c r="B87" s="99">
        <f t="shared" si="3"/>
        <v>0</v>
      </c>
      <c r="C87" s="75">
        <f t="shared" si="10"/>
        <v>104.50616427295054</v>
      </c>
      <c r="D87" s="100">
        <f t="shared" si="5"/>
        <v>445.77777777777789</v>
      </c>
      <c r="E87">
        <f t="shared" si="0"/>
        <v>0</v>
      </c>
      <c r="G87">
        <v>37</v>
      </c>
      <c r="H87" s="15">
        <f t="shared" si="6"/>
        <v>3.3332641781285588E-2</v>
      </c>
      <c r="I87">
        <f t="shared" si="7"/>
        <v>105.73947201885811</v>
      </c>
      <c r="J87">
        <f t="shared" si="1"/>
        <v>448.18171032496906</v>
      </c>
      <c r="K87" s="30">
        <f t="shared" si="2"/>
        <v>6696.361087142318</v>
      </c>
    </row>
    <row r="88" spans="1:11" x14ac:dyDescent="0.25">
      <c r="A88" s="29">
        <v>38</v>
      </c>
      <c r="B88" s="99">
        <f t="shared" si="3"/>
        <v>0</v>
      </c>
      <c r="C88" s="75">
        <f t="shared" si="10"/>
        <v>104.50616427295054</v>
      </c>
      <c r="D88" s="100">
        <f t="shared" si="5"/>
        <v>445.77777777777789</v>
      </c>
      <c r="E88">
        <f t="shared" si="0"/>
        <v>0</v>
      </c>
      <c r="G88">
        <v>38</v>
      </c>
      <c r="H88" s="15">
        <f t="shared" si="6"/>
        <v>3.3332641781285588E-2</v>
      </c>
      <c r="I88">
        <f t="shared" si="7"/>
        <v>105.77280466063939</v>
      </c>
      <c r="J88">
        <f t="shared" si="1"/>
        <v>448.2445279476529</v>
      </c>
      <c r="K88" s="30">
        <f t="shared" si="2"/>
        <v>6698.2366211064646</v>
      </c>
    </row>
    <row r="89" spans="1:11" x14ac:dyDescent="0.25">
      <c r="A89" s="29">
        <v>39</v>
      </c>
      <c r="B89" s="99">
        <f t="shared" si="3"/>
        <v>0</v>
      </c>
      <c r="C89" s="75">
        <f t="shared" si="10"/>
        <v>104.50616427295054</v>
      </c>
      <c r="D89" s="100">
        <f t="shared" si="5"/>
        <v>445.77777777777789</v>
      </c>
      <c r="E89">
        <f t="shared" si="0"/>
        <v>0</v>
      </c>
      <c r="G89">
        <v>39</v>
      </c>
      <c r="H89" s="15">
        <f t="shared" si="6"/>
        <v>3.3332641781285588E-2</v>
      </c>
      <c r="I89">
        <f t="shared" si="7"/>
        <v>105.80613730242068</v>
      </c>
      <c r="J89">
        <f t="shared" si="1"/>
        <v>448.30723821713246</v>
      </c>
      <c r="K89" s="30">
        <f t="shared" si="2"/>
        <v>6700.1092154457911</v>
      </c>
    </row>
    <row r="90" spans="1:11" x14ac:dyDescent="0.25">
      <c r="A90" s="29">
        <v>40</v>
      </c>
      <c r="B90" s="99">
        <f t="shared" si="3"/>
        <v>0</v>
      </c>
      <c r="C90" s="75">
        <f t="shared" si="10"/>
        <v>104.50616427295054</v>
      </c>
      <c r="D90" s="100">
        <f t="shared" si="5"/>
        <v>445.77777777777789</v>
      </c>
      <c r="E90">
        <f t="shared" si="0"/>
        <v>0</v>
      </c>
      <c r="G90">
        <v>40</v>
      </c>
      <c r="H90" s="15">
        <f t="shared" si="6"/>
        <v>3.3332641781285588E-2</v>
      </c>
      <c r="I90">
        <f t="shared" si="7"/>
        <v>105.83946994420197</v>
      </c>
      <c r="J90">
        <f t="shared" si="1"/>
        <v>448.36984156157212</v>
      </c>
      <c r="K90" s="30">
        <f t="shared" si="2"/>
        <v>6701.9788815719367</v>
      </c>
    </row>
    <row r="91" spans="1:11" x14ac:dyDescent="0.25">
      <c r="A91" s="29">
        <v>41</v>
      </c>
      <c r="B91" s="99">
        <f t="shared" si="3"/>
        <v>0</v>
      </c>
      <c r="C91" s="75">
        <f t="shared" si="10"/>
        <v>104.50616427295054</v>
      </c>
      <c r="D91" s="100">
        <f t="shared" si="5"/>
        <v>445.77777777777789</v>
      </c>
      <c r="E91">
        <f t="shared" si="0"/>
        <v>0</v>
      </c>
      <c r="G91">
        <v>41</v>
      </c>
      <c r="H91" s="15">
        <f t="shared" si="6"/>
        <v>3.3332641781285588E-2</v>
      </c>
      <c r="I91">
        <f t="shared" si="7"/>
        <v>105.87280258598325</v>
      </c>
      <c r="J91">
        <f t="shared" si="1"/>
        <v>448.43233840613823</v>
      </c>
      <c r="K91" s="30">
        <f t="shared" si="2"/>
        <v>6703.845630816747</v>
      </c>
    </row>
    <row r="92" spans="1:11" x14ac:dyDescent="0.25">
      <c r="A92" s="29">
        <v>42</v>
      </c>
      <c r="B92" s="99">
        <f t="shared" si="3"/>
        <v>0</v>
      </c>
      <c r="C92" s="75">
        <f t="shared" si="10"/>
        <v>104.50616427295054</v>
      </c>
      <c r="D92" s="100">
        <f t="shared" si="5"/>
        <v>445.77777777777789</v>
      </c>
      <c r="E92">
        <f t="shared" si="0"/>
        <v>0</v>
      </c>
      <c r="G92">
        <v>42</v>
      </c>
      <c r="H92" s="15">
        <f t="shared" si="6"/>
        <v>3.3332641781285588E-2</v>
      </c>
      <c r="I92">
        <f t="shared" si="7"/>
        <v>105.90613522776454</v>
      </c>
      <c r="J92">
        <f t="shared" si="1"/>
        <v>448.49472917302813</v>
      </c>
      <c r="K92" s="30">
        <f t="shared" si="2"/>
        <v>6705.7094744330561</v>
      </c>
    </row>
    <row r="93" spans="1:11" x14ac:dyDescent="0.25">
      <c r="A93" s="29">
        <v>43</v>
      </c>
      <c r="B93" s="99">
        <f t="shared" si="3"/>
        <v>0</v>
      </c>
      <c r="C93" s="75">
        <f t="shared" si="10"/>
        <v>104.50616427295054</v>
      </c>
      <c r="D93" s="100">
        <f t="shared" si="5"/>
        <v>445.77777777777789</v>
      </c>
      <c r="E93">
        <f t="shared" si="0"/>
        <v>0</v>
      </c>
      <c r="G93">
        <v>43</v>
      </c>
      <c r="H93" s="15">
        <f t="shared" si="6"/>
        <v>3.3332641781285588E-2</v>
      </c>
      <c r="I93">
        <f t="shared" si="7"/>
        <v>105.93946786954582</v>
      </c>
      <c r="J93">
        <f t="shared" si="1"/>
        <v>448.5570142814999</v>
      </c>
      <c r="K93" s="30">
        <f t="shared" si="2"/>
        <v>6707.5704235954581</v>
      </c>
    </row>
    <row r="94" spans="1:11" x14ac:dyDescent="0.25">
      <c r="A94" s="29">
        <v>44</v>
      </c>
      <c r="B94" s="99">
        <f t="shared" si="3"/>
        <v>0</v>
      </c>
      <c r="C94" s="75">
        <f t="shared" si="10"/>
        <v>104.50616427295054</v>
      </c>
      <c r="D94" s="100">
        <f t="shared" si="5"/>
        <v>445.77777777777789</v>
      </c>
      <c r="E94">
        <f t="shared" si="0"/>
        <v>0</v>
      </c>
      <c r="G94">
        <v>44</v>
      </c>
      <c r="H94" s="15">
        <f t="shared" si="6"/>
        <v>3.3332641781285588E-2</v>
      </c>
      <c r="I94">
        <f t="shared" si="7"/>
        <v>105.97280051132711</v>
      </c>
      <c r="J94">
        <f t="shared" si="1"/>
        <v>448.61919414790043</v>
      </c>
      <c r="K94" s="30">
        <f t="shared" si="2"/>
        <v>6709.4284894010743</v>
      </c>
    </row>
    <row r="95" spans="1:11" x14ac:dyDescent="0.25">
      <c r="A95" s="29">
        <v>45</v>
      </c>
      <c r="B95" s="99">
        <f t="shared" si="3"/>
        <v>0</v>
      </c>
      <c r="C95" s="75">
        <f t="shared" si="10"/>
        <v>104.50616427295054</v>
      </c>
      <c r="D95" s="100">
        <f t="shared" si="5"/>
        <v>445.77777777777789</v>
      </c>
      <c r="E95">
        <f t="shared" si="0"/>
        <v>0</v>
      </c>
      <c r="G95">
        <v>45</v>
      </c>
      <c r="H95" s="15">
        <f t="shared" si="6"/>
        <v>3.3332641781285588E-2</v>
      </c>
      <c r="I95">
        <f t="shared" si="7"/>
        <v>106.00613315310839</v>
      </c>
      <c r="J95">
        <f t="shared" si="1"/>
        <v>448.68126918569419</v>
      </c>
      <c r="K95" s="30">
        <f t="shared" si="2"/>
        <v>6711.2836828702939</v>
      </c>
    </row>
    <row r="96" spans="1:11" x14ac:dyDescent="0.25">
      <c r="A96" s="29">
        <v>46</v>
      </c>
      <c r="B96" s="99">
        <f t="shared" si="3"/>
        <v>0</v>
      </c>
      <c r="C96" s="75">
        <f t="shared" si="10"/>
        <v>104.50616427295054</v>
      </c>
      <c r="D96" s="100">
        <f t="shared" si="5"/>
        <v>445.77777777777789</v>
      </c>
      <c r="E96">
        <f t="shared" si="0"/>
        <v>0</v>
      </c>
      <c r="G96">
        <v>46</v>
      </c>
      <c r="H96" s="15">
        <f t="shared" si="6"/>
        <v>3.3332641781285588E-2</v>
      </c>
      <c r="I96">
        <f t="shared" si="7"/>
        <v>106.03946579488968</v>
      </c>
      <c r="J96">
        <f t="shared" si="1"/>
        <v>448.74323980549082</v>
      </c>
      <c r="K96" s="30">
        <f t="shared" si="2"/>
        <v>6713.1360149475295</v>
      </c>
    </row>
    <row r="97" spans="1:11" x14ac:dyDescent="0.25">
      <c r="A97" s="29">
        <v>47</v>
      </c>
      <c r="B97" s="99">
        <f t="shared" si="3"/>
        <v>0</v>
      </c>
      <c r="C97" s="75">
        <f t="shared" si="10"/>
        <v>104.50616427295054</v>
      </c>
      <c r="D97" s="100">
        <f t="shared" si="5"/>
        <v>445.77777777777789</v>
      </c>
      <c r="E97">
        <f t="shared" si="0"/>
        <v>0</v>
      </c>
      <c r="G97">
        <v>47</v>
      </c>
      <c r="H97" s="15">
        <f t="shared" si="6"/>
        <v>3.3332641781285588E-2</v>
      </c>
      <c r="I97">
        <f t="shared" si="7"/>
        <v>106.07279843667096</v>
      </c>
      <c r="J97">
        <f t="shared" si="1"/>
        <v>448.80510641507328</v>
      </c>
      <c r="K97" s="30">
        <f t="shared" si="2"/>
        <v>6714.985496501954</v>
      </c>
    </row>
    <row r="98" spans="1:11" x14ac:dyDescent="0.25">
      <c r="A98" s="29">
        <v>48</v>
      </c>
      <c r="B98" s="99">
        <f t="shared" si="3"/>
        <v>0</v>
      </c>
      <c r="C98" s="75">
        <f t="shared" si="10"/>
        <v>104.50616427295054</v>
      </c>
      <c r="D98" s="100">
        <f t="shared" si="5"/>
        <v>445.77777777777789</v>
      </c>
      <c r="E98">
        <f t="shared" si="0"/>
        <v>0</v>
      </c>
      <c r="G98">
        <v>48</v>
      </c>
      <c r="H98" s="15">
        <f t="shared" si="6"/>
        <v>3.3332641781285588E-2</v>
      </c>
      <c r="I98">
        <f t="shared" si="7"/>
        <v>106.10613107845225</v>
      </c>
      <c r="J98">
        <f t="shared" si="1"/>
        <v>448.86686941942457</v>
      </c>
      <c r="K98" s="30">
        <f t="shared" si="2"/>
        <v>6716.8321383282082</v>
      </c>
    </row>
    <row r="99" spans="1:11" x14ac:dyDescent="0.25">
      <c r="A99" s="29">
        <v>49</v>
      </c>
      <c r="B99" s="99">
        <f t="shared" si="3"/>
        <v>0</v>
      </c>
      <c r="C99" s="75">
        <f t="shared" si="10"/>
        <v>104.50616427295054</v>
      </c>
      <c r="D99" s="100">
        <f t="shared" si="5"/>
        <v>445.77777777777789</v>
      </c>
      <c r="E99">
        <f t="shared" si="0"/>
        <v>0</v>
      </c>
      <c r="G99">
        <v>49</v>
      </c>
      <c r="H99" s="15">
        <f t="shared" si="6"/>
        <v>3.3332641781285588E-2</v>
      </c>
      <c r="I99">
        <f t="shared" si="7"/>
        <v>106.13946372023354</v>
      </c>
      <c r="J99">
        <f t="shared" si="1"/>
        <v>448.92852922075519</v>
      </c>
      <c r="K99" s="30">
        <f t="shared" si="2"/>
        <v>6718.67595114714</v>
      </c>
    </row>
    <row r="100" spans="1:11" x14ac:dyDescent="0.25">
      <c r="A100" s="29">
        <v>50</v>
      </c>
      <c r="B100" s="99">
        <f t="shared" si="3"/>
        <v>0</v>
      </c>
      <c r="C100" s="75">
        <f t="shared" si="10"/>
        <v>104.50616427295054</v>
      </c>
      <c r="D100" s="100">
        <f t="shared" si="5"/>
        <v>445.77777777777789</v>
      </c>
      <c r="E100">
        <f t="shared" si="0"/>
        <v>0</v>
      </c>
      <c r="G100">
        <v>50</v>
      </c>
      <c r="H100" s="15">
        <f t="shared" si="6"/>
        <v>3.3332641781285588E-2</v>
      </c>
      <c r="I100">
        <f t="shared" si="7"/>
        <v>106.17279636201482</v>
      </c>
      <c r="J100">
        <f t="shared" si="1"/>
        <v>448.99008621852943</v>
      </c>
      <c r="K100" s="30">
        <f t="shared" si="2"/>
        <v>6720.5169456064978</v>
      </c>
    </row>
    <row r="101" spans="1:11" x14ac:dyDescent="0.25">
      <c r="A101" s="29">
        <v>51</v>
      </c>
      <c r="B101" s="99">
        <f t="shared" si="3"/>
        <v>0</v>
      </c>
      <c r="C101" s="75">
        <f t="shared" si="10"/>
        <v>104.50616427295054</v>
      </c>
      <c r="D101" s="100">
        <f t="shared" si="5"/>
        <v>445.77777777777789</v>
      </c>
      <c r="E101">
        <f t="shared" si="0"/>
        <v>0</v>
      </c>
      <c r="G101">
        <v>51</v>
      </c>
      <c r="H101" s="15">
        <f t="shared" si="6"/>
        <v>3.3332641781285588E-2</v>
      </c>
      <c r="I101">
        <f t="shared" si="7"/>
        <v>106.20612900379611</v>
      </c>
      <c r="J101">
        <f t="shared" si="1"/>
        <v>449.05154080949171</v>
      </c>
      <c r="K101" s="30">
        <f t="shared" si="2"/>
        <v>6722.3551322816302</v>
      </c>
    </row>
    <row r="102" spans="1:11" x14ac:dyDescent="0.25">
      <c r="A102" s="29">
        <v>52</v>
      </c>
      <c r="B102" s="99">
        <f t="shared" si="3"/>
        <v>0</v>
      </c>
      <c r="C102" s="75">
        <f t="shared" si="10"/>
        <v>104.50616427295054</v>
      </c>
      <c r="D102" s="100">
        <f t="shared" si="5"/>
        <v>445.77777777777789</v>
      </c>
      <c r="E102">
        <f t="shared" si="0"/>
        <v>0</v>
      </c>
      <c r="G102">
        <v>52</v>
      </c>
      <c r="H102" s="15">
        <f t="shared" si="6"/>
        <v>3.3332641781285588E-2</v>
      </c>
      <c r="I102">
        <f t="shared" si="7"/>
        <v>106.23946164557739</v>
      </c>
      <c r="J102">
        <f t="shared" si="1"/>
        <v>449.11289338769279</v>
      </c>
      <c r="K102" s="30">
        <f t="shared" si="2"/>
        <v>6724.1905216761797</v>
      </c>
    </row>
    <row r="103" spans="1:11" x14ac:dyDescent="0.25">
      <c r="A103" s="29">
        <v>53</v>
      </c>
      <c r="B103" s="99">
        <f t="shared" si="3"/>
        <v>0</v>
      </c>
      <c r="C103" s="75">
        <f t="shared" si="10"/>
        <v>104.50616427295054</v>
      </c>
      <c r="D103" s="100">
        <f t="shared" si="5"/>
        <v>445.77777777777789</v>
      </c>
      <c r="E103">
        <f t="shared" si="0"/>
        <v>0</v>
      </c>
      <c r="G103">
        <v>53</v>
      </c>
      <c r="H103" s="15">
        <f t="shared" si="6"/>
        <v>3.3332641781285588E-2</v>
      </c>
      <c r="I103">
        <f t="shared" si="7"/>
        <v>106.27279428735868</v>
      </c>
      <c r="J103">
        <f t="shared" si="1"/>
        <v>449.17414434451496</v>
      </c>
      <c r="K103" s="30">
        <f t="shared" si="2"/>
        <v>6726.0231242227683</v>
      </c>
    </row>
    <row r="104" spans="1:11" x14ac:dyDescent="0.25">
      <c r="A104" s="29">
        <v>54</v>
      </c>
      <c r="B104" s="99">
        <f t="shared" si="3"/>
        <v>0</v>
      </c>
      <c r="C104" s="75">
        <f t="shared" si="10"/>
        <v>104.50616427295054</v>
      </c>
      <c r="D104" s="100">
        <f t="shared" si="5"/>
        <v>445.77777777777789</v>
      </c>
      <c r="E104">
        <f t="shared" si="0"/>
        <v>0</v>
      </c>
      <c r="G104">
        <v>54</v>
      </c>
      <c r="H104" s="15">
        <f t="shared" si="6"/>
        <v>3.3332641781285588E-2</v>
      </c>
      <c r="I104">
        <f t="shared" si="7"/>
        <v>106.30612692913996</v>
      </c>
      <c r="J104">
        <f t="shared" si="1"/>
        <v>449.2352940686979</v>
      </c>
      <c r="K104" s="30">
        <f t="shared" si="2"/>
        <v>6727.8529502836618</v>
      </c>
    </row>
    <row r="105" spans="1:11" x14ac:dyDescent="0.25">
      <c r="A105" s="29">
        <v>55</v>
      </c>
      <c r="B105" s="99">
        <f t="shared" si="3"/>
        <v>0</v>
      </c>
      <c r="C105" s="75">
        <f t="shared" si="10"/>
        <v>104.50616427295054</v>
      </c>
      <c r="D105" s="100">
        <f t="shared" si="5"/>
        <v>445.77777777777789</v>
      </c>
      <c r="E105">
        <f t="shared" si="0"/>
        <v>0</v>
      </c>
      <c r="G105">
        <v>55</v>
      </c>
      <c r="H105" s="15">
        <f t="shared" si="6"/>
        <v>3.3332641781285588E-2</v>
      </c>
      <c r="I105">
        <f t="shared" si="7"/>
        <v>106.33945957092125</v>
      </c>
      <c r="J105">
        <f t="shared" si="1"/>
        <v>449.29634294636338</v>
      </c>
      <c r="K105" s="30">
        <f t="shared" si="2"/>
        <v>6729.6800101514391</v>
      </c>
    </row>
    <row r="106" spans="1:11" x14ac:dyDescent="0.25">
      <c r="A106" s="29">
        <v>56</v>
      </c>
      <c r="B106" s="99">
        <f t="shared" si="3"/>
        <v>0</v>
      </c>
      <c r="C106" s="75">
        <f t="shared" si="10"/>
        <v>104.50616427295054</v>
      </c>
      <c r="D106" s="100">
        <f t="shared" si="5"/>
        <v>445.77777777777789</v>
      </c>
      <c r="E106">
        <f t="shared" si="0"/>
        <v>0</v>
      </c>
      <c r="G106">
        <v>56</v>
      </c>
      <c r="H106" s="15">
        <f t="shared" si="6"/>
        <v>3.3332641781285588E-2</v>
      </c>
      <c r="I106">
        <f t="shared" si="7"/>
        <v>106.37279221270254</v>
      </c>
      <c r="J106">
        <f t="shared" si="1"/>
        <v>449.35729136103998</v>
      </c>
      <c r="K106" s="30">
        <f t="shared" si="2"/>
        <v>6731.5043140496564</v>
      </c>
    </row>
    <row r="107" spans="1:11" x14ac:dyDescent="0.25">
      <c r="A107" s="29">
        <v>57</v>
      </c>
      <c r="B107" s="99">
        <f t="shared" si="3"/>
        <v>0</v>
      </c>
      <c r="C107" s="75">
        <f t="shared" si="10"/>
        <v>104.50616427295054</v>
      </c>
      <c r="D107" s="100">
        <f t="shared" si="5"/>
        <v>445.77777777777789</v>
      </c>
      <c r="E107">
        <f t="shared" si="0"/>
        <v>0</v>
      </c>
      <c r="G107">
        <v>57</v>
      </c>
      <c r="H107" s="15">
        <f t="shared" si="6"/>
        <v>3.3332641781285588E-2</v>
      </c>
      <c r="I107">
        <f t="shared" si="7"/>
        <v>106.40612485448382</v>
      </c>
      <c r="J107">
        <f t="shared" si="1"/>
        <v>449.41813969368764</v>
      </c>
      <c r="K107" s="30">
        <f t="shared" si="2"/>
        <v>6733.3258721334787</v>
      </c>
    </row>
    <row r="108" spans="1:11" x14ac:dyDescent="0.25">
      <c r="A108" s="29">
        <v>58</v>
      </c>
      <c r="B108" s="99">
        <f t="shared" si="3"/>
        <v>0</v>
      </c>
      <c r="C108" s="75">
        <f t="shared" si="10"/>
        <v>104.50616427295054</v>
      </c>
      <c r="D108" s="100">
        <f t="shared" si="5"/>
        <v>445.77777777777789</v>
      </c>
      <c r="E108">
        <f t="shared" si="0"/>
        <v>0</v>
      </c>
      <c r="G108">
        <v>58</v>
      </c>
      <c r="H108" s="15">
        <f t="shared" si="6"/>
        <v>3.3332641781285588E-2</v>
      </c>
      <c r="I108">
        <f t="shared" si="7"/>
        <v>106.43945749626511</v>
      </c>
      <c r="J108">
        <f t="shared" si="1"/>
        <v>449.47888832272173</v>
      </c>
      <c r="K108" s="30">
        <f t="shared" si="2"/>
        <v>6735.1446944903428</v>
      </c>
    </row>
    <row r="109" spans="1:11" x14ac:dyDescent="0.25">
      <c r="A109" s="29">
        <v>59</v>
      </c>
      <c r="B109" s="99">
        <f t="shared" si="3"/>
        <v>0</v>
      </c>
      <c r="C109" s="75">
        <f t="shared" si="10"/>
        <v>104.50616427295054</v>
      </c>
      <c r="D109" s="100">
        <f t="shared" si="5"/>
        <v>445.77777777777789</v>
      </c>
      <c r="E109">
        <f t="shared" si="0"/>
        <v>0</v>
      </c>
      <c r="G109">
        <v>59</v>
      </c>
      <c r="H109" s="15">
        <f t="shared" si="6"/>
        <v>3.3332641781285588E-2</v>
      </c>
      <c r="I109">
        <f t="shared" si="7"/>
        <v>106.47279013804639</v>
      </c>
      <c r="J109">
        <f t="shared" si="1"/>
        <v>449.53953762403694</v>
      </c>
      <c r="K109" s="30">
        <f t="shared" si="2"/>
        <v>6736.9607911405756</v>
      </c>
    </row>
    <row r="110" spans="1:11" x14ac:dyDescent="0.25">
      <c r="A110" s="29">
        <v>60</v>
      </c>
      <c r="B110" s="99">
        <f t="shared" si="3"/>
        <v>0</v>
      </c>
      <c r="C110" s="75">
        <f t="shared" si="10"/>
        <v>104.50616427295054</v>
      </c>
      <c r="D110" s="100">
        <f t="shared" si="5"/>
        <v>445.77777777777789</v>
      </c>
      <c r="E110">
        <f t="shared" si="0"/>
        <v>0</v>
      </c>
      <c r="G110">
        <v>60</v>
      </c>
      <c r="H110" s="15">
        <f t="shared" si="6"/>
        <v>3.3332641781285588E-2</v>
      </c>
      <c r="I110">
        <f t="shared" si="7"/>
        <v>106.50612277982768</v>
      </c>
      <c r="J110">
        <f t="shared" si="1"/>
        <v>449.60008797103069</v>
      </c>
      <c r="K110" s="30">
        <f t="shared" si="2"/>
        <v>6738.7741720380263</v>
      </c>
    </row>
    <row r="111" spans="1:11" x14ac:dyDescent="0.25">
      <c r="A111" s="29">
        <v>61</v>
      </c>
      <c r="B111" s="99">
        <f t="shared" si="3"/>
        <v>0</v>
      </c>
      <c r="C111" s="75">
        <f t="shared" si="10"/>
        <v>104.50616427295054</v>
      </c>
      <c r="D111" s="100">
        <f t="shared" si="5"/>
        <v>445.77777777777789</v>
      </c>
      <c r="E111">
        <f t="shared" si="0"/>
        <v>0</v>
      </c>
      <c r="G111">
        <v>61</v>
      </c>
      <c r="H111" s="15">
        <f t="shared" si="6"/>
        <v>3.3332641781285588E-2</v>
      </c>
      <c r="I111">
        <f t="shared" si="7"/>
        <v>106.53945542160896</v>
      </c>
      <c r="J111">
        <f t="shared" si="1"/>
        <v>449.66053973462664</v>
      </c>
      <c r="K111" s="30">
        <f t="shared" si="2"/>
        <v>6740.5848470706887</v>
      </c>
    </row>
    <row r="112" spans="1:11" x14ac:dyDescent="0.25">
      <c r="A112" s="29">
        <v>62</v>
      </c>
      <c r="B112" s="99">
        <f t="shared" si="3"/>
        <v>0</v>
      </c>
      <c r="C112" s="75">
        <f t="shared" si="10"/>
        <v>104.50616427295054</v>
      </c>
      <c r="D112" s="100">
        <f t="shared" si="5"/>
        <v>445.77777777777789</v>
      </c>
      <c r="E112">
        <f t="shared" si="0"/>
        <v>0</v>
      </c>
      <c r="G112">
        <v>62</v>
      </c>
      <c r="H112" s="15">
        <f t="shared" si="6"/>
        <v>3.3332641781285588E-2</v>
      </c>
      <c r="I112">
        <f t="shared" si="7"/>
        <v>106.57278806339025</v>
      </c>
      <c r="J112">
        <f t="shared" si="1"/>
        <v>449.7208932832973</v>
      </c>
      <c r="K112" s="30">
        <f t="shared" si="2"/>
        <v>6742.3928260612993</v>
      </c>
    </row>
    <row r="113" spans="1:11" x14ac:dyDescent="0.25">
      <c r="A113" s="29">
        <v>63</v>
      </c>
      <c r="B113" s="99">
        <f t="shared" si="3"/>
        <v>0</v>
      </c>
      <c r="C113" s="75">
        <f t="shared" si="10"/>
        <v>104.50616427295054</v>
      </c>
      <c r="D113" s="100">
        <f t="shared" si="5"/>
        <v>445.77777777777789</v>
      </c>
      <c r="E113">
        <f t="shared" si="0"/>
        <v>0</v>
      </c>
      <c r="G113">
        <v>63</v>
      </c>
      <c r="H113" s="15">
        <f t="shared" si="6"/>
        <v>3.3332641781285588E-2</v>
      </c>
      <c r="I113">
        <f t="shared" si="7"/>
        <v>106.60612070517153</v>
      </c>
      <c r="J113">
        <f t="shared" si="1"/>
        <v>449.78114898308712</v>
      </c>
      <c r="K113" s="30">
        <f t="shared" si="2"/>
        <v>6744.1981187679512</v>
      </c>
    </row>
    <row r="114" spans="1:11" x14ac:dyDescent="0.25">
      <c r="A114" s="29">
        <v>64</v>
      </c>
      <c r="B114" s="99">
        <f t="shared" si="3"/>
        <v>0</v>
      </c>
      <c r="C114" s="75">
        <f t="shared" si="10"/>
        <v>104.50616427295054</v>
      </c>
      <c r="D114" s="100">
        <f t="shared" si="5"/>
        <v>445.77777777777789</v>
      </c>
      <c r="E114">
        <f t="shared" si="0"/>
        <v>0</v>
      </c>
      <c r="G114">
        <v>64</v>
      </c>
      <c r="H114" s="15">
        <f t="shared" si="6"/>
        <v>3.3332641781285588E-2</v>
      </c>
      <c r="I114">
        <f t="shared" si="7"/>
        <v>106.63945334695282</v>
      </c>
      <c r="J114">
        <f t="shared" si="1"/>
        <v>449.84130719763471</v>
      </c>
      <c r="K114" s="30">
        <f t="shared" si="2"/>
        <v>6746.000734884693</v>
      </c>
    </row>
    <row r="115" spans="1:11" x14ac:dyDescent="0.25">
      <c r="A115" s="29">
        <v>65</v>
      </c>
      <c r="B115" s="99">
        <f t="shared" si="3"/>
        <v>0</v>
      </c>
      <c r="C115" s="75">
        <f t="shared" si="10"/>
        <v>104.50616427295054</v>
      </c>
      <c r="D115" s="100">
        <f t="shared" si="5"/>
        <v>445.77777777777789</v>
      </c>
      <c r="E115">
        <f t="shared" ref="E115:E178" si="11">((D115^2)+(D115*D116)+(D116^2))*B116/3</f>
        <v>0</v>
      </c>
      <c r="G115">
        <v>65</v>
      </c>
      <c r="H115" s="15">
        <f t="shared" si="6"/>
        <v>3.3332641781285588E-2</v>
      </c>
      <c r="I115">
        <f t="shared" si="7"/>
        <v>106.67278598873411</v>
      </c>
      <c r="J115">
        <f t="shared" ref="J115:J178" si="12">IF($G$28&lt;$C$14,0,((($C$11^2)-((I115-$C$13)^2))^0.5)+$C$16)</f>
        <v>449.90136828819516</v>
      </c>
      <c r="K115" s="30">
        <f t="shared" ref="K115:K178" si="13">((J115^2)+(J115*J116)+(J116^2))*H116/3</f>
        <v>6747.8006840421122</v>
      </c>
    </row>
    <row r="116" spans="1:11" x14ac:dyDescent="0.25">
      <c r="A116" s="29">
        <v>66</v>
      </c>
      <c r="B116" s="99">
        <f t="shared" ref="B116:B179" si="14">C116-C115</f>
        <v>0</v>
      </c>
      <c r="C116" s="75">
        <f t="shared" si="10"/>
        <v>104.50616427295054</v>
      </c>
      <c r="D116" s="100">
        <f t="shared" ref="D116:D179" si="15">IF($G$28&lt;$C$14,0,((($C$11^2)-((C116-$C$13)^2))^0.5)+$C$16)</f>
        <v>445.77777777777789</v>
      </c>
      <c r="E116">
        <f t="shared" si="11"/>
        <v>0</v>
      </c>
      <c r="G116">
        <v>66</v>
      </c>
      <c r="H116" s="15">
        <f t="shared" ref="H116:H179" si="16">I116-I115</f>
        <v>3.3332641781285588E-2</v>
      </c>
      <c r="I116">
        <f t="shared" ref="I116:I179" si="17">($G$27-$C$14)/2000+I115</f>
        <v>106.70611863051539</v>
      </c>
      <c r="J116">
        <f t="shared" si="12"/>
        <v>449.96133261366174</v>
      </c>
      <c r="K116" s="30">
        <f t="shared" si="13"/>
        <v>6749.5979758079202</v>
      </c>
    </row>
    <row r="117" spans="1:11" x14ac:dyDescent="0.25">
      <c r="A117" s="29">
        <v>67</v>
      </c>
      <c r="B117" s="99">
        <f t="shared" si="14"/>
        <v>0</v>
      </c>
      <c r="C117" s="75">
        <f t="shared" si="10"/>
        <v>104.50616427295054</v>
      </c>
      <c r="D117" s="100">
        <f t="shared" si="15"/>
        <v>445.77777777777789</v>
      </c>
      <c r="E117">
        <f t="shared" si="11"/>
        <v>0</v>
      </c>
      <c r="G117">
        <v>67</v>
      </c>
      <c r="H117" s="15">
        <f t="shared" si="16"/>
        <v>3.3332641781285588E-2</v>
      </c>
      <c r="I117">
        <f t="shared" si="17"/>
        <v>106.73945127229668</v>
      </c>
      <c r="J117">
        <f t="shared" si="12"/>
        <v>450.02120053058786</v>
      </c>
      <c r="K117" s="30">
        <f t="shared" si="13"/>
        <v>6751.3926196875254</v>
      </c>
    </row>
    <row r="118" spans="1:11" x14ac:dyDescent="0.25">
      <c r="A118" s="29">
        <v>68</v>
      </c>
      <c r="B118" s="99">
        <f t="shared" si="14"/>
        <v>0</v>
      </c>
      <c r="C118" s="75">
        <f t="shared" si="10"/>
        <v>104.50616427295054</v>
      </c>
      <c r="D118" s="100">
        <f t="shared" si="15"/>
        <v>445.77777777777789</v>
      </c>
      <c r="E118">
        <f t="shared" si="11"/>
        <v>0</v>
      </c>
      <c r="G118">
        <v>68</v>
      </c>
      <c r="H118" s="15">
        <f t="shared" si="16"/>
        <v>3.3332641781285588E-2</v>
      </c>
      <c r="I118">
        <f t="shared" si="17"/>
        <v>106.77278391407796</v>
      </c>
      <c r="J118">
        <f t="shared" si="12"/>
        <v>450.08097239320807</v>
      </c>
      <c r="K118" s="30">
        <f t="shared" si="13"/>
        <v>6753.1846251246061</v>
      </c>
    </row>
    <row r="119" spans="1:11" x14ac:dyDescent="0.25">
      <c r="A119" s="29">
        <v>69</v>
      </c>
      <c r="B119" s="99">
        <f t="shared" si="14"/>
        <v>0</v>
      </c>
      <c r="C119" s="75">
        <f t="shared" si="10"/>
        <v>104.50616427295054</v>
      </c>
      <c r="D119" s="100">
        <f t="shared" si="15"/>
        <v>445.77777777777789</v>
      </c>
      <c r="E119">
        <f t="shared" si="11"/>
        <v>0</v>
      </c>
      <c r="G119">
        <v>69</v>
      </c>
      <c r="H119" s="15">
        <f t="shared" si="16"/>
        <v>3.3332641781285588E-2</v>
      </c>
      <c r="I119">
        <f t="shared" si="17"/>
        <v>106.80611655585925</v>
      </c>
      <c r="J119">
        <f t="shared" si="12"/>
        <v>450.14064855345964</v>
      </c>
      <c r="K119" s="30">
        <f t="shared" si="13"/>
        <v>6754.9740015016732</v>
      </c>
    </row>
    <row r="120" spans="1:11" x14ac:dyDescent="0.25">
      <c r="A120" s="29">
        <v>70</v>
      </c>
      <c r="B120" s="99">
        <f t="shared" si="14"/>
        <v>0</v>
      </c>
      <c r="C120" s="75">
        <f t="shared" si="10"/>
        <v>104.50616427295054</v>
      </c>
      <c r="D120" s="100">
        <f t="shared" si="15"/>
        <v>445.77777777777789</v>
      </c>
      <c r="E120">
        <f t="shared" si="11"/>
        <v>0</v>
      </c>
      <c r="G120">
        <v>70</v>
      </c>
      <c r="H120" s="15">
        <f t="shared" si="16"/>
        <v>3.3332641781285588E-2</v>
      </c>
      <c r="I120">
        <f t="shared" si="17"/>
        <v>106.83944919764053</v>
      </c>
      <c r="J120">
        <f t="shared" si="12"/>
        <v>450.20022936100321</v>
      </c>
      <c r="K120" s="30">
        <f t="shared" si="13"/>
        <v>6756.7607581406237</v>
      </c>
    </row>
    <row r="121" spans="1:11" x14ac:dyDescent="0.25">
      <c r="A121" s="29">
        <v>71</v>
      </c>
      <c r="B121" s="99">
        <f t="shared" si="14"/>
        <v>0</v>
      </c>
      <c r="C121" s="75">
        <f t="shared" si="10"/>
        <v>104.50616427295054</v>
      </c>
      <c r="D121" s="100">
        <f t="shared" si="15"/>
        <v>445.77777777777789</v>
      </c>
      <c r="E121">
        <f t="shared" si="11"/>
        <v>0</v>
      </c>
      <c r="G121">
        <v>71</v>
      </c>
      <c r="H121" s="15">
        <f t="shared" si="16"/>
        <v>3.3332641781285588E-2</v>
      </c>
      <c r="I121">
        <f t="shared" si="17"/>
        <v>106.87278183942182</v>
      </c>
      <c r="J121">
        <f t="shared" si="12"/>
        <v>450.25971516324341</v>
      </c>
      <c r="K121" s="30">
        <f t="shared" si="13"/>
        <v>6758.5449043032831</v>
      </c>
    </row>
    <row r="122" spans="1:11" x14ac:dyDescent="0.25">
      <c r="A122" s="29">
        <v>72</v>
      </c>
      <c r="B122" s="99">
        <f t="shared" si="14"/>
        <v>0</v>
      </c>
      <c r="C122" s="75">
        <f t="shared" si="10"/>
        <v>104.50616427295054</v>
      </c>
      <c r="D122" s="100">
        <f t="shared" si="15"/>
        <v>445.77777777777789</v>
      </c>
      <c r="E122">
        <f t="shared" si="11"/>
        <v>0</v>
      </c>
      <c r="G122">
        <v>72</v>
      </c>
      <c r="H122" s="15">
        <f t="shared" si="16"/>
        <v>3.3332641781285588E-2</v>
      </c>
      <c r="I122">
        <f t="shared" si="17"/>
        <v>106.9061144812031</v>
      </c>
      <c r="J122">
        <f t="shared" si="12"/>
        <v>450.31910630534935</v>
      </c>
      <c r="K122" s="30">
        <f t="shared" si="13"/>
        <v>6760.3264491919663</v>
      </c>
    </row>
    <row r="123" spans="1:11" x14ac:dyDescent="0.25">
      <c r="A123" s="29">
        <v>73</v>
      </c>
      <c r="B123" s="99">
        <f t="shared" si="14"/>
        <v>0</v>
      </c>
      <c r="C123" s="75">
        <f t="shared" si="10"/>
        <v>104.50616427295054</v>
      </c>
      <c r="D123" s="100">
        <f t="shared" si="15"/>
        <v>445.77777777777789</v>
      </c>
      <c r="E123">
        <f t="shared" si="11"/>
        <v>0</v>
      </c>
      <c r="G123">
        <v>73</v>
      </c>
      <c r="H123" s="15">
        <f t="shared" si="16"/>
        <v>3.3332641781285588E-2</v>
      </c>
      <c r="I123">
        <f t="shared" si="17"/>
        <v>106.93944712298439</v>
      </c>
      <c r="J123">
        <f t="shared" si="12"/>
        <v>450.37840313027488</v>
      </c>
      <c r="K123" s="30">
        <f t="shared" si="13"/>
        <v>6762.1054019499925</v>
      </c>
    </row>
    <row r="124" spans="1:11" x14ac:dyDescent="0.25">
      <c r="A124" s="29">
        <v>74</v>
      </c>
      <c r="B124" s="99">
        <f t="shared" si="14"/>
        <v>0</v>
      </c>
      <c r="C124" s="75">
        <f t="shared" si="10"/>
        <v>104.50616427295054</v>
      </c>
      <c r="D124" s="100">
        <f t="shared" si="15"/>
        <v>445.77777777777789</v>
      </c>
      <c r="E124">
        <f t="shared" si="11"/>
        <v>0</v>
      </c>
      <c r="G124">
        <v>74</v>
      </c>
      <c r="H124" s="15">
        <f t="shared" si="16"/>
        <v>3.3332641781285588E-2</v>
      </c>
      <c r="I124">
        <f t="shared" si="17"/>
        <v>106.97277976476568</v>
      </c>
      <c r="J124">
        <f t="shared" si="12"/>
        <v>450.43760597877838</v>
      </c>
      <c r="K124" s="30">
        <f t="shared" si="13"/>
        <v>6763.8817716622334</v>
      </c>
    </row>
    <row r="125" spans="1:11" x14ac:dyDescent="0.25">
      <c r="A125" s="29">
        <v>75</v>
      </c>
      <c r="B125" s="99">
        <f t="shared" si="14"/>
        <v>0</v>
      </c>
      <c r="C125" s="75">
        <f t="shared" si="10"/>
        <v>104.50616427295054</v>
      </c>
      <c r="D125" s="100">
        <f t="shared" si="15"/>
        <v>445.77777777777789</v>
      </c>
      <c r="E125">
        <f t="shared" si="11"/>
        <v>0</v>
      </c>
      <c r="G125">
        <v>75</v>
      </c>
      <c r="H125" s="15">
        <f t="shared" si="16"/>
        <v>3.3332641781285588E-2</v>
      </c>
      <c r="I125">
        <f t="shared" si="17"/>
        <v>107.00611240654696</v>
      </c>
      <c r="J125">
        <f t="shared" si="12"/>
        <v>450.49671518944257</v>
      </c>
      <c r="K125" s="30">
        <f t="shared" si="13"/>
        <v>6765.6555673556286</v>
      </c>
    </row>
    <row r="126" spans="1:11" x14ac:dyDescent="0.25">
      <c r="A126" s="29">
        <v>76</v>
      </c>
      <c r="B126" s="99">
        <f t="shared" si="14"/>
        <v>0</v>
      </c>
      <c r="C126" s="75">
        <f t="shared" si="10"/>
        <v>104.50616427295054</v>
      </c>
      <c r="D126" s="100">
        <f t="shared" si="15"/>
        <v>445.77777777777789</v>
      </c>
      <c r="E126">
        <f t="shared" si="11"/>
        <v>0</v>
      </c>
      <c r="G126">
        <v>76</v>
      </c>
      <c r="H126" s="15">
        <f t="shared" si="16"/>
        <v>3.3332641781285588E-2</v>
      </c>
      <c r="I126">
        <f t="shared" si="17"/>
        <v>107.03944504832825</v>
      </c>
      <c r="J126">
        <f t="shared" si="12"/>
        <v>450.55573109869397</v>
      </c>
      <c r="K126" s="30">
        <f t="shared" si="13"/>
        <v>6767.426797999703</v>
      </c>
    </row>
    <row r="127" spans="1:11" x14ac:dyDescent="0.25">
      <c r="A127" s="29">
        <v>77</v>
      </c>
      <c r="B127" s="99">
        <f t="shared" si="14"/>
        <v>0</v>
      </c>
      <c r="C127" s="75">
        <f t="shared" si="10"/>
        <v>104.50616427295054</v>
      </c>
      <c r="D127" s="100">
        <f t="shared" si="15"/>
        <v>445.77777777777789</v>
      </c>
      <c r="E127">
        <f t="shared" si="11"/>
        <v>0</v>
      </c>
      <c r="G127">
        <v>77</v>
      </c>
      <c r="H127" s="15">
        <f t="shared" si="16"/>
        <v>3.3332641781285588E-2</v>
      </c>
      <c r="I127">
        <f t="shared" si="17"/>
        <v>107.07277769010953</v>
      </c>
      <c r="J127">
        <f t="shared" si="12"/>
        <v>450.61465404082219</v>
      </c>
      <c r="K127" s="30">
        <f t="shared" si="13"/>
        <v>6769.1954725070818</v>
      </c>
    </row>
    <row r="128" spans="1:11" x14ac:dyDescent="0.25">
      <c r="A128" s="29">
        <v>78</v>
      </c>
      <c r="B128" s="99">
        <f t="shared" si="14"/>
        <v>0</v>
      </c>
      <c r="C128" s="75">
        <f t="shared" si="10"/>
        <v>104.50616427295054</v>
      </c>
      <c r="D128" s="100">
        <f t="shared" si="15"/>
        <v>445.77777777777789</v>
      </c>
      <c r="E128">
        <f t="shared" si="11"/>
        <v>0</v>
      </c>
      <c r="G128">
        <v>78</v>
      </c>
      <c r="H128" s="15">
        <f t="shared" si="16"/>
        <v>3.3332641781285588E-2</v>
      </c>
      <c r="I128">
        <f t="shared" si="17"/>
        <v>107.10611033189082</v>
      </c>
      <c r="J128">
        <f t="shared" si="12"/>
        <v>450.67348434799879</v>
      </c>
      <c r="K128" s="30">
        <f t="shared" si="13"/>
        <v>6770.9615997339979</v>
      </c>
    </row>
    <row r="129" spans="1:11" x14ac:dyDescent="0.25">
      <c r="A129" s="29">
        <v>79</v>
      </c>
      <c r="B129" s="99">
        <f t="shared" si="14"/>
        <v>0</v>
      </c>
      <c r="C129" s="75">
        <f t="shared" si="10"/>
        <v>104.50616427295054</v>
      </c>
      <c r="D129" s="100">
        <f t="shared" si="15"/>
        <v>445.77777777777789</v>
      </c>
      <c r="E129">
        <f t="shared" si="11"/>
        <v>0</v>
      </c>
      <c r="G129">
        <v>79</v>
      </c>
      <c r="H129" s="15">
        <f t="shared" si="16"/>
        <v>3.3332641781285588E-2</v>
      </c>
      <c r="I129">
        <f t="shared" si="17"/>
        <v>107.1394429736721</v>
      </c>
      <c r="J129">
        <f t="shared" si="12"/>
        <v>450.73222235029641</v>
      </c>
      <c r="K129" s="30">
        <f t="shared" si="13"/>
        <v>6772.7251884807883</v>
      </c>
    </row>
    <row r="130" spans="1:11" x14ac:dyDescent="0.25">
      <c r="A130" s="29">
        <v>80</v>
      </c>
      <c r="B130" s="99">
        <f t="shared" si="14"/>
        <v>0</v>
      </c>
      <c r="C130" s="75">
        <f t="shared" si="10"/>
        <v>104.50616427295054</v>
      </c>
      <c r="D130" s="100">
        <f t="shared" si="15"/>
        <v>445.77777777777789</v>
      </c>
      <c r="E130">
        <f t="shared" si="11"/>
        <v>0</v>
      </c>
      <c r="G130">
        <v>80</v>
      </c>
      <c r="H130" s="15">
        <f t="shared" si="16"/>
        <v>3.3332641781285588E-2</v>
      </c>
      <c r="I130">
        <f t="shared" si="17"/>
        <v>107.17277561545339</v>
      </c>
      <c r="J130">
        <f t="shared" si="12"/>
        <v>450.79086837570713</v>
      </c>
      <c r="K130" s="30">
        <f t="shared" si="13"/>
        <v>6774.4862474923912</v>
      </c>
    </row>
    <row r="131" spans="1:11" x14ac:dyDescent="0.25">
      <c r="A131" s="29">
        <v>81</v>
      </c>
      <c r="B131" s="99">
        <f t="shared" si="14"/>
        <v>0</v>
      </c>
      <c r="C131" s="75">
        <f t="shared" si="10"/>
        <v>104.50616427295054</v>
      </c>
      <c r="D131" s="100">
        <f t="shared" si="15"/>
        <v>445.77777777777789</v>
      </c>
      <c r="E131">
        <f t="shared" si="11"/>
        <v>0</v>
      </c>
      <c r="G131">
        <v>81</v>
      </c>
      <c r="H131" s="15">
        <f t="shared" si="16"/>
        <v>3.3332641781285588E-2</v>
      </c>
      <c r="I131">
        <f t="shared" si="17"/>
        <v>107.20610825723467</v>
      </c>
      <c r="J131">
        <f t="shared" si="12"/>
        <v>450.84942275016095</v>
      </c>
      <c r="K131" s="30">
        <f t="shared" si="13"/>
        <v>6776.2447854588363</v>
      </c>
    </row>
    <row r="132" spans="1:11" x14ac:dyDescent="0.25">
      <c r="A132" s="29">
        <v>82</v>
      </c>
      <c r="B132" s="99">
        <f t="shared" si="14"/>
        <v>0</v>
      </c>
      <c r="C132" s="75">
        <f t="shared" si="10"/>
        <v>104.50616427295054</v>
      </c>
      <c r="D132" s="100">
        <f t="shared" si="15"/>
        <v>445.77777777777789</v>
      </c>
      <c r="E132">
        <f t="shared" si="11"/>
        <v>0</v>
      </c>
      <c r="G132">
        <v>82</v>
      </c>
      <c r="H132" s="15">
        <f t="shared" si="16"/>
        <v>3.3332641781285588E-2</v>
      </c>
      <c r="I132">
        <f t="shared" si="17"/>
        <v>107.23944089901596</v>
      </c>
      <c r="J132">
        <f t="shared" si="12"/>
        <v>450.90788579754394</v>
      </c>
      <c r="K132" s="30">
        <f t="shared" si="13"/>
        <v>6778.0008110157278</v>
      </c>
    </row>
    <row r="133" spans="1:11" x14ac:dyDescent="0.25">
      <c r="A133" s="29">
        <v>83</v>
      </c>
      <c r="B133" s="99">
        <f t="shared" si="14"/>
        <v>0</v>
      </c>
      <c r="C133" s="75">
        <f t="shared" si="10"/>
        <v>104.50616427295054</v>
      </c>
      <c r="D133" s="100">
        <f t="shared" si="15"/>
        <v>445.77777777777789</v>
      </c>
      <c r="E133">
        <f t="shared" si="11"/>
        <v>0</v>
      </c>
      <c r="G133">
        <v>83</v>
      </c>
      <c r="H133" s="15">
        <f t="shared" si="16"/>
        <v>3.3332641781285588E-2</v>
      </c>
      <c r="I133">
        <f t="shared" si="17"/>
        <v>107.27277354079725</v>
      </c>
      <c r="J133">
        <f t="shared" si="12"/>
        <v>450.96625783971632</v>
      </c>
      <c r="K133" s="30">
        <f t="shared" si="13"/>
        <v>6779.7543327447229</v>
      </c>
    </row>
    <row r="134" spans="1:11" x14ac:dyDescent="0.25">
      <c r="A134" s="29">
        <v>84</v>
      </c>
      <c r="B134" s="99">
        <f t="shared" si="14"/>
        <v>0</v>
      </c>
      <c r="C134" s="75">
        <f t="shared" si="10"/>
        <v>104.50616427295054</v>
      </c>
      <c r="D134" s="100">
        <f t="shared" si="15"/>
        <v>445.77777777777789</v>
      </c>
      <c r="E134">
        <f t="shared" si="11"/>
        <v>0</v>
      </c>
      <c r="G134">
        <v>84</v>
      </c>
      <c r="H134" s="15">
        <f t="shared" si="16"/>
        <v>3.3332641781285588E-2</v>
      </c>
      <c r="I134">
        <f t="shared" si="17"/>
        <v>107.30610618257853</v>
      </c>
      <c r="J134">
        <f t="shared" si="12"/>
        <v>451.02453919653016</v>
      </c>
      <c r="K134" s="30">
        <f t="shared" si="13"/>
        <v>6781.5053591739988</v>
      </c>
    </row>
    <row r="135" spans="1:11" x14ac:dyDescent="0.25">
      <c r="A135" s="29">
        <v>85</v>
      </c>
      <c r="B135" s="99">
        <f t="shared" si="14"/>
        <v>0</v>
      </c>
      <c r="C135" s="75">
        <f t="shared" si="10"/>
        <v>104.50616427295054</v>
      </c>
      <c r="D135" s="100">
        <f t="shared" si="15"/>
        <v>445.77777777777789</v>
      </c>
      <c r="E135">
        <f t="shared" si="11"/>
        <v>0</v>
      </c>
      <c r="G135">
        <v>85</v>
      </c>
      <c r="H135" s="15">
        <f t="shared" si="16"/>
        <v>3.3332641781285588E-2</v>
      </c>
      <c r="I135">
        <f t="shared" si="17"/>
        <v>107.33943882435982</v>
      </c>
      <c r="J135">
        <f t="shared" si="12"/>
        <v>451.0827301858468</v>
      </c>
      <c r="K135" s="30">
        <f t="shared" si="13"/>
        <v>6783.2538987787275</v>
      </c>
    </row>
    <row r="136" spans="1:11" x14ac:dyDescent="0.25">
      <c r="A136" s="29">
        <v>86</v>
      </c>
      <c r="B136" s="99">
        <f t="shared" si="14"/>
        <v>0</v>
      </c>
      <c r="C136" s="75">
        <f t="shared" si="10"/>
        <v>104.50616427295054</v>
      </c>
      <c r="D136" s="100">
        <f t="shared" si="15"/>
        <v>445.77777777777789</v>
      </c>
      <c r="E136">
        <f t="shared" si="11"/>
        <v>0</v>
      </c>
      <c r="G136">
        <v>86</v>
      </c>
      <c r="H136" s="15">
        <f t="shared" si="16"/>
        <v>3.3332641781285588E-2</v>
      </c>
      <c r="I136">
        <f t="shared" si="17"/>
        <v>107.3727714661411</v>
      </c>
      <c r="J136">
        <f t="shared" si="12"/>
        <v>451.14083112355462</v>
      </c>
      <c r="K136" s="30">
        <f t="shared" si="13"/>
        <v>6784.9999599815392</v>
      </c>
    </row>
    <row r="137" spans="1:11" x14ac:dyDescent="0.25">
      <c r="A137" s="29">
        <v>87</v>
      </c>
      <c r="B137" s="99">
        <f t="shared" si="14"/>
        <v>0</v>
      </c>
      <c r="C137" s="75">
        <f t="shared" si="10"/>
        <v>104.50616427295054</v>
      </c>
      <c r="D137" s="100">
        <f t="shared" si="15"/>
        <v>445.77777777777789</v>
      </c>
      <c r="E137">
        <f t="shared" si="11"/>
        <v>0</v>
      </c>
      <c r="G137">
        <v>87</v>
      </c>
      <c r="H137" s="15">
        <f t="shared" si="16"/>
        <v>3.3332641781285588E-2</v>
      </c>
      <c r="I137">
        <f t="shared" si="17"/>
        <v>107.40610410792239</v>
      </c>
      <c r="J137">
        <f t="shared" si="12"/>
        <v>451.19884232358578</v>
      </c>
      <c r="K137" s="30">
        <f t="shared" si="13"/>
        <v>6786.743551152972</v>
      </c>
    </row>
    <row r="138" spans="1:11" x14ac:dyDescent="0.25">
      <c r="A138" s="29">
        <v>88</v>
      </c>
      <c r="B138" s="99">
        <f t="shared" si="14"/>
        <v>0</v>
      </c>
      <c r="C138" s="75">
        <f t="shared" si="10"/>
        <v>104.50616427295054</v>
      </c>
      <c r="D138" s="100">
        <f t="shared" si="15"/>
        <v>445.77777777777789</v>
      </c>
      <c r="E138">
        <f t="shared" si="11"/>
        <v>0</v>
      </c>
      <c r="G138">
        <v>88</v>
      </c>
      <c r="H138" s="15">
        <f t="shared" si="16"/>
        <v>3.3332641781285588E-2</v>
      </c>
      <c r="I138">
        <f t="shared" si="17"/>
        <v>107.43943674970367</v>
      </c>
      <c r="J138">
        <f t="shared" si="12"/>
        <v>451.25676409793357</v>
      </c>
      <c r="K138" s="30">
        <f t="shared" si="13"/>
        <v>6788.4846806119249</v>
      </c>
    </row>
    <row r="139" spans="1:11" x14ac:dyDescent="0.25">
      <c r="A139" s="29">
        <v>89</v>
      </c>
      <c r="B139" s="99">
        <f t="shared" si="14"/>
        <v>0</v>
      </c>
      <c r="C139" s="75">
        <f t="shared" si="10"/>
        <v>104.50616427295054</v>
      </c>
      <c r="D139" s="100">
        <f t="shared" si="15"/>
        <v>445.77777777777789</v>
      </c>
      <c r="E139">
        <f t="shared" si="11"/>
        <v>0</v>
      </c>
      <c r="G139">
        <v>89</v>
      </c>
      <c r="H139" s="15">
        <f t="shared" si="16"/>
        <v>3.3332641781285588E-2</v>
      </c>
      <c r="I139">
        <f t="shared" si="17"/>
        <v>107.47276939148496</v>
      </c>
      <c r="J139">
        <f t="shared" si="12"/>
        <v>451.31459675666889</v>
      </c>
      <c r="K139" s="30">
        <f t="shared" si="13"/>
        <v>6790.2233566261102</v>
      </c>
    </row>
    <row r="140" spans="1:11" x14ac:dyDescent="0.25">
      <c r="A140" s="29">
        <v>90</v>
      </c>
      <c r="B140" s="99">
        <f t="shared" si="14"/>
        <v>0</v>
      </c>
      <c r="C140" s="75">
        <f t="shared" si="10"/>
        <v>104.50616427295054</v>
      </c>
      <c r="D140" s="100">
        <f t="shared" si="15"/>
        <v>445.77777777777789</v>
      </c>
      <c r="E140">
        <f t="shared" si="11"/>
        <v>0</v>
      </c>
      <c r="G140">
        <v>90</v>
      </c>
      <c r="H140" s="15">
        <f t="shared" si="16"/>
        <v>3.3332641781285588E-2</v>
      </c>
      <c r="I140">
        <f t="shared" si="17"/>
        <v>107.50610203326625</v>
      </c>
      <c r="J140">
        <f t="shared" si="12"/>
        <v>451.3723406079572</v>
      </c>
      <c r="K140" s="30">
        <f t="shared" si="13"/>
        <v>6791.9595874124943</v>
      </c>
    </row>
    <row r="141" spans="1:11" x14ac:dyDescent="0.25">
      <c r="A141" s="29">
        <v>91</v>
      </c>
      <c r="B141" s="99">
        <f t="shared" si="14"/>
        <v>0</v>
      </c>
      <c r="C141" s="75">
        <f t="shared" si="10"/>
        <v>104.50616427295054</v>
      </c>
      <c r="D141" s="100">
        <f t="shared" si="15"/>
        <v>445.77777777777789</v>
      </c>
      <c r="E141">
        <f t="shared" si="11"/>
        <v>0</v>
      </c>
      <c r="G141">
        <v>91</v>
      </c>
      <c r="H141" s="15">
        <f t="shared" si="16"/>
        <v>3.3332641781285588E-2</v>
      </c>
      <c r="I141">
        <f t="shared" si="17"/>
        <v>107.53943467504753</v>
      </c>
      <c r="J141">
        <f t="shared" si="12"/>
        <v>451.4299959580747</v>
      </c>
      <c r="K141" s="30">
        <f t="shared" si="13"/>
        <v>6793.6933811377303</v>
      </c>
    </row>
    <row r="142" spans="1:11" x14ac:dyDescent="0.25">
      <c r="A142" s="29">
        <v>92</v>
      </c>
      <c r="B142" s="99">
        <f t="shared" si="14"/>
        <v>0</v>
      </c>
      <c r="C142" s="75">
        <f t="shared" si="10"/>
        <v>104.50616427295054</v>
      </c>
      <c r="D142" s="100">
        <f t="shared" si="15"/>
        <v>445.77777777777789</v>
      </c>
      <c r="E142">
        <f t="shared" si="11"/>
        <v>0</v>
      </c>
      <c r="G142">
        <v>92</v>
      </c>
      <c r="H142" s="15">
        <f t="shared" si="16"/>
        <v>3.3332641781285588E-2</v>
      </c>
      <c r="I142">
        <f t="shared" si="17"/>
        <v>107.57276731682882</v>
      </c>
      <c r="J142">
        <f t="shared" si="12"/>
        <v>451.48756311142461</v>
      </c>
      <c r="K142" s="30">
        <f t="shared" si="13"/>
        <v>6795.4247459185863</v>
      </c>
    </row>
    <row r="143" spans="1:11" x14ac:dyDescent="0.25">
      <c r="A143" s="29">
        <v>93</v>
      </c>
      <c r="B143" s="99">
        <f t="shared" si="14"/>
        <v>0</v>
      </c>
      <c r="C143" s="75">
        <f t="shared" si="10"/>
        <v>104.50616427295054</v>
      </c>
      <c r="D143" s="100">
        <f t="shared" si="15"/>
        <v>445.77777777777789</v>
      </c>
      <c r="E143">
        <f t="shared" si="11"/>
        <v>0</v>
      </c>
      <c r="G143">
        <v>93</v>
      </c>
      <c r="H143" s="15">
        <f t="shared" si="16"/>
        <v>3.3332641781285588E-2</v>
      </c>
      <c r="I143">
        <f t="shared" si="17"/>
        <v>107.6060999586101</v>
      </c>
      <c r="J143">
        <f t="shared" si="12"/>
        <v>451.54504237055329</v>
      </c>
      <c r="K143" s="30">
        <f t="shared" si="13"/>
        <v>6797.1536898223885</v>
      </c>
    </row>
    <row r="144" spans="1:11" x14ac:dyDescent="0.25">
      <c r="A144" s="29">
        <v>94</v>
      </c>
      <c r="B144" s="99">
        <f t="shared" si="14"/>
        <v>0</v>
      </c>
      <c r="C144" s="75">
        <f t="shared" ref="C144:C207" si="18">($C$37-$C$36)/2000+C143</f>
        <v>104.50616427295054</v>
      </c>
      <c r="D144" s="100">
        <f t="shared" si="15"/>
        <v>445.77777777777789</v>
      </c>
      <c r="E144">
        <f t="shared" si="11"/>
        <v>0</v>
      </c>
      <c r="G144">
        <v>94</v>
      </c>
      <c r="H144" s="15">
        <f t="shared" si="16"/>
        <v>3.3332641781285588E-2</v>
      </c>
      <c r="I144">
        <f t="shared" si="17"/>
        <v>107.63943260039139</v>
      </c>
      <c r="J144">
        <f t="shared" si="12"/>
        <v>451.60243403616619</v>
      </c>
      <c r="K144" s="30">
        <f t="shared" si="13"/>
        <v>6798.8802208674279</v>
      </c>
    </row>
    <row r="145" spans="1:11" x14ac:dyDescent="0.25">
      <c r="A145" s="29">
        <v>95</v>
      </c>
      <c r="B145" s="99">
        <f t="shared" si="14"/>
        <v>0</v>
      </c>
      <c r="C145" s="75">
        <f t="shared" si="18"/>
        <v>104.50616427295054</v>
      </c>
      <c r="D145" s="100">
        <f t="shared" si="15"/>
        <v>445.77777777777789</v>
      </c>
      <c r="E145">
        <f t="shared" si="11"/>
        <v>0</v>
      </c>
      <c r="G145">
        <v>95</v>
      </c>
      <c r="H145" s="15">
        <f t="shared" si="16"/>
        <v>3.3332641781285588E-2</v>
      </c>
      <c r="I145">
        <f t="shared" si="17"/>
        <v>107.67276524217267</v>
      </c>
      <c r="J145">
        <f t="shared" si="12"/>
        <v>451.65973840714344</v>
      </c>
      <c r="K145" s="30">
        <f t="shared" si="13"/>
        <v>6800.6043470233863</v>
      </c>
    </row>
    <row r="146" spans="1:11" x14ac:dyDescent="0.25">
      <c r="A146" s="29">
        <v>96</v>
      </c>
      <c r="B146" s="99">
        <f t="shared" si="14"/>
        <v>0</v>
      </c>
      <c r="C146" s="75">
        <f t="shared" si="18"/>
        <v>104.50616427295054</v>
      </c>
      <c r="D146" s="100">
        <f t="shared" si="15"/>
        <v>445.77777777777789</v>
      </c>
      <c r="E146">
        <f t="shared" si="11"/>
        <v>0</v>
      </c>
      <c r="G146">
        <v>96</v>
      </c>
      <c r="H146" s="15">
        <f t="shared" si="16"/>
        <v>3.3332641781285588E-2</v>
      </c>
      <c r="I146">
        <f t="shared" si="17"/>
        <v>107.70609788395396</v>
      </c>
      <c r="J146">
        <f t="shared" si="12"/>
        <v>451.71695578055539</v>
      </c>
      <c r="K146" s="30">
        <f t="shared" si="13"/>
        <v>6802.3260762117507</v>
      </c>
    </row>
    <row r="147" spans="1:11" x14ac:dyDescent="0.25">
      <c r="A147" s="29">
        <v>97</v>
      </c>
      <c r="B147" s="99">
        <f t="shared" si="14"/>
        <v>0</v>
      </c>
      <c r="C147" s="75">
        <f t="shared" si="18"/>
        <v>104.50616427295054</v>
      </c>
      <c r="D147" s="100">
        <f t="shared" si="15"/>
        <v>445.77777777777789</v>
      </c>
      <c r="E147">
        <f t="shared" si="11"/>
        <v>0</v>
      </c>
      <c r="G147">
        <v>97</v>
      </c>
      <c r="H147" s="15">
        <f t="shared" si="16"/>
        <v>3.3332641781285588E-2</v>
      </c>
      <c r="I147">
        <f t="shared" si="17"/>
        <v>107.73943052573524</v>
      </c>
      <c r="J147">
        <f t="shared" si="12"/>
        <v>451.77408645167822</v>
      </c>
      <c r="K147" s="30">
        <f t="shared" si="13"/>
        <v>6804.0454163062159</v>
      </c>
    </row>
    <row r="148" spans="1:11" x14ac:dyDescent="0.25">
      <c r="A148" s="29">
        <v>98</v>
      </c>
      <c r="B148" s="99">
        <f t="shared" si="14"/>
        <v>0</v>
      </c>
      <c r="C148" s="75">
        <f t="shared" si="18"/>
        <v>104.50616427295054</v>
      </c>
      <c r="D148" s="100">
        <f t="shared" si="15"/>
        <v>445.77777777777789</v>
      </c>
      <c r="E148">
        <f t="shared" si="11"/>
        <v>0</v>
      </c>
      <c r="G148">
        <v>98</v>
      </c>
      <c r="H148" s="15">
        <f t="shared" si="16"/>
        <v>3.3332641781285588E-2</v>
      </c>
      <c r="I148">
        <f t="shared" si="17"/>
        <v>107.77276316751653</v>
      </c>
      <c r="J148">
        <f t="shared" si="12"/>
        <v>451.83113071400868</v>
      </c>
      <c r="K148" s="30">
        <f t="shared" si="13"/>
        <v>6805.7623751330902</v>
      </c>
    </row>
    <row r="149" spans="1:11" x14ac:dyDescent="0.25">
      <c r="A149" s="29">
        <v>99</v>
      </c>
      <c r="B149" s="99">
        <f t="shared" si="14"/>
        <v>0</v>
      </c>
      <c r="C149" s="75">
        <f t="shared" si="18"/>
        <v>104.50616427295054</v>
      </c>
      <c r="D149" s="100">
        <f t="shared" si="15"/>
        <v>445.77777777777789</v>
      </c>
      <c r="E149">
        <f t="shared" si="11"/>
        <v>0</v>
      </c>
      <c r="G149">
        <v>99</v>
      </c>
      <c r="H149" s="15">
        <f t="shared" si="16"/>
        <v>3.3332641781285588E-2</v>
      </c>
      <c r="I149">
        <f t="shared" si="17"/>
        <v>107.80609580929782</v>
      </c>
      <c r="J149">
        <f t="shared" si="12"/>
        <v>451.88808885927966</v>
      </c>
      <c r="K149" s="30">
        <f t="shared" si="13"/>
        <v>6807.476960471703</v>
      </c>
    </row>
    <row r="150" spans="1:11" x14ac:dyDescent="0.25">
      <c r="A150" s="29">
        <v>100</v>
      </c>
      <c r="B150" s="99">
        <f t="shared" si="14"/>
        <v>0</v>
      </c>
      <c r="C150" s="75">
        <f t="shared" si="18"/>
        <v>104.50616427295054</v>
      </c>
      <c r="D150" s="100">
        <f t="shared" si="15"/>
        <v>445.77777777777789</v>
      </c>
      <c r="E150">
        <f t="shared" si="11"/>
        <v>0</v>
      </c>
      <c r="G150">
        <v>100</v>
      </c>
      <c r="H150" s="15">
        <f t="shared" si="16"/>
        <v>3.3332641781285588E-2</v>
      </c>
      <c r="I150">
        <f t="shared" si="17"/>
        <v>107.8394284510791</v>
      </c>
      <c r="J150">
        <f t="shared" si="12"/>
        <v>451.94496117747468</v>
      </c>
      <c r="K150" s="30">
        <f t="shared" si="13"/>
        <v>6809.1891800547928</v>
      </c>
    </row>
    <row r="151" spans="1:11" x14ac:dyDescent="0.25">
      <c r="A151" s="29">
        <v>101</v>
      </c>
      <c r="B151" s="99">
        <f t="shared" si="14"/>
        <v>0</v>
      </c>
      <c r="C151" s="75">
        <f t="shared" si="18"/>
        <v>104.50616427295054</v>
      </c>
      <c r="D151" s="100">
        <f t="shared" si="15"/>
        <v>445.77777777777789</v>
      </c>
      <c r="E151">
        <f t="shared" si="11"/>
        <v>0</v>
      </c>
      <c r="G151">
        <v>101</v>
      </c>
      <c r="H151" s="15">
        <f t="shared" si="16"/>
        <v>3.3332641781285588E-2</v>
      </c>
      <c r="I151">
        <f t="shared" si="17"/>
        <v>107.87276109286039</v>
      </c>
      <c r="J151">
        <f t="shared" si="12"/>
        <v>452.00174795684273</v>
      </c>
      <c r="K151" s="30">
        <f t="shared" si="13"/>
        <v>6810.8990415688995</v>
      </c>
    </row>
    <row r="152" spans="1:11" x14ac:dyDescent="0.25">
      <c r="A152" s="29">
        <v>102</v>
      </c>
      <c r="B152" s="99">
        <f t="shared" si="14"/>
        <v>0</v>
      </c>
      <c r="C152" s="75">
        <f t="shared" si="18"/>
        <v>104.50616427295054</v>
      </c>
      <c r="D152" s="100">
        <f t="shared" si="15"/>
        <v>445.77777777777789</v>
      </c>
      <c r="E152">
        <f t="shared" si="11"/>
        <v>0</v>
      </c>
      <c r="G152">
        <v>102</v>
      </c>
      <c r="H152" s="15">
        <f t="shared" si="16"/>
        <v>3.3332641781285588E-2</v>
      </c>
      <c r="I152">
        <f t="shared" si="17"/>
        <v>107.90609373464167</v>
      </c>
      <c r="J152">
        <f t="shared" si="12"/>
        <v>452.05844948391291</v>
      </c>
      <c r="K152" s="30">
        <f t="shared" si="13"/>
        <v>6812.6065526547563</v>
      </c>
    </row>
    <row r="153" spans="1:11" x14ac:dyDescent="0.25">
      <c r="A153" s="29">
        <v>103</v>
      </c>
      <c r="B153" s="99">
        <f t="shared" si="14"/>
        <v>0</v>
      </c>
      <c r="C153" s="75">
        <f t="shared" si="18"/>
        <v>104.50616427295054</v>
      </c>
      <c r="D153" s="100">
        <f t="shared" si="15"/>
        <v>445.77777777777789</v>
      </c>
      <c r="E153">
        <f t="shared" si="11"/>
        <v>0</v>
      </c>
      <c r="G153">
        <v>103</v>
      </c>
      <c r="H153" s="15">
        <f t="shared" si="16"/>
        <v>3.3332641781285588E-2</v>
      </c>
      <c r="I153">
        <f t="shared" si="17"/>
        <v>107.93942637642296</v>
      </c>
      <c r="J153">
        <f t="shared" si="12"/>
        <v>452.1150660435087</v>
      </c>
      <c r="K153" s="30">
        <f t="shared" si="13"/>
        <v>6814.3117209076663</v>
      </c>
    </row>
    <row r="154" spans="1:11" x14ac:dyDescent="0.25">
      <c r="A154" s="29">
        <v>104</v>
      </c>
      <c r="B154" s="99">
        <f t="shared" si="14"/>
        <v>0</v>
      </c>
      <c r="C154" s="75">
        <f t="shared" si="18"/>
        <v>104.50616427295054</v>
      </c>
      <c r="D154" s="100">
        <f t="shared" si="15"/>
        <v>445.77777777777789</v>
      </c>
      <c r="E154">
        <f t="shared" si="11"/>
        <v>0</v>
      </c>
      <c r="G154">
        <v>104</v>
      </c>
      <c r="H154" s="15">
        <f t="shared" si="16"/>
        <v>3.3332641781285588E-2</v>
      </c>
      <c r="I154">
        <f t="shared" si="17"/>
        <v>107.97275901820424</v>
      </c>
      <c r="J154">
        <f t="shared" si="12"/>
        <v>452.1715979187623</v>
      </c>
      <c r="K154" s="30">
        <f t="shared" si="13"/>
        <v>6816.0145538778879</v>
      </c>
    </row>
    <row r="155" spans="1:11" x14ac:dyDescent="0.25">
      <c r="A155" s="29">
        <v>105</v>
      </c>
      <c r="B155" s="99">
        <f t="shared" si="14"/>
        <v>0</v>
      </c>
      <c r="C155" s="75">
        <f t="shared" si="18"/>
        <v>104.50616427295054</v>
      </c>
      <c r="D155" s="100">
        <f t="shared" si="15"/>
        <v>445.77777777777789</v>
      </c>
      <c r="E155">
        <f t="shared" si="11"/>
        <v>0</v>
      </c>
      <c r="G155">
        <v>105</v>
      </c>
      <c r="H155" s="15">
        <f t="shared" si="16"/>
        <v>3.3332641781285588E-2</v>
      </c>
      <c r="I155">
        <f t="shared" si="17"/>
        <v>108.00609165998553</v>
      </c>
      <c r="J155">
        <f t="shared" si="12"/>
        <v>452.22804539112849</v>
      </c>
      <c r="K155" s="30">
        <f t="shared" si="13"/>
        <v>6817.7150590710007</v>
      </c>
    </row>
    <row r="156" spans="1:11" x14ac:dyDescent="0.25">
      <c r="A156" s="29">
        <v>106</v>
      </c>
      <c r="B156" s="99">
        <f t="shared" si="14"/>
        <v>0</v>
      </c>
      <c r="C156" s="75">
        <f t="shared" si="18"/>
        <v>104.50616427295054</v>
      </c>
      <c r="D156" s="100">
        <f t="shared" si="15"/>
        <v>445.77777777777789</v>
      </c>
      <c r="E156">
        <f t="shared" si="11"/>
        <v>0</v>
      </c>
      <c r="G156">
        <v>106</v>
      </c>
      <c r="H156" s="15">
        <f t="shared" si="16"/>
        <v>3.3332641781285588E-2</v>
      </c>
      <c r="I156">
        <f t="shared" si="17"/>
        <v>108.03942430176681</v>
      </c>
      <c r="J156">
        <f t="shared" si="12"/>
        <v>452.28440874039899</v>
      </c>
      <c r="K156" s="30">
        <f t="shared" si="13"/>
        <v>6819.4132439482864</v>
      </c>
    </row>
    <row r="157" spans="1:11" x14ac:dyDescent="0.25">
      <c r="A157" s="29">
        <v>107</v>
      </c>
      <c r="B157" s="99">
        <f t="shared" si="14"/>
        <v>0</v>
      </c>
      <c r="C157" s="75">
        <f t="shared" si="18"/>
        <v>104.50616427295054</v>
      </c>
      <c r="D157" s="100">
        <f t="shared" si="15"/>
        <v>445.77777777777789</v>
      </c>
      <c r="E157">
        <f t="shared" si="11"/>
        <v>0</v>
      </c>
      <c r="G157">
        <v>107</v>
      </c>
      <c r="H157" s="15">
        <f t="shared" si="16"/>
        <v>3.3332641781285588E-2</v>
      </c>
      <c r="I157">
        <f t="shared" si="17"/>
        <v>108.0727569435481</v>
      </c>
      <c r="J157">
        <f t="shared" si="12"/>
        <v>452.34068824471592</v>
      </c>
      <c r="K157" s="30">
        <f t="shared" si="13"/>
        <v>6821.1091159270909</v>
      </c>
    </row>
    <row r="158" spans="1:11" x14ac:dyDescent="0.25">
      <c r="A158" s="29">
        <v>108</v>
      </c>
      <c r="B158" s="99">
        <f t="shared" si="14"/>
        <v>0</v>
      </c>
      <c r="C158" s="75">
        <f t="shared" si="18"/>
        <v>104.50616427295054</v>
      </c>
      <c r="D158" s="100">
        <f t="shared" si="15"/>
        <v>445.77777777777789</v>
      </c>
      <c r="E158">
        <f t="shared" si="11"/>
        <v>0</v>
      </c>
      <c r="G158">
        <v>108</v>
      </c>
      <c r="H158" s="15">
        <f t="shared" si="16"/>
        <v>3.3332641781285588E-2</v>
      </c>
      <c r="I158">
        <f t="shared" si="17"/>
        <v>108.10608958532939</v>
      </c>
      <c r="J158">
        <f t="shared" si="12"/>
        <v>452.39688418058535</v>
      </c>
      <c r="K158" s="30">
        <f t="shared" si="13"/>
        <v>6822.8026823811852</v>
      </c>
    </row>
    <row r="159" spans="1:11" x14ac:dyDescent="0.25">
      <c r="A159" s="29">
        <v>109</v>
      </c>
      <c r="B159" s="99">
        <f t="shared" si="14"/>
        <v>0</v>
      </c>
      <c r="C159" s="75">
        <f t="shared" si="18"/>
        <v>104.50616427295054</v>
      </c>
      <c r="D159" s="100">
        <f t="shared" si="15"/>
        <v>445.77777777777789</v>
      </c>
      <c r="E159">
        <f t="shared" si="11"/>
        <v>0</v>
      </c>
      <c r="G159">
        <v>109</v>
      </c>
      <c r="H159" s="15">
        <f t="shared" si="16"/>
        <v>3.3332641781285588E-2</v>
      </c>
      <c r="I159">
        <f t="shared" si="17"/>
        <v>108.13942222711067</v>
      </c>
      <c r="J159">
        <f t="shared" si="12"/>
        <v>452.45299682289135</v>
      </c>
      <c r="K159" s="30">
        <f t="shared" si="13"/>
        <v>6824.4939506411292</v>
      </c>
    </row>
    <row r="160" spans="1:11" x14ac:dyDescent="0.25">
      <c r="A160" s="29">
        <v>110</v>
      </c>
      <c r="B160" s="99">
        <f t="shared" si="14"/>
        <v>0</v>
      </c>
      <c r="C160" s="75">
        <f t="shared" si="18"/>
        <v>104.50616427295054</v>
      </c>
      <c r="D160" s="100">
        <f t="shared" si="15"/>
        <v>445.77777777777789</v>
      </c>
      <c r="E160">
        <f t="shared" si="11"/>
        <v>0</v>
      </c>
      <c r="G160">
        <v>110</v>
      </c>
      <c r="H160" s="15">
        <f t="shared" si="16"/>
        <v>3.3332641781285588E-2</v>
      </c>
      <c r="I160">
        <f t="shared" si="17"/>
        <v>108.17275486889196</v>
      </c>
      <c r="J160">
        <f t="shared" si="12"/>
        <v>452.50902644490856</v>
      </c>
      <c r="K160" s="30">
        <f t="shared" si="13"/>
        <v>6826.1829279946214</v>
      </c>
    </row>
    <row r="161" spans="1:11" x14ac:dyDescent="0.25">
      <c r="A161" s="29">
        <v>111</v>
      </c>
      <c r="B161" s="99">
        <f t="shared" si="14"/>
        <v>0</v>
      </c>
      <c r="C161" s="75">
        <f t="shared" si="18"/>
        <v>104.50616427295054</v>
      </c>
      <c r="D161" s="100">
        <f t="shared" si="15"/>
        <v>445.77777777777789</v>
      </c>
      <c r="E161">
        <f t="shared" si="11"/>
        <v>0</v>
      </c>
      <c r="G161">
        <v>111</v>
      </c>
      <c r="H161" s="15">
        <f t="shared" si="16"/>
        <v>3.3332641781285588E-2</v>
      </c>
      <c r="I161">
        <f t="shared" si="17"/>
        <v>108.20608751067324</v>
      </c>
      <c r="J161">
        <f t="shared" si="12"/>
        <v>452.56497331831611</v>
      </c>
      <c r="K161" s="30">
        <f t="shared" si="13"/>
        <v>6827.8696216868566</v>
      </c>
    </row>
    <row r="162" spans="1:11" x14ac:dyDescent="0.25">
      <c r="A162" s="29">
        <v>112</v>
      </c>
      <c r="B162" s="99">
        <f t="shared" si="14"/>
        <v>0</v>
      </c>
      <c r="C162" s="75">
        <f t="shared" si="18"/>
        <v>104.50616427295054</v>
      </c>
      <c r="D162" s="100">
        <f t="shared" si="15"/>
        <v>445.77777777777789</v>
      </c>
      <c r="E162">
        <f t="shared" si="11"/>
        <v>0</v>
      </c>
      <c r="G162">
        <v>112</v>
      </c>
      <c r="H162" s="15">
        <f t="shared" si="16"/>
        <v>3.3332641781285588E-2</v>
      </c>
      <c r="I162">
        <f t="shared" si="17"/>
        <v>108.23942015245453</v>
      </c>
      <c r="J162">
        <f t="shared" si="12"/>
        <v>452.62083771321034</v>
      </c>
      <c r="K162" s="30">
        <f t="shared" si="13"/>
        <v>6829.5540389208691</v>
      </c>
    </row>
    <row r="163" spans="1:11" x14ac:dyDescent="0.25">
      <c r="A163" s="29">
        <v>113</v>
      </c>
      <c r="B163" s="99">
        <f t="shared" si="14"/>
        <v>0</v>
      </c>
      <c r="C163" s="75">
        <f t="shared" si="18"/>
        <v>104.50616427295054</v>
      </c>
      <c r="D163" s="100">
        <f t="shared" si="15"/>
        <v>445.77777777777789</v>
      </c>
      <c r="E163">
        <f t="shared" si="11"/>
        <v>0</v>
      </c>
      <c r="G163">
        <v>113</v>
      </c>
      <c r="H163" s="15">
        <f t="shared" si="16"/>
        <v>3.3332641781285588E-2</v>
      </c>
      <c r="I163">
        <f t="shared" si="17"/>
        <v>108.27275279423581</v>
      </c>
      <c r="J163">
        <f t="shared" si="12"/>
        <v>452.67661989811768</v>
      </c>
      <c r="K163" s="30">
        <f t="shared" si="13"/>
        <v>6831.2361868578801</v>
      </c>
    </row>
    <row r="164" spans="1:11" x14ac:dyDescent="0.25">
      <c r="A164" s="29">
        <v>114</v>
      </c>
      <c r="B164" s="99">
        <f t="shared" si="14"/>
        <v>0</v>
      </c>
      <c r="C164" s="75">
        <f t="shared" si="18"/>
        <v>104.50616427295054</v>
      </c>
      <c r="D164" s="100">
        <f t="shared" si="15"/>
        <v>445.77777777777789</v>
      </c>
      <c r="E164">
        <f t="shared" si="11"/>
        <v>0</v>
      </c>
      <c r="G164">
        <v>114</v>
      </c>
      <c r="H164" s="15">
        <f t="shared" si="16"/>
        <v>3.3332641781285588E-2</v>
      </c>
      <c r="I164">
        <f t="shared" si="17"/>
        <v>108.3060854360171</v>
      </c>
      <c r="J164">
        <f t="shared" si="12"/>
        <v>452.73232014000763</v>
      </c>
      <c r="K164" s="30">
        <f t="shared" si="13"/>
        <v>6832.9160726176306</v>
      </c>
    </row>
    <row r="165" spans="1:11" x14ac:dyDescent="0.25">
      <c r="A165" s="29">
        <v>115</v>
      </c>
      <c r="B165" s="99">
        <f t="shared" si="14"/>
        <v>0</v>
      </c>
      <c r="C165" s="75">
        <f t="shared" si="18"/>
        <v>104.50616427295054</v>
      </c>
      <c r="D165" s="100">
        <f t="shared" si="15"/>
        <v>445.77777777777789</v>
      </c>
      <c r="E165">
        <f t="shared" si="11"/>
        <v>0</v>
      </c>
      <c r="G165">
        <v>115</v>
      </c>
      <c r="H165" s="15">
        <f t="shared" si="16"/>
        <v>3.3332641781285588E-2</v>
      </c>
      <c r="I165">
        <f t="shared" si="17"/>
        <v>108.33941807779838</v>
      </c>
      <c r="J165">
        <f t="shared" si="12"/>
        <v>452.78793870430542</v>
      </c>
      <c r="K165" s="30">
        <f t="shared" si="13"/>
        <v>6834.5937032787342</v>
      </c>
    </row>
    <row r="166" spans="1:11" x14ac:dyDescent="0.25">
      <c r="A166" s="29">
        <v>116</v>
      </c>
      <c r="B166" s="99">
        <f t="shared" si="14"/>
        <v>0</v>
      </c>
      <c r="C166" s="75">
        <f t="shared" si="18"/>
        <v>104.50616427295054</v>
      </c>
      <c r="D166" s="100">
        <f t="shared" si="15"/>
        <v>445.77777777777789</v>
      </c>
      <c r="E166">
        <f t="shared" si="11"/>
        <v>0</v>
      </c>
      <c r="G166">
        <v>116</v>
      </c>
      <c r="H166" s="15">
        <f t="shared" si="16"/>
        <v>3.3332641781285588E-2</v>
      </c>
      <c r="I166">
        <f t="shared" si="17"/>
        <v>108.37275071957967</v>
      </c>
      <c r="J166">
        <f t="shared" si="12"/>
        <v>452.8434758549044</v>
      </c>
      <c r="K166" s="30">
        <f t="shared" si="13"/>
        <v>6836.2690858789929</v>
      </c>
    </row>
    <row r="167" spans="1:11" x14ac:dyDescent="0.25">
      <c r="A167" s="29">
        <v>117</v>
      </c>
      <c r="B167" s="99">
        <f t="shared" si="14"/>
        <v>0</v>
      </c>
      <c r="C167" s="75">
        <f t="shared" si="18"/>
        <v>104.50616427295054</v>
      </c>
      <c r="D167" s="100">
        <f t="shared" si="15"/>
        <v>445.77777777777789</v>
      </c>
      <c r="E167">
        <f t="shared" si="11"/>
        <v>0</v>
      </c>
      <c r="G167">
        <v>117</v>
      </c>
      <c r="H167" s="15">
        <f t="shared" si="16"/>
        <v>3.3332641781285588E-2</v>
      </c>
      <c r="I167">
        <f t="shared" si="17"/>
        <v>108.40608336136096</v>
      </c>
      <c r="J167">
        <f t="shared" si="12"/>
        <v>452.89893185417856</v>
      </c>
      <c r="K167" s="30">
        <f t="shared" si="13"/>
        <v>6837.9422274157369</v>
      </c>
    </row>
    <row r="168" spans="1:11" x14ac:dyDescent="0.25">
      <c r="A168" s="29">
        <v>118</v>
      </c>
      <c r="B168" s="99">
        <f t="shared" si="14"/>
        <v>0</v>
      </c>
      <c r="C168" s="75">
        <f t="shared" si="18"/>
        <v>104.50616427295054</v>
      </c>
      <c r="D168" s="100">
        <f t="shared" si="15"/>
        <v>445.77777777777789</v>
      </c>
      <c r="E168">
        <f t="shared" si="11"/>
        <v>0</v>
      </c>
      <c r="G168">
        <v>118</v>
      </c>
      <c r="H168" s="15">
        <f t="shared" si="16"/>
        <v>3.3332641781285588E-2</v>
      </c>
      <c r="I168">
        <f t="shared" si="17"/>
        <v>108.43941600314224</v>
      </c>
      <c r="J168">
        <f t="shared" si="12"/>
        <v>452.95430696299479</v>
      </c>
      <c r="K168" s="30">
        <f t="shared" si="13"/>
        <v>6839.6131348461504</v>
      </c>
    </row>
    <row r="169" spans="1:11" x14ac:dyDescent="0.25">
      <c r="A169" s="29">
        <v>119</v>
      </c>
      <c r="B169" s="99">
        <f t="shared" si="14"/>
        <v>0</v>
      </c>
      <c r="C169" s="75">
        <f t="shared" si="18"/>
        <v>104.50616427295054</v>
      </c>
      <c r="D169" s="100">
        <f t="shared" si="15"/>
        <v>445.77777777777789</v>
      </c>
      <c r="E169">
        <f t="shared" si="11"/>
        <v>0</v>
      </c>
      <c r="G169">
        <v>119</v>
      </c>
      <c r="H169" s="15">
        <f t="shared" si="16"/>
        <v>3.3332641781285588E-2</v>
      </c>
      <c r="I169">
        <f t="shared" si="17"/>
        <v>108.47274864492353</v>
      </c>
      <c r="J169">
        <f t="shared" si="12"/>
        <v>453.00960144072485</v>
      </c>
      <c r="K169" s="30">
        <f t="shared" si="13"/>
        <v>6841.2818150875928</v>
      </c>
    </row>
    <row r="170" spans="1:11" x14ac:dyDescent="0.25">
      <c r="A170" s="29">
        <v>120</v>
      </c>
      <c r="B170" s="99">
        <f t="shared" si="14"/>
        <v>0</v>
      </c>
      <c r="C170" s="75">
        <f t="shared" si="18"/>
        <v>104.50616427295054</v>
      </c>
      <c r="D170" s="100">
        <f t="shared" si="15"/>
        <v>445.77777777777789</v>
      </c>
      <c r="E170">
        <f t="shared" si="11"/>
        <v>0</v>
      </c>
      <c r="G170">
        <v>120</v>
      </c>
      <c r="H170" s="15">
        <f t="shared" si="16"/>
        <v>3.3332641781285588E-2</v>
      </c>
      <c r="I170">
        <f t="shared" si="17"/>
        <v>108.50608128670481</v>
      </c>
      <c r="J170">
        <f t="shared" si="12"/>
        <v>453.06481554525783</v>
      </c>
      <c r="K170" s="30">
        <f t="shared" si="13"/>
        <v>6842.9482750179168</v>
      </c>
    </row>
    <row r="171" spans="1:11" x14ac:dyDescent="0.25">
      <c r="A171" s="29">
        <v>121</v>
      </c>
      <c r="B171" s="99">
        <f t="shared" si="14"/>
        <v>0</v>
      </c>
      <c r="C171" s="75">
        <f t="shared" si="18"/>
        <v>104.50616427295054</v>
      </c>
      <c r="D171" s="100">
        <f t="shared" si="15"/>
        <v>445.77777777777789</v>
      </c>
      <c r="E171">
        <f t="shared" si="11"/>
        <v>0</v>
      </c>
      <c r="G171">
        <v>121</v>
      </c>
      <c r="H171" s="15">
        <f t="shared" si="16"/>
        <v>3.3332641781285588E-2</v>
      </c>
      <c r="I171">
        <f t="shared" si="17"/>
        <v>108.5394139284861</v>
      </c>
      <c r="J171">
        <f t="shared" si="12"/>
        <v>453.11994953301144</v>
      </c>
      <c r="K171" s="30">
        <f t="shared" si="13"/>
        <v>6844.6125214757931</v>
      </c>
    </row>
    <row r="172" spans="1:11" x14ac:dyDescent="0.25">
      <c r="A172" s="29">
        <v>122</v>
      </c>
      <c r="B172" s="99">
        <f t="shared" si="14"/>
        <v>0</v>
      </c>
      <c r="C172" s="75">
        <f t="shared" si="18"/>
        <v>104.50616427295054</v>
      </c>
      <c r="D172" s="100">
        <f t="shared" si="15"/>
        <v>445.77777777777789</v>
      </c>
      <c r="E172">
        <f t="shared" si="11"/>
        <v>0</v>
      </c>
      <c r="G172">
        <v>122</v>
      </c>
      <c r="H172" s="15">
        <f t="shared" si="16"/>
        <v>3.3332641781285588E-2</v>
      </c>
      <c r="I172">
        <f t="shared" si="17"/>
        <v>108.57274657026738</v>
      </c>
      <c r="J172">
        <f t="shared" si="12"/>
        <v>453.17500365894438</v>
      </c>
      <c r="K172" s="30">
        <f t="shared" si="13"/>
        <v>6846.2745612610133</v>
      </c>
    </row>
    <row r="173" spans="1:11" x14ac:dyDescent="0.25">
      <c r="A173" s="29">
        <v>123</v>
      </c>
      <c r="B173" s="99">
        <f t="shared" si="14"/>
        <v>0</v>
      </c>
      <c r="C173" s="75">
        <f t="shared" si="18"/>
        <v>104.50616427295054</v>
      </c>
      <c r="D173" s="100">
        <f t="shared" si="15"/>
        <v>445.77777777777789</v>
      </c>
      <c r="E173">
        <f t="shared" si="11"/>
        <v>0</v>
      </c>
      <c r="G173">
        <v>123</v>
      </c>
      <c r="H173" s="15">
        <f t="shared" si="16"/>
        <v>3.3332641781285588E-2</v>
      </c>
      <c r="I173">
        <f t="shared" si="17"/>
        <v>108.60607921204867</v>
      </c>
      <c r="J173">
        <f t="shared" si="12"/>
        <v>453.2299781765675</v>
      </c>
      <c r="K173" s="30">
        <f t="shared" si="13"/>
        <v>6847.9344011348039</v>
      </c>
    </row>
    <row r="174" spans="1:11" x14ac:dyDescent="0.25">
      <c r="A174" s="29">
        <v>124</v>
      </c>
      <c r="B174" s="99">
        <f t="shared" si="14"/>
        <v>0</v>
      </c>
      <c r="C174" s="75">
        <f t="shared" si="18"/>
        <v>104.50616427295054</v>
      </c>
      <c r="D174" s="100">
        <f t="shared" si="15"/>
        <v>445.77777777777789</v>
      </c>
      <c r="E174">
        <f t="shared" si="11"/>
        <v>0</v>
      </c>
      <c r="G174">
        <v>124</v>
      </c>
      <c r="H174" s="15">
        <f t="shared" si="16"/>
        <v>3.3332641781285588E-2</v>
      </c>
      <c r="I174">
        <f t="shared" si="17"/>
        <v>108.63941185382996</v>
      </c>
      <c r="J174">
        <f t="shared" si="12"/>
        <v>453.28487333795562</v>
      </c>
      <c r="K174" s="30">
        <f t="shared" si="13"/>
        <v>6849.5920478201369</v>
      </c>
    </row>
    <row r="175" spans="1:11" x14ac:dyDescent="0.25">
      <c r="A175" s="29">
        <v>125</v>
      </c>
      <c r="B175" s="99">
        <f t="shared" si="14"/>
        <v>0</v>
      </c>
      <c r="C175" s="75">
        <f t="shared" si="18"/>
        <v>104.50616427295054</v>
      </c>
      <c r="D175" s="100">
        <f t="shared" si="15"/>
        <v>445.77777777777789</v>
      </c>
      <c r="E175">
        <f t="shared" si="11"/>
        <v>0</v>
      </c>
      <c r="G175">
        <v>125</v>
      </c>
      <c r="H175" s="15">
        <f t="shared" si="16"/>
        <v>3.3332641781285588E-2</v>
      </c>
      <c r="I175">
        <f t="shared" si="17"/>
        <v>108.67274449561124</v>
      </c>
      <c r="J175">
        <f t="shared" si="12"/>
        <v>453.33968939375887</v>
      </c>
      <c r="K175" s="30">
        <f t="shared" si="13"/>
        <v>6851.2475080020267</v>
      </c>
    </row>
    <row r="176" spans="1:11" x14ac:dyDescent="0.25">
      <c r="A176" s="29">
        <v>126</v>
      </c>
      <c r="B176" s="99">
        <f t="shared" si="14"/>
        <v>0</v>
      </c>
      <c r="C176" s="75">
        <f t="shared" si="18"/>
        <v>104.50616427295054</v>
      </c>
      <c r="D176" s="100">
        <f t="shared" si="15"/>
        <v>445.77777777777789</v>
      </c>
      <c r="E176">
        <f t="shared" si="11"/>
        <v>0</v>
      </c>
      <c r="G176">
        <v>126</v>
      </c>
      <c r="H176" s="15">
        <f t="shared" si="16"/>
        <v>3.3332641781285588E-2</v>
      </c>
      <c r="I176">
        <f t="shared" si="17"/>
        <v>108.70607713739253</v>
      </c>
      <c r="J176">
        <f t="shared" si="12"/>
        <v>453.39442659321406</v>
      </c>
      <c r="K176" s="30">
        <f t="shared" si="13"/>
        <v>6852.9007883278391</v>
      </c>
    </row>
    <row r="177" spans="1:11" x14ac:dyDescent="0.25">
      <c r="A177" s="29">
        <v>127</v>
      </c>
      <c r="B177" s="99">
        <f t="shared" si="14"/>
        <v>0</v>
      </c>
      <c r="C177" s="75">
        <f t="shared" si="18"/>
        <v>104.50616427295054</v>
      </c>
      <c r="D177" s="100">
        <f t="shared" si="15"/>
        <v>445.77777777777789</v>
      </c>
      <c r="E177">
        <f t="shared" si="11"/>
        <v>0</v>
      </c>
      <c r="G177">
        <v>127</v>
      </c>
      <c r="H177" s="15">
        <f t="shared" si="16"/>
        <v>3.3332641781285588E-2</v>
      </c>
      <c r="I177">
        <f t="shared" si="17"/>
        <v>108.73940977917381</v>
      </c>
      <c r="J177">
        <f t="shared" si="12"/>
        <v>453.44908518415565</v>
      </c>
      <c r="K177" s="30">
        <f t="shared" si="13"/>
        <v>6854.5518954075787</v>
      </c>
    </row>
    <row r="178" spans="1:11" x14ac:dyDescent="0.25">
      <c r="A178" s="29">
        <v>128</v>
      </c>
      <c r="B178" s="99">
        <f t="shared" si="14"/>
        <v>0</v>
      </c>
      <c r="C178" s="75">
        <f t="shared" si="18"/>
        <v>104.50616427295054</v>
      </c>
      <c r="D178" s="100">
        <f t="shared" si="15"/>
        <v>445.77777777777789</v>
      </c>
      <c r="E178">
        <f t="shared" si="11"/>
        <v>0</v>
      </c>
      <c r="G178">
        <v>128</v>
      </c>
      <c r="H178" s="15">
        <f t="shared" si="16"/>
        <v>3.3332641781285588E-2</v>
      </c>
      <c r="I178">
        <f t="shared" si="17"/>
        <v>108.7727424209551</v>
      </c>
      <c r="J178">
        <f t="shared" si="12"/>
        <v>453.50366541302702</v>
      </c>
      <c r="K178" s="30">
        <f t="shared" si="13"/>
        <v>6856.2008358141975</v>
      </c>
    </row>
    <row r="179" spans="1:11" x14ac:dyDescent="0.25">
      <c r="A179" s="29">
        <v>129</v>
      </c>
      <c r="B179" s="99">
        <f t="shared" si="14"/>
        <v>0</v>
      </c>
      <c r="C179" s="75">
        <f t="shared" si="18"/>
        <v>104.50616427295054</v>
      </c>
      <c r="D179" s="100">
        <f t="shared" si="15"/>
        <v>445.77777777777789</v>
      </c>
      <c r="E179">
        <f t="shared" ref="E179:E242" si="19">((D179^2)+(D179*D180)+(D180^2))*B180/3</f>
        <v>0</v>
      </c>
      <c r="G179">
        <v>129</v>
      </c>
      <c r="H179" s="15">
        <f t="shared" si="16"/>
        <v>3.3332641781285588E-2</v>
      </c>
      <c r="I179">
        <f t="shared" si="17"/>
        <v>108.80607506273638</v>
      </c>
      <c r="J179">
        <f t="shared" ref="J179:J242" si="20">IF($G$28&lt;$C$14,0,((($C$11^2)-((I179-$C$13)^2))^0.5)+$C$16)</f>
        <v>453.55816752489136</v>
      </c>
      <c r="K179" s="30">
        <f t="shared" ref="K179:K242" si="21">((J179^2)+(J179*J180)+(J180^2))*H180/3</f>
        <v>6857.8476160838654</v>
      </c>
    </row>
    <row r="180" spans="1:11" x14ac:dyDescent="0.25">
      <c r="A180" s="29">
        <v>130</v>
      </c>
      <c r="B180" s="99">
        <f t="shared" ref="B180:B243" si="22">C180-C179</f>
        <v>0</v>
      </c>
      <c r="C180" s="75">
        <f t="shared" si="18"/>
        <v>104.50616427295054</v>
      </c>
      <c r="D180" s="100">
        <f t="shared" ref="D180:D243" si="23">IF($G$28&lt;$C$14,0,((($C$11^2)-((C180-$C$13)^2))^0.5)+$C$16)</f>
        <v>445.77777777777789</v>
      </c>
      <c r="E180">
        <f t="shared" si="19"/>
        <v>0</v>
      </c>
      <c r="G180">
        <v>130</v>
      </c>
      <c r="H180" s="15">
        <f t="shared" ref="H180:H243" si="24">I180-I179</f>
        <v>3.3332641781285588E-2</v>
      </c>
      <c r="I180">
        <f t="shared" ref="I180:I243" si="25">($G$27-$C$14)/2000+I179</f>
        <v>108.83940770451767</v>
      </c>
      <c r="J180">
        <f t="shared" si="20"/>
        <v>453.61259176344254</v>
      </c>
      <c r="K180" s="30">
        <f t="shared" si="21"/>
        <v>6859.4922427162792</v>
      </c>
    </row>
    <row r="181" spans="1:11" x14ac:dyDescent="0.25">
      <c r="A181" s="29">
        <v>131</v>
      </c>
      <c r="B181" s="99">
        <f t="shared" si="22"/>
        <v>0</v>
      </c>
      <c r="C181" s="75">
        <f t="shared" si="18"/>
        <v>104.50616427295054</v>
      </c>
      <c r="D181" s="100">
        <f t="shared" si="23"/>
        <v>445.77777777777789</v>
      </c>
      <c r="E181">
        <f t="shared" si="19"/>
        <v>0</v>
      </c>
      <c r="G181">
        <v>131</v>
      </c>
      <c r="H181" s="15">
        <f t="shared" si="24"/>
        <v>3.3332641781285588E-2</v>
      </c>
      <c r="I181">
        <f t="shared" si="25"/>
        <v>108.87274034629895</v>
      </c>
      <c r="J181">
        <f t="shared" si="20"/>
        <v>453.6669383710157</v>
      </c>
      <c r="K181" s="30">
        <f t="shared" si="21"/>
        <v>6861.1347221749411</v>
      </c>
    </row>
    <row r="182" spans="1:11" x14ac:dyDescent="0.25">
      <c r="A182" s="29">
        <v>132</v>
      </c>
      <c r="B182" s="99">
        <f t="shared" si="22"/>
        <v>0</v>
      </c>
      <c r="C182" s="75">
        <f t="shared" si="18"/>
        <v>104.50616427295054</v>
      </c>
      <c r="D182" s="100">
        <f t="shared" si="23"/>
        <v>445.77777777777789</v>
      </c>
      <c r="E182">
        <f t="shared" si="19"/>
        <v>0</v>
      </c>
      <c r="G182">
        <v>132</v>
      </c>
      <c r="H182" s="15">
        <f t="shared" si="24"/>
        <v>3.3332641781285588E-2</v>
      </c>
      <c r="I182">
        <f t="shared" si="25"/>
        <v>108.90607298808024</v>
      </c>
      <c r="J182">
        <f t="shared" si="20"/>
        <v>453.72120758859819</v>
      </c>
      <c r="K182" s="30">
        <f t="shared" si="21"/>
        <v>6862.7750608874367</v>
      </c>
    </row>
    <row r="183" spans="1:11" x14ac:dyDescent="0.25">
      <c r="A183" s="29">
        <v>133</v>
      </c>
      <c r="B183" s="99">
        <f t="shared" si="22"/>
        <v>0</v>
      </c>
      <c r="C183" s="75">
        <f t="shared" si="18"/>
        <v>104.50616427295054</v>
      </c>
      <c r="D183" s="100">
        <f t="shared" si="23"/>
        <v>445.77777777777789</v>
      </c>
      <c r="E183">
        <f t="shared" si="19"/>
        <v>0</v>
      </c>
      <c r="G183">
        <v>133</v>
      </c>
      <c r="H183" s="15">
        <f t="shared" si="24"/>
        <v>3.3332641781285588E-2</v>
      </c>
      <c r="I183">
        <f t="shared" si="25"/>
        <v>108.93940562986153</v>
      </c>
      <c r="J183">
        <f t="shared" si="20"/>
        <v>453.77539965583969</v>
      </c>
      <c r="K183" s="30">
        <f t="shared" si="21"/>
        <v>6864.4132652457183</v>
      </c>
    </row>
    <row r="184" spans="1:11" x14ac:dyDescent="0.25">
      <c r="A184" s="29">
        <v>134</v>
      </c>
      <c r="B184" s="99">
        <f t="shared" si="22"/>
        <v>0</v>
      </c>
      <c r="C184" s="75">
        <f t="shared" si="18"/>
        <v>104.50616427295054</v>
      </c>
      <c r="D184" s="100">
        <f t="shared" si="23"/>
        <v>445.77777777777789</v>
      </c>
      <c r="E184">
        <f t="shared" si="19"/>
        <v>0</v>
      </c>
      <c r="G184">
        <v>134</v>
      </c>
      <c r="H184" s="15">
        <f t="shared" si="24"/>
        <v>3.3332641781285588E-2</v>
      </c>
      <c r="I184">
        <f t="shared" si="25"/>
        <v>108.97273827164281</v>
      </c>
      <c r="J184">
        <f t="shared" si="20"/>
        <v>453.82951481106295</v>
      </c>
      <c r="K184" s="30">
        <f t="shared" si="21"/>
        <v>6866.0493416063882</v>
      </c>
    </row>
    <row r="185" spans="1:11" x14ac:dyDescent="0.25">
      <c r="A185" s="29">
        <v>135</v>
      </c>
      <c r="B185" s="99">
        <f t="shared" si="22"/>
        <v>0</v>
      </c>
      <c r="C185" s="75">
        <f t="shared" si="18"/>
        <v>104.50616427295054</v>
      </c>
      <c r="D185" s="100">
        <f t="shared" si="23"/>
        <v>445.77777777777789</v>
      </c>
      <c r="E185">
        <f t="shared" si="19"/>
        <v>0</v>
      </c>
      <c r="G185">
        <v>135</v>
      </c>
      <c r="H185" s="15">
        <f t="shared" si="24"/>
        <v>3.3332641781285588E-2</v>
      </c>
      <c r="I185">
        <f t="shared" si="25"/>
        <v>109.0060709134241</v>
      </c>
      <c r="J185">
        <f t="shared" si="20"/>
        <v>453.88355329127398</v>
      </c>
      <c r="K185" s="30">
        <f t="shared" si="21"/>
        <v>6867.6832962909621</v>
      </c>
    </row>
    <row r="186" spans="1:11" x14ac:dyDescent="0.25">
      <c r="A186" s="29">
        <v>136</v>
      </c>
      <c r="B186" s="99">
        <f t="shared" si="22"/>
        <v>0</v>
      </c>
      <c r="C186" s="75">
        <f t="shared" si="18"/>
        <v>104.50616427295054</v>
      </c>
      <c r="D186" s="100">
        <f t="shared" si="23"/>
        <v>445.77777777777789</v>
      </c>
      <c r="E186">
        <f t="shared" si="19"/>
        <v>0</v>
      </c>
      <c r="G186">
        <v>136</v>
      </c>
      <c r="H186" s="15">
        <f t="shared" si="24"/>
        <v>3.3332641781285588E-2</v>
      </c>
      <c r="I186">
        <f t="shared" si="25"/>
        <v>109.03940355520538</v>
      </c>
      <c r="J186">
        <f t="shared" si="20"/>
        <v>453.93751533217227</v>
      </c>
      <c r="K186" s="30">
        <f t="shared" si="21"/>
        <v>6869.3151355861492</v>
      </c>
    </row>
    <row r="187" spans="1:11" x14ac:dyDescent="0.25">
      <c r="A187" s="29">
        <v>137</v>
      </c>
      <c r="B187" s="99">
        <f t="shared" si="22"/>
        <v>0</v>
      </c>
      <c r="C187" s="75">
        <f t="shared" si="18"/>
        <v>104.50616427295054</v>
      </c>
      <c r="D187" s="100">
        <f t="shared" si="23"/>
        <v>445.77777777777789</v>
      </c>
      <c r="E187">
        <f t="shared" si="19"/>
        <v>0</v>
      </c>
      <c r="G187">
        <v>137</v>
      </c>
      <c r="H187" s="15">
        <f t="shared" si="24"/>
        <v>3.3332641781285588E-2</v>
      </c>
      <c r="I187">
        <f t="shared" si="25"/>
        <v>109.07273619698667</v>
      </c>
      <c r="J187">
        <f t="shared" si="20"/>
        <v>453.99140116816073</v>
      </c>
      <c r="K187" s="30">
        <f t="shared" si="21"/>
        <v>6870.9448657441162</v>
      </c>
    </row>
    <row r="188" spans="1:11" x14ac:dyDescent="0.25">
      <c r="A188" s="29">
        <v>138</v>
      </c>
      <c r="B188" s="99">
        <f t="shared" si="22"/>
        <v>0</v>
      </c>
      <c r="C188" s="75">
        <f t="shared" si="18"/>
        <v>104.50616427295054</v>
      </c>
      <c r="D188" s="100">
        <f t="shared" si="23"/>
        <v>445.77777777777789</v>
      </c>
      <c r="E188">
        <f t="shared" si="19"/>
        <v>0</v>
      </c>
      <c r="G188">
        <v>138</v>
      </c>
      <c r="H188" s="15">
        <f t="shared" si="24"/>
        <v>3.3332641781285588E-2</v>
      </c>
      <c r="I188">
        <f t="shared" si="25"/>
        <v>109.10606883876795</v>
      </c>
      <c r="J188">
        <f t="shared" si="20"/>
        <v>454.04521103235606</v>
      </c>
      <c r="K188" s="30">
        <f t="shared" si="21"/>
        <v>6872.5724929827566</v>
      </c>
    </row>
    <row r="189" spans="1:11" x14ac:dyDescent="0.25">
      <c r="A189" s="29">
        <v>139</v>
      </c>
      <c r="B189" s="99">
        <f t="shared" si="22"/>
        <v>0</v>
      </c>
      <c r="C189" s="75">
        <f t="shared" si="18"/>
        <v>104.50616427295054</v>
      </c>
      <c r="D189" s="100">
        <f t="shared" si="23"/>
        <v>445.77777777777789</v>
      </c>
      <c r="E189">
        <f t="shared" si="19"/>
        <v>0</v>
      </c>
      <c r="G189">
        <v>139</v>
      </c>
      <c r="H189" s="15">
        <f t="shared" si="24"/>
        <v>3.3332641781285588E-2</v>
      </c>
      <c r="I189">
        <f t="shared" si="25"/>
        <v>109.13940148054924</v>
      </c>
      <c r="J189">
        <f t="shared" si="20"/>
        <v>454.09894515659835</v>
      </c>
      <c r="K189" s="30">
        <f t="shared" si="21"/>
        <v>6874.198023485952</v>
      </c>
    </row>
    <row r="190" spans="1:11" x14ac:dyDescent="0.25">
      <c r="A190" s="29">
        <v>140</v>
      </c>
      <c r="B190" s="99">
        <f t="shared" si="22"/>
        <v>0</v>
      </c>
      <c r="C190" s="75">
        <f t="shared" si="18"/>
        <v>104.50616427295054</v>
      </c>
      <c r="D190" s="100">
        <f t="shared" si="23"/>
        <v>445.77777777777789</v>
      </c>
      <c r="E190">
        <f t="shared" si="19"/>
        <v>0</v>
      </c>
      <c r="G190">
        <v>140</v>
      </c>
      <c r="H190" s="15">
        <f t="shared" si="24"/>
        <v>3.3332641781285588E-2</v>
      </c>
      <c r="I190">
        <f t="shared" si="25"/>
        <v>109.17273412233052</v>
      </c>
      <c r="J190">
        <f t="shared" si="20"/>
        <v>454.1526037714608</v>
      </c>
      <c r="K190" s="30">
        <f t="shared" si="21"/>
        <v>6875.8214634038331</v>
      </c>
    </row>
    <row r="191" spans="1:11" x14ac:dyDescent="0.25">
      <c r="A191" s="29">
        <v>141</v>
      </c>
      <c r="B191" s="99">
        <f t="shared" si="22"/>
        <v>0</v>
      </c>
      <c r="C191" s="75">
        <f t="shared" si="18"/>
        <v>104.50616427295054</v>
      </c>
      <c r="D191" s="100">
        <f t="shared" si="23"/>
        <v>445.77777777777789</v>
      </c>
      <c r="E191">
        <f t="shared" si="19"/>
        <v>0</v>
      </c>
      <c r="G191">
        <v>141</v>
      </c>
      <c r="H191" s="15">
        <f t="shared" si="24"/>
        <v>3.3332641781285588E-2</v>
      </c>
      <c r="I191">
        <f t="shared" si="25"/>
        <v>109.20606676411181</v>
      </c>
      <c r="J191">
        <f t="shared" si="20"/>
        <v>454.20618710625996</v>
      </c>
      <c r="K191" s="30">
        <f t="shared" si="21"/>
        <v>6877.4428188530437</v>
      </c>
    </row>
    <row r="192" spans="1:11" x14ac:dyDescent="0.25">
      <c r="A192" s="29">
        <v>142</v>
      </c>
      <c r="B192" s="99">
        <f t="shared" si="22"/>
        <v>0</v>
      </c>
      <c r="C192" s="75">
        <f t="shared" si="18"/>
        <v>104.50616427295054</v>
      </c>
      <c r="D192" s="100">
        <f t="shared" si="23"/>
        <v>445.77777777777789</v>
      </c>
      <c r="E192">
        <f t="shared" si="19"/>
        <v>0</v>
      </c>
      <c r="G192">
        <v>142</v>
      </c>
      <c r="H192" s="15">
        <f t="shared" si="24"/>
        <v>3.3332641781285588E-2</v>
      </c>
      <c r="I192">
        <f t="shared" si="25"/>
        <v>109.2393994058931</v>
      </c>
      <c r="J192">
        <f t="shared" si="20"/>
        <v>454.25969538906475</v>
      </c>
      <c r="K192" s="30">
        <f t="shared" si="21"/>
        <v>6879.0620959169892</v>
      </c>
    </row>
    <row r="193" spans="1:11" x14ac:dyDescent="0.25">
      <c r="A193" s="29">
        <v>143</v>
      </c>
      <c r="B193" s="99">
        <f t="shared" si="22"/>
        <v>0</v>
      </c>
      <c r="C193" s="75">
        <f t="shared" si="18"/>
        <v>104.50616427295054</v>
      </c>
      <c r="D193" s="100">
        <f t="shared" si="23"/>
        <v>445.77777777777789</v>
      </c>
      <c r="E193">
        <f t="shared" si="19"/>
        <v>0</v>
      </c>
      <c r="G193">
        <v>143</v>
      </c>
      <c r="H193" s="15">
        <f t="shared" si="24"/>
        <v>3.3332641781285588E-2</v>
      </c>
      <c r="I193">
        <f t="shared" si="25"/>
        <v>109.27273204767438</v>
      </c>
      <c r="J193">
        <f t="shared" si="20"/>
        <v>454.31312884670626</v>
      </c>
      <c r="K193" s="30">
        <f t="shared" si="21"/>
        <v>6880.6793006460948</v>
      </c>
    </row>
    <row r="194" spans="1:11" x14ac:dyDescent="0.25">
      <c r="A194" s="29">
        <v>144</v>
      </c>
      <c r="B194" s="99">
        <f t="shared" si="22"/>
        <v>0</v>
      </c>
      <c r="C194" s="75">
        <f t="shared" si="18"/>
        <v>104.50616427295054</v>
      </c>
      <c r="D194" s="100">
        <f t="shared" si="23"/>
        <v>445.77777777777789</v>
      </c>
      <c r="E194">
        <f t="shared" si="19"/>
        <v>0</v>
      </c>
      <c r="G194">
        <v>144</v>
      </c>
      <c r="H194" s="15">
        <f t="shared" si="24"/>
        <v>3.3332641781285588E-2</v>
      </c>
      <c r="I194">
        <f t="shared" si="25"/>
        <v>109.30606468945567</v>
      </c>
      <c r="J194">
        <f t="shared" si="20"/>
        <v>454.36648770478723</v>
      </c>
      <c r="K194" s="30">
        <f t="shared" si="21"/>
        <v>6882.2944390580478</v>
      </c>
    </row>
    <row r="195" spans="1:11" x14ac:dyDescent="0.25">
      <c r="A195" s="29">
        <v>145</v>
      </c>
      <c r="B195" s="99">
        <f t="shared" si="22"/>
        <v>0</v>
      </c>
      <c r="C195" s="75">
        <f t="shared" si="18"/>
        <v>104.50616427295054</v>
      </c>
      <c r="D195" s="100">
        <f t="shared" si="23"/>
        <v>445.77777777777789</v>
      </c>
      <c r="E195">
        <f t="shared" si="19"/>
        <v>0</v>
      </c>
      <c r="G195">
        <v>145</v>
      </c>
      <c r="H195" s="15">
        <f t="shared" si="24"/>
        <v>3.3332641781285588E-2</v>
      </c>
      <c r="I195">
        <f t="shared" si="25"/>
        <v>109.33939733123695</v>
      </c>
      <c r="J195">
        <f t="shared" si="20"/>
        <v>454.41977218769108</v>
      </c>
      <c r="K195" s="30">
        <f t="shared" si="21"/>
        <v>6883.90751713806</v>
      </c>
    </row>
    <row r="196" spans="1:11" x14ac:dyDescent="0.25">
      <c r="A196" s="29">
        <v>146</v>
      </c>
      <c r="B196" s="99">
        <f t="shared" si="22"/>
        <v>0</v>
      </c>
      <c r="C196" s="75">
        <f t="shared" si="18"/>
        <v>104.50616427295054</v>
      </c>
      <c r="D196" s="100">
        <f t="shared" si="23"/>
        <v>445.77777777777789</v>
      </c>
      <c r="E196">
        <f t="shared" si="19"/>
        <v>0</v>
      </c>
      <c r="G196">
        <v>146</v>
      </c>
      <c r="H196" s="15">
        <f t="shared" si="24"/>
        <v>3.3332641781285588E-2</v>
      </c>
      <c r="I196">
        <f t="shared" si="25"/>
        <v>109.37272997301824</v>
      </c>
      <c r="J196">
        <f t="shared" si="20"/>
        <v>454.47298251859166</v>
      </c>
      <c r="K196" s="30">
        <f t="shared" si="21"/>
        <v>6885.5185408391053</v>
      </c>
    </row>
    <row r="197" spans="1:11" x14ac:dyDescent="0.25">
      <c r="A197" s="29">
        <v>147</v>
      </c>
      <c r="B197" s="99">
        <f t="shared" si="22"/>
        <v>0</v>
      </c>
      <c r="C197" s="75">
        <f t="shared" si="18"/>
        <v>104.50616427295054</v>
      </c>
      <c r="D197" s="100">
        <f t="shared" si="23"/>
        <v>445.77777777777789</v>
      </c>
      <c r="E197">
        <f t="shared" si="19"/>
        <v>0</v>
      </c>
      <c r="G197">
        <v>147</v>
      </c>
      <c r="H197" s="15">
        <f t="shared" si="24"/>
        <v>3.3332641781285588E-2</v>
      </c>
      <c r="I197">
        <f t="shared" si="25"/>
        <v>109.40606261479952</v>
      </c>
      <c r="J197">
        <f t="shared" si="20"/>
        <v>454.52611891946191</v>
      </c>
      <c r="K197" s="30">
        <f t="shared" si="21"/>
        <v>6887.1275160821633</v>
      </c>
    </row>
    <row r="198" spans="1:11" x14ac:dyDescent="0.25">
      <c r="A198" s="29">
        <v>148</v>
      </c>
      <c r="B198" s="99">
        <f t="shared" si="22"/>
        <v>0</v>
      </c>
      <c r="C198" s="75">
        <f t="shared" si="18"/>
        <v>104.50616427295054</v>
      </c>
      <c r="D198" s="100">
        <f t="shared" si="23"/>
        <v>445.77777777777789</v>
      </c>
      <c r="E198">
        <f t="shared" si="19"/>
        <v>0</v>
      </c>
      <c r="G198">
        <v>148</v>
      </c>
      <c r="H198" s="15">
        <f t="shared" si="24"/>
        <v>3.3332641781285588E-2</v>
      </c>
      <c r="I198">
        <f t="shared" si="25"/>
        <v>109.43939525658081</v>
      </c>
      <c r="J198">
        <f t="shared" si="20"/>
        <v>454.57918161108313</v>
      </c>
      <c r="K198" s="30">
        <f t="shared" si="21"/>
        <v>6888.7344487564615</v>
      </c>
    </row>
    <row r="199" spans="1:11" x14ac:dyDescent="0.25">
      <c r="A199" s="29">
        <v>149</v>
      </c>
      <c r="B199" s="99">
        <f t="shared" si="22"/>
        <v>0</v>
      </c>
      <c r="C199" s="75">
        <f t="shared" si="18"/>
        <v>104.50616427295054</v>
      </c>
      <c r="D199" s="100">
        <f t="shared" si="23"/>
        <v>445.77777777777789</v>
      </c>
      <c r="E199">
        <f t="shared" si="19"/>
        <v>0</v>
      </c>
      <c r="G199">
        <v>149</v>
      </c>
      <c r="H199" s="15">
        <f t="shared" si="24"/>
        <v>3.3332641781285588E-2</v>
      </c>
      <c r="I199">
        <f t="shared" si="25"/>
        <v>109.47272789836209</v>
      </c>
      <c r="J199">
        <f t="shared" si="20"/>
        <v>454.63217081305396</v>
      </c>
      <c r="K199" s="30">
        <f t="shared" si="21"/>
        <v>6890.3393447197122</v>
      </c>
    </row>
    <row r="200" spans="1:11" x14ac:dyDescent="0.25">
      <c r="A200" s="29">
        <v>150</v>
      </c>
      <c r="B200" s="99">
        <f t="shared" si="22"/>
        <v>0</v>
      </c>
      <c r="C200" s="75">
        <f t="shared" si="18"/>
        <v>104.50616427295054</v>
      </c>
      <c r="D200" s="100">
        <f t="shared" si="23"/>
        <v>445.77777777777789</v>
      </c>
      <c r="E200">
        <f t="shared" si="19"/>
        <v>0</v>
      </c>
      <c r="G200">
        <v>150</v>
      </c>
      <c r="H200" s="15">
        <f t="shared" si="24"/>
        <v>3.3332641781285588E-2</v>
      </c>
      <c r="I200">
        <f t="shared" si="25"/>
        <v>109.50606054014338</v>
      </c>
      <c r="J200">
        <f t="shared" si="20"/>
        <v>454.68508674379939</v>
      </c>
      <c r="K200" s="30">
        <f t="shared" si="21"/>
        <v>6891.9422097983561</v>
      </c>
    </row>
    <row r="201" spans="1:11" x14ac:dyDescent="0.25">
      <c r="A201" s="29">
        <v>151</v>
      </c>
      <c r="B201" s="99">
        <f t="shared" si="22"/>
        <v>0</v>
      </c>
      <c r="C201" s="75">
        <f t="shared" si="18"/>
        <v>104.50616427295054</v>
      </c>
      <c r="D201" s="100">
        <f t="shared" si="23"/>
        <v>445.77777777777789</v>
      </c>
      <c r="E201">
        <f t="shared" si="19"/>
        <v>0</v>
      </c>
      <c r="G201">
        <v>151</v>
      </c>
      <c r="H201" s="15">
        <f t="shared" si="24"/>
        <v>3.3332641781285588E-2</v>
      </c>
      <c r="I201">
        <f t="shared" si="25"/>
        <v>109.53939318192467</v>
      </c>
      <c r="J201">
        <f t="shared" si="20"/>
        <v>454.73792962057928</v>
      </c>
      <c r="K201" s="30">
        <f t="shared" si="21"/>
        <v>6893.5430497877896</v>
      </c>
    </row>
    <row r="202" spans="1:11" x14ac:dyDescent="0.25">
      <c r="A202" s="29">
        <v>152</v>
      </c>
      <c r="B202" s="99">
        <f t="shared" si="22"/>
        <v>0</v>
      </c>
      <c r="C202" s="75">
        <f t="shared" si="18"/>
        <v>104.50616427295054</v>
      </c>
      <c r="D202" s="100">
        <f t="shared" si="23"/>
        <v>445.77777777777789</v>
      </c>
      <c r="E202">
        <f t="shared" si="19"/>
        <v>0</v>
      </c>
      <c r="G202">
        <v>152</v>
      </c>
      <c r="H202" s="15">
        <f t="shared" si="24"/>
        <v>3.3332641781285588E-2</v>
      </c>
      <c r="I202">
        <f t="shared" si="25"/>
        <v>109.57272582370595</v>
      </c>
      <c r="J202">
        <f t="shared" si="20"/>
        <v>454.79069965949725</v>
      </c>
      <c r="K202" s="30">
        <f t="shared" si="21"/>
        <v>6895.1418704525968</v>
      </c>
    </row>
    <row r="203" spans="1:11" x14ac:dyDescent="0.25">
      <c r="A203" s="29">
        <v>153</v>
      </c>
      <c r="B203" s="99">
        <f t="shared" si="22"/>
        <v>0</v>
      </c>
      <c r="C203" s="75">
        <f t="shared" si="18"/>
        <v>104.50616427295054</v>
      </c>
      <c r="D203" s="100">
        <f t="shared" si="23"/>
        <v>445.77777777777789</v>
      </c>
      <c r="E203">
        <f t="shared" si="19"/>
        <v>0</v>
      </c>
      <c r="G203">
        <v>153</v>
      </c>
      <c r="H203" s="15">
        <f t="shared" si="24"/>
        <v>3.3332641781285588E-2</v>
      </c>
      <c r="I203">
        <f t="shared" si="25"/>
        <v>109.60605846548724</v>
      </c>
      <c r="J203">
        <f t="shared" si="20"/>
        <v>454.84339707550924</v>
      </c>
      <c r="K203" s="30">
        <f t="shared" si="21"/>
        <v>6896.7386775267832</v>
      </c>
    </row>
    <row r="204" spans="1:11" x14ac:dyDescent="0.25">
      <c r="A204" s="29">
        <v>154</v>
      </c>
      <c r="B204" s="99">
        <f t="shared" si="22"/>
        <v>0</v>
      </c>
      <c r="C204" s="75">
        <f t="shared" si="18"/>
        <v>104.50616427295054</v>
      </c>
      <c r="D204" s="100">
        <f t="shared" si="23"/>
        <v>445.77777777777789</v>
      </c>
      <c r="E204">
        <f t="shared" si="19"/>
        <v>0</v>
      </c>
      <c r="G204">
        <v>154</v>
      </c>
      <c r="H204" s="15">
        <f t="shared" si="24"/>
        <v>3.3332641781285588E-2</v>
      </c>
      <c r="I204">
        <f t="shared" si="25"/>
        <v>109.63939110726852</v>
      </c>
      <c r="J204">
        <f t="shared" si="20"/>
        <v>454.8960220824323</v>
      </c>
      <c r="K204" s="30">
        <f t="shared" si="21"/>
        <v>6898.3334767140041</v>
      </c>
    </row>
    <row r="205" spans="1:11" x14ac:dyDescent="0.25">
      <c r="A205" s="29">
        <v>155</v>
      </c>
      <c r="B205" s="99">
        <f t="shared" si="22"/>
        <v>0</v>
      </c>
      <c r="C205" s="75">
        <f t="shared" si="18"/>
        <v>104.50616427295054</v>
      </c>
      <c r="D205" s="100">
        <f t="shared" si="23"/>
        <v>445.77777777777789</v>
      </c>
      <c r="E205">
        <f t="shared" si="19"/>
        <v>0</v>
      </c>
      <c r="G205">
        <v>155</v>
      </c>
      <c r="H205" s="15">
        <f t="shared" si="24"/>
        <v>3.3332641781285588E-2</v>
      </c>
      <c r="I205">
        <f t="shared" si="25"/>
        <v>109.67272374904981</v>
      </c>
      <c r="J205">
        <f t="shared" si="20"/>
        <v>454.94857489295271</v>
      </c>
      <c r="K205" s="30">
        <f t="shared" si="21"/>
        <v>6899.9262736877836</v>
      </c>
    </row>
    <row r="206" spans="1:11" x14ac:dyDescent="0.25">
      <c r="A206" s="29">
        <v>156</v>
      </c>
      <c r="B206" s="99">
        <f t="shared" si="22"/>
        <v>0</v>
      </c>
      <c r="C206" s="75">
        <f t="shared" si="18"/>
        <v>104.50616427295054</v>
      </c>
      <c r="D206" s="100">
        <f t="shared" si="23"/>
        <v>445.77777777777789</v>
      </c>
      <c r="E206">
        <f t="shared" si="19"/>
        <v>0</v>
      </c>
      <c r="G206">
        <v>156</v>
      </c>
      <c r="H206" s="15">
        <f t="shared" si="24"/>
        <v>3.3332641781285588E-2</v>
      </c>
      <c r="I206">
        <f t="shared" si="25"/>
        <v>109.70605639083109</v>
      </c>
      <c r="J206">
        <f t="shared" si="20"/>
        <v>455.00105571863457</v>
      </c>
      <c r="K206" s="30">
        <f t="shared" si="21"/>
        <v>6901.5170740917429</v>
      </c>
    </row>
    <row r="207" spans="1:11" x14ac:dyDescent="0.25">
      <c r="A207" s="29">
        <v>157</v>
      </c>
      <c r="B207" s="99">
        <f t="shared" si="22"/>
        <v>0</v>
      </c>
      <c r="C207" s="75">
        <f t="shared" si="18"/>
        <v>104.50616427295054</v>
      </c>
      <c r="D207" s="100">
        <f t="shared" si="23"/>
        <v>445.77777777777789</v>
      </c>
      <c r="E207">
        <f t="shared" si="19"/>
        <v>0</v>
      </c>
      <c r="G207">
        <v>157</v>
      </c>
      <c r="H207" s="15">
        <f t="shared" si="24"/>
        <v>3.3332641781285588E-2</v>
      </c>
      <c r="I207">
        <f t="shared" si="25"/>
        <v>109.73938903261238</v>
      </c>
      <c r="J207">
        <f t="shared" si="20"/>
        <v>455.05346476992798</v>
      </c>
      <c r="K207" s="30">
        <f t="shared" si="21"/>
        <v>6903.1058835398217</v>
      </c>
    </row>
    <row r="208" spans="1:11" x14ac:dyDescent="0.25">
      <c r="A208" s="29">
        <v>158</v>
      </c>
      <c r="B208" s="99">
        <f t="shared" si="22"/>
        <v>0</v>
      </c>
      <c r="C208" s="75">
        <f t="shared" ref="C208:C271" si="26">($C$37-$C$36)/2000+C207</f>
        <v>104.50616427295054</v>
      </c>
      <c r="D208" s="100">
        <f t="shared" si="23"/>
        <v>445.77777777777789</v>
      </c>
      <c r="E208">
        <f t="shared" si="19"/>
        <v>0</v>
      </c>
      <c r="G208">
        <v>158</v>
      </c>
      <c r="H208" s="15">
        <f t="shared" si="24"/>
        <v>3.3332641781285588E-2</v>
      </c>
      <c r="I208">
        <f t="shared" si="25"/>
        <v>109.77272167439367</v>
      </c>
      <c r="J208">
        <f t="shared" si="20"/>
        <v>455.10580225617753</v>
      </c>
      <c r="K208" s="30">
        <f t="shared" si="21"/>
        <v>6904.6927076164948</v>
      </c>
    </row>
    <row r="209" spans="1:11" x14ac:dyDescent="0.25">
      <c r="A209" s="29">
        <v>159</v>
      </c>
      <c r="B209" s="99">
        <f t="shared" si="22"/>
        <v>0</v>
      </c>
      <c r="C209" s="75">
        <f t="shared" si="26"/>
        <v>104.50616427295054</v>
      </c>
      <c r="D209" s="100">
        <f t="shared" si="23"/>
        <v>445.77777777777789</v>
      </c>
      <c r="E209">
        <f t="shared" si="19"/>
        <v>0</v>
      </c>
      <c r="G209">
        <v>159</v>
      </c>
      <c r="H209" s="15">
        <f t="shared" si="24"/>
        <v>3.3332641781285588E-2</v>
      </c>
      <c r="I209">
        <f t="shared" si="25"/>
        <v>109.80605431617495</v>
      </c>
      <c r="J209">
        <f t="shared" si="20"/>
        <v>455.15806838563014</v>
      </c>
      <c r="K209" s="30">
        <f t="shared" si="21"/>
        <v>6906.2775518769886</v>
      </c>
    </row>
    <row r="210" spans="1:11" x14ac:dyDescent="0.25">
      <c r="A210" s="29">
        <v>160</v>
      </c>
      <c r="B210" s="99">
        <f t="shared" si="22"/>
        <v>0</v>
      </c>
      <c r="C210" s="75">
        <f t="shared" si="26"/>
        <v>104.50616427295054</v>
      </c>
      <c r="D210" s="100">
        <f t="shared" si="23"/>
        <v>445.77777777777789</v>
      </c>
      <c r="E210">
        <f t="shared" si="19"/>
        <v>0</v>
      </c>
      <c r="G210">
        <v>160</v>
      </c>
      <c r="H210" s="15">
        <f t="shared" si="24"/>
        <v>3.3332641781285588E-2</v>
      </c>
      <c r="I210">
        <f t="shared" si="25"/>
        <v>109.83938695795624</v>
      </c>
      <c r="J210">
        <f t="shared" si="20"/>
        <v>455.21026336544327</v>
      </c>
      <c r="K210" s="30">
        <f t="shared" si="21"/>
        <v>6907.8604218475011</v>
      </c>
    </row>
    <row r="211" spans="1:11" x14ac:dyDescent="0.25">
      <c r="A211" s="29">
        <v>161</v>
      </c>
      <c r="B211" s="99">
        <f t="shared" si="22"/>
        <v>0</v>
      </c>
      <c r="C211" s="75">
        <f t="shared" si="26"/>
        <v>104.50616427295054</v>
      </c>
      <c r="D211" s="100">
        <f t="shared" si="23"/>
        <v>445.77777777777789</v>
      </c>
      <c r="E211">
        <f t="shared" si="19"/>
        <v>0</v>
      </c>
      <c r="G211">
        <v>161</v>
      </c>
      <c r="H211" s="15">
        <f t="shared" si="24"/>
        <v>3.3332641781285588E-2</v>
      </c>
      <c r="I211">
        <f t="shared" si="25"/>
        <v>109.87271959973752</v>
      </c>
      <c r="J211">
        <f t="shared" si="20"/>
        <v>455.26238740169299</v>
      </c>
      <c r="K211" s="30">
        <f t="shared" si="21"/>
        <v>6909.4413230254077</v>
      </c>
    </row>
    <row r="212" spans="1:11" x14ac:dyDescent="0.25">
      <c r="A212" s="29">
        <v>162</v>
      </c>
      <c r="B212" s="99">
        <f t="shared" si="22"/>
        <v>0</v>
      </c>
      <c r="C212" s="75">
        <f t="shared" si="26"/>
        <v>104.50616427295054</v>
      </c>
      <c r="D212" s="100">
        <f t="shared" si="23"/>
        <v>445.77777777777789</v>
      </c>
      <c r="E212">
        <f t="shared" si="19"/>
        <v>0</v>
      </c>
      <c r="G212">
        <v>162</v>
      </c>
      <c r="H212" s="15">
        <f t="shared" si="24"/>
        <v>3.3332641781285588E-2</v>
      </c>
      <c r="I212">
        <f t="shared" si="25"/>
        <v>109.90605224151881</v>
      </c>
      <c r="J212">
        <f t="shared" si="20"/>
        <v>455.31444069938175</v>
      </c>
      <c r="K212" s="30">
        <f t="shared" si="21"/>
        <v>6911.0202608794789</v>
      </c>
    </row>
    <row r="213" spans="1:11" x14ac:dyDescent="0.25">
      <c r="A213" s="29">
        <v>163</v>
      </c>
      <c r="B213" s="99">
        <f t="shared" si="22"/>
        <v>0</v>
      </c>
      <c r="C213" s="75">
        <f t="shared" si="26"/>
        <v>104.50616427295054</v>
      </c>
      <c r="D213" s="100">
        <f t="shared" si="23"/>
        <v>445.77777777777789</v>
      </c>
      <c r="E213">
        <f t="shared" si="19"/>
        <v>0</v>
      </c>
      <c r="G213">
        <v>163</v>
      </c>
      <c r="H213" s="15">
        <f t="shared" si="24"/>
        <v>3.3332641781285588E-2</v>
      </c>
      <c r="I213">
        <f t="shared" si="25"/>
        <v>109.93938488330009</v>
      </c>
      <c r="J213">
        <f t="shared" si="20"/>
        <v>455.36642346244639</v>
      </c>
      <c r="K213" s="30">
        <f t="shared" si="21"/>
        <v>6912.5972408500847</v>
      </c>
    </row>
    <row r="214" spans="1:11" x14ac:dyDescent="0.25">
      <c r="A214" s="29">
        <v>164</v>
      </c>
      <c r="B214" s="99">
        <f t="shared" si="22"/>
        <v>0</v>
      </c>
      <c r="C214" s="75">
        <f t="shared" si="26"/>
        <v>104.50616427295054</v>
      </c>
      <c r="D214" s="100">
        <f t="shared" si="23"/>
        <v>445.77777777777789</v>
      </c>
      <c r="E214">
        <f t="shared" si="19"/>
        <v>0</v>
      </c>
      <c r="G214">
        <v>164</v>
      </c>
      <c r="H214" s="15">
        <f t="shared" si="24"/>
        <v>3.3332641781285588E-2</v>
      </c>
      <c r="I214">
        <f t="shared" si="25"/>
        <v>109.97271752508138</v>
      </c>
      <c r="J214">
        <f t="shared" si="20"/>
        <v>455.41833589376574</v>
      </c>
      <c r="K214" s="30">
        <f t="shared" si="21"/>
        <v>6914.1722683493981</v>
      </c>
    </row>
    <row r="215" spans="1:11" x14ac:dyDescent="0.25">
      <c r="A215" s="29">
        <v>165</v>
      </c>
      <c r="B215" s="99">
        <f t="shared" si="22"/>
        <v>0</v>
      </c>
      <c r="C215" s="75">
        <f t="shared" si="26"/>
        <v>104.50616427295054</v>
      </c>
      <c r="D215" s="100">
        <f t="shared" si="23"/>
        <v>445.77777777777789</v>
      </c>
      <c r="E215">
        <f t="shared" si="19"/>
        <v>0</v>
      </c>
      <c r="G215">
        <v>165</v>
      </c>
      <c r="H215" s="15">
        <f t="shared" si="24"/>
        <v>3.3332641781285588E-2</v>
      </c>
      <c r="I215">
        <f t="shared" si="25"/>
        <v>110.00605016686266</v>
      </c>
      <c r="J215">
        <f t="shared" si="20"/>
        <v>455.47017819516839</v>
      </c>
      <c r="K215" s="30">
        <f t="shared" si="21"/>
        <v>6915.7453487616112</v>
      </c>
    </row>
    <row r="216" spans="1:11" x14ac:dyDescent="0.25">
      <c r="A216" s="29">
        <v>166</v>
      </c>
      <c r="B216" s="99">
        <f t="shared" si="22"/>
        <v>0</v>
      </c>
      <c r="C216" s="75">
        <f t="shared" si="26"/>
        <v>104.50616427295054</v>
      </c>
      <c r="D216" s="100">
        <f t="shared" si="23"/>
        <v>445.77777777777789</v>
      </c>
      <c r="E216">
        <f t="shared" si="19"/>
        <v>0</v>
      </c>
      <c r="G216">
        <v>166</v>
      </c>
      <c r="H216" s="15">
        <f t="shared" si="24"/>
        <v>3.3332641781285588E-2</v>
      </c>
      <c r="I216">
        <f t="shared" si="25"/>
        <v>110.03938280864395</v>
      </c>
      <c r="J216">
        <f t="shared" si="20"/>
        <v>455.5219505674404</v>
      </c>
      <c r="K216" s="30">
        <f t="shared" si="21"/>
        <v>6917.3164874431304</v>
      </c>
    </row>
    <row r="217" spans="1:11" x14ac:dyDescent="0.25">
      <c r="A217" s="29">
        <v>167</v>
      </c>
      <c r="B217" s="99">
        <f t="shared" si="22"/>
        <v>0</v>
      </c>
      <c r="C217" s="75">
        <f t="shared" si="26"/>
        <v>104.50616427295054</v>
      </c>
      <c r="D217" s="100">
        <f t="shared" si="23"/>
        <v>445.77777777777789</v>
      </c>
      <c r="E217">
        <f t="shared" si="19"/>
        <v>0</v>
      </c>
      <c r="G217">
        <v>167</v>
      </c>
      <c r="H217" s="15">
        <f t="shared" si="24"/>
        <v>3.3332641781285588E-2</v>
      </c>
      <c r="I217">
        <f t="shared" si="25"/>
        <v>110.07271545042524</v>
      </c>
      <c r="J217">
        <f t="shared" si="20"/>
        <v>455.57365321033279</v>
      </c>
      <c r="K217" s="30">
        <f t="shared" si="21"/>
        <v>6918.8856897227752</v>
      </c>
    </row>
    <row r="218" spans="1:11" x14ac:dyDescent="0.25">
      <c r="A218" s="29">
        <v>168</v>
      </c>
      <c r="B218" s="99">
        <f t="shared" si="22"/>
        <v>0</v>
      </c>
      <c r="C218" s="75">
        <f t="shared" si="26"/>
        <v>104.50616427295054</v>
      </c>
      <c r="D218" s="100">
        <f t="shared" si="23"/>
        <v>445.77777777777789</v>
      </c>
      <c r="E218">
        <f t="shared" si="19"/>
        <v>0</v>
      </c>
      <c r="G218">
        <v>168</v>
      </c>
      <c r="H218" s="15">
        <f t="shared" si="24"/>
        <v>3.3332641781285588E-2</v>
      </c>
      <c r="I218">
        <f t="shared" si="25"/>
        <v>110.10604809220652</v>
      </c>
      <c r="J218">
        <f t="shared" si="20"/>
        <v>455.62528632256897</v>
      </c>
      <c r="K218" s="30">
        <f t="shared" si="21"/>
        <v>6920.4529609019837</v>
      </c>
    </row>
    <row r="219" spans="1:11" x14ac:dyDescent="0.25">
      <c r="A219" s="29">
        <v>169</v>
      </c>
      <c r="B219" s="99">
        <f t="shared" si="22"/>
        <v>0</v>
      </c>
      <c r="C219" s="75">
        <f t="shared" si="26"/>
        <v>104.50616427295054</v>
      </c>
      <c r="D219" s="100">
        <f t="shared" si="23"/>
        <v>445.77777777777789</v>
      </c>
      <c r="E219">
        <f t="shared" si="19"/>
        <v>0</v>
      </c>
      <c r="G219">
        <v>169</v>
      </c>
      <c r="H219" s="15">
        <f t="shared" si="24"/>
        <v>3.3332641781285588E-2</v>
      </c>
      <c r="I219">
        <f t="shared" si="25"/>
        <v>110.13938073398781</v>
      </c>
      <c r="J219">
        <f t="shared" si="20"/>
        <v>455.67685010185215</v>
      </c>
      <c r="K219" s="30">
        <f t="shared" si="21"/>
        <v>6922.0183062550086</v>
      </c>
    </row>
    <row r="220" spans="1:11" x14ac:dyDescent="0.25">
      <c r="A220" s="29">
        <v>170</v>
      </c>
      <c r="B220" s="99">
        <f t="shared" si="22"/>
        <v>0</v>
      </c>
      <c r="C220" s="75">
        <f t="shared" si="26"/>
        <v>104.50616427295054</v>
      </c>
      <c r="D220" s="100">
        <f t="shared" si="23"/>
        <v>445.77777777777789</v>
      </c>
      <c r="E220">
        <f t="shared" si="19"/>
        <v>0</v>
      </c>
      <c r="G220">
        <v>170</v>
      </c>
      <c r="H220" s="15">
        <f t="shared" si="24"/>
        <v>3.3332641781285588E-2</v>
      </c>
      <c r="I220">
        <f t="shared" si="25"/>
        <v>110.17271337576909</v>
      </c>
      <c r="J220">
        <f t="shared" si="20"/>
        <v>455.72834474487297</v>
      </c>
      <c r="K220" s="30">
        <f t="shared" si="21"/>
        <v>6923.5817310291068</v>
      </c>
    </row>
    <row r="221" spans="1:11" x14ac:dyDescent="0.25">
      <c r="A221" s="29">
        <v>171</v>
      </c>
      <c r="B221" s="99">
        <f t="shared" si="22"/>
        <v>0</v>
      </c>
      <c r="C221" s="75">
        <f t="shared" si="26"/>
        <v>104.50616427295054</v>
      </c>
      <c r="D221" s="100">
        <f t="shared" si="23"/>
        <v>445.77777777777789</v>
      </c>
      <c r="E221">
        <f t="shared" si="19"/>
        <v>0</v>
      </c>
      <c r="G221">
        <v>171</v>
      </c>
      <c r="H221" s="15">
        <f t="shared" si="24"/>
        <v>3.3332641781285588E-2</v>
      </c>
      <c r="I221">
        <f t="shared" si="25"/>
        <v>110.20604601755038</v>
      </c>
      <c r="J221">
        <f t="shared" si="20"/>
        <v>455.77977044731631</v>
      </c>
      <c r="K221" s="30">
        <f t="shared" si="21"/>
        <v>6925.1432404447451</v>
      </c>
    </row>
    <row r="222" spans="1:11" x14ac:dyDescent="0.25">
      <c r="A222" s="29">
        <v>172</v>
      </c>
      <c r="B222" s="99">
        <f t="shared" si="22"/>
        <v>0</v>
      </c>
      <c r="C222" s="75">
        <f t="shared" si="26"/>
        <v>104.50616427295054</v>
      </c>
      <c r="D222" s="100">
        <f t="shared" si="23"/>
        <v>445.77777777777789</v>
      </c>
      <c r="E222">
        <f t="shared" si="19"/>
        <v>0</v>
      </c>
      <c r="G222">
        <v>172</v>
      </c>
      <c r="H222" s="15">
        <f t="shared" si="24"/>
        <v>3.3332641781285588E-2</v>
      </c>
      <c r="I222">
        <f t="shared" si="25"/>
        <v>110.23937865933166</v>
      </c>
      <c r="J222">
        <f t="shared" si="20"/>
        <v>455.83112740386889</v>
      </c>
      <c r="K222" s="30">
        <f t="shared" si="21"/>
        <v>6926.7028396957794</v>
      </c>
    </row>
    <row r="223" spans="1:11" x14ac:dyDescent="0.25">
      <c r="A223" s="29">
        <v>173</v>
      </c>
      <c r="B223" s="99">
        <f t="shared" si="22"/>
        <v>0</v>
      </c>
      <c r="C223" s="75">
        <f t="shared" si="26"/>
        <v>104.50616427295054</v>
      </c>
      <c r="D223" s="100">
        <f t="shared" si="23"/>
        <v>445.77777777777789</v>
      </c>
      <c r="E223">
        <f t="shared" si="19"/>
        <v>0</v>
      </c>
      <c r="G223">
        <v>173</v>
      </c>
      <c r="H223" s="15">
        <f t="shared" si="24"/>
        <v>3.3332641781285588E-2</v>
      </c>
      <c r="I223">
        <f t="shared" si="25"/>
        <v>110.27271130111295</v>
      </c>
      <c r="J223">
        <f t="shared" si="20"/>
        <v>455.8824158082262</v>
      </c>
      <c r="K223" s="30">
        <f t="shared" si="21"/>
        <v>6928.260533949654</v>
      </c>
    </row>
    <row r="224" spans="1:11" x14ac:dyDescent="0.25">
      <c r="A224" s="29">
        <v>174</v>
      </c>
      <c r="B224" s="99">
        <f t="shared" si="22"/>
        <v>0</v>
      </c>
      <c r="C224" s="75">
        <f t="shared" si="26"/>
        <v>104.50616427295054</v>
      </c>
      <c r="D224" s="100">
        <f t="shared" si="23"/>
        <v>445.77777777777789</v>
      </c>
      <c r="E224">
        <f t="shared" si="19"/>
        <v>0</v>
      </c>
      <c r="G224">
        <v>174</v>
      </c>
      <c r="H224" s="15">
        <f t="shared" si="24"/>
        <v>3.3332641781285588E-2</v>
      </c>
      <c r="I224">
        <f t="shared" si="25"/>
        <v>110.30604394289423</v>
      </c>
      <c r="J224">
        <f t="shared" si="20"/>
        <v>455.93363585309976</v>
      </c>
      <c r="K224" s="30">
        <f t="shared" si="21"/>
        <v>6929.8163283475842</v>
      </c>
    </row>
    <row r="225" spans="1:11" x14ac:dyDescent="0.25">
      <c r="A225" s="29">
        <v>175</v>
      </c>
      <c r="B225" s="99">
        <f t="shared" si="22"/>
        <v>0</v>
      </c>
      <c r="C225" s="75">
        <f t="shared" si="26"/>
        <v>104.50616427295054</v>
      </c>
      <c r="D225" s="100">
        <f t="shared" si="23"/>
        <v>445.77777777777789</v>
      </c>
      <c r="E225">
        <f t="shared" si="19"/>
        <v>0</v>
      </c>
      <c r="G225">
        <v>175</v>
      </c>
      <c r="H225" s="15">
        <f t="shared" si="24"/>
        <v>3.3332641781285588E-2</v>
      </c>
      <c r="I225">
        <f t="shared" si="25"/>
        <v>110.33937658467552</v>
      </c>
      <c r="J225">
        <f t="shared" si="20"/>
        <v>455.9847877302239</v>
      </c>
      <c r="K225" s="30">
        <f t="shared" si="21"/>
        <v>6931.3702280047464</v>
      </c>
    </row>
    <row r="226" spans="1:11" x14ac:dyDescent="0.25">
      <c r="A226" s="29">
        <v>176</v>
      </c>
      <c r="B226" s="99">
        <f t="shared" si="22"/>
        <v>0</v>
      </c>
      <c r="C226" s="75">
        <f t="shared" si="26"/>
        <v>104.50616427295054</v>
      </c>
      <c r="D226" s="100">
        <f t="shared" si="23"/>
        <v>445.77777777777789</v>
      </c>
      <c r="E226">
        <f t="shared" si="19"/>
        <v>0</v>
      </c>
      <c r="G226">
        <v>176</v>
      </c>
      <c r="H226" s="15">
        <f t="shared" si="24"/>
        <v>3.3332641781285588E-2</v>
      </c>
      <c r="I226">
        <f t="shared" si="25"/>
        <v>110.37270922645681</v>
      </c>
      <c r="J226">
        <f t="shared" si="20"/>
        <v>456.03587163036286</v>
      </c>
      <c r="K226" s="30">
        <f t="shared" si="21"/>
        <v>6932.9222380104657</v>
      </c>
    </row>
    <row r="227" spans="1:11" x14ac:dyDescent="0.25">
      <c r="A227" s="29">
        <v>177</v>
      </c>
      <c r="B227" s="99">
        <f t="shared" si="22"/>
        <v>0</v>
      </c>
      <c r="C227" s="75">
        <f t="shared" si="26"/>
        <v>104.50616427295054</v>
      </c>
      <c r="D227" s="100">
        <f t="shared" si="23"/>
        <v>445.77777777777789</v>
      </c>
      <c r="E227">
        <f t="shared" si="19"/>
        <v>0</v>
      </c>
      <c r="G227">
        <v>177</v>
      </c>
      <c r="H227" s="15">
        <f t="shared" si="24"/>
        <v>3.3332641781285588E-2</v>
      </c>
      <c r="I227">
        <f t="shared" si="25"/>
        <v>110.40604186823809</v>
      </c>
      <c r="J227">
        <f t="shared" si="20"/>
        <v>456.08688774331779</v>
      </c>
      <c r="K227" s="30">
        <f t="shared" si="21"/>
        <v>6934.4723634283882</v>
      </c>
    </row>
    <row r="228" spans="1:11" x14ac:dyDescent="0.25">
      <c r="A228" s="29">
        <v>178</v>
      </c>
      <c r="B228" s="99">
        <f t="shared" si="22"/>
        <v>0</v>
      </c>
      <c r="C228" s="75">
        <f t="shared" si="26"/>
        <v>104.50616427295054</v>
      </c>
      <c r="D228" s="100">
        <f t="shared" si="23"/>
        <v>445.77777777777789</v>
      </c>
      <c r="E228">
        <f t="shared" si="19"/>
        <v>0</v>
      </c>
      <c r="G228">
        <v>178</v>
      </c>
      <c r="H228" s="15">
        <f t="shared" si="24"/>
        <v>3.3332641781285588E-2</v>
      </c>
      <c r="I228">
        <f t="shared" si="25"/>
        <v>110.43937451001938</v>
      </c>
      <c r="J228">
        <f t="shared" si="20"/>
        <v>456.1378362579332</v>
      </c>
      <c r="K228" s="30">
        <f t="shared" si="21"/>
        <v>6936.020609296681</v>
      </c>
    </row>
    <row r="229" spans="1:11" x14ac:dyDescent="0.25">
      <c r="A229" s="29">
        <v>179</v>
      </c>
      <c r="B229" s="99">
        <f t="shared" si="22"/>
        <v>0</v>
      </c>
      <c r="C229" s="75">
        <f t="shared" si="26"/>
        <v>104.50616427295054</v>
      </c>
      <c r="D229" s="100">
        <f t="shared" si="23"/>
        <v>445.77777777777789</v>
      </c>
      <c r="E229">
        <f t="shared" si="19"/>
        <v>0</v>
      </c>
      <c r="G229">
        <v>179</v>
      </c>
      <c r="H229" s="15">
        <f t="shared" si="24"/>
        <v>3.3332641781285588E-2</v>
      </c>
      <c r="I229">
        <f t="shared" si="25"/>
        <v>110.47270715180066</v>
      </c>
      <c r="J229">
        <f t="shared" si="20"/>
        <v>456.18871736210417</v>
      </c>
      <c r="K229" s="30">
        <f t="shared" si="21"/>
        <v>6937.5669806281912</v>
      </c>
    </row>
    <row r="230" spans="1:11" x14ac:dyDescent="0.25">
      <c r="A230" s="29">
        <v>180</v>
      </c>
      <c r="B230" s="99">
        <f t="shared" si="22"/>
        <v>0</v>
      </c>
      <c r="C230" s="75">
        <f t="shared" si="26"/>
        <v>104.50616427295054</v>
      </c>
      <c r="D230" s="100">
        <f t="shared" si="23"/>
        <v>445.77777777777789</v>
      </c>
      <c r="E230">
        <f t="shared" si="19"/>
        <v>0</v>
      </c>
      <c r="G230">
        <v>180</v>
      </c>
      <c r="H230" s="15">
        <f t="shared" si="24"/>
        <v>3.3332641781285588E-2</v>
      </c>
      <c r="I230">
        <f t="shared" si="25"/>
        <v>110.50603979358195</v>
      </c>
      <c r="J230">
        <f t="shared" si="20"/>
        <v>456.23953124278279</v>
      </c>
      <c r="K230" s="30">
        <f t="shared" si="21"/>
        <v>6939.1114824106407</v>
      </c>
    </row>
    <row r="231" spans="1:11" x14ac:dyDescent="0.25">
      <c r="A231" s="29">
        <v>181</v>
      </c>
      <c r="B231" s="99">
        <f t="shared" si="22"/>
        <v>0</v>
      </c>
      <c r="C231" s="75">
        <f t="shared" si="26"/>
        <v>104.50616427295054</v>
      </c>
      <c r="D231" s="100">
        <f t="shared" si="23"/>
        <v>445.77777777777789</v>
      </c>
      <c r="E231">
        <f t="shared" si="19"/>
        <v>0</v>
      </c>
      <c r="G231">
        <v>181</v>
      </c>
      <c r="H231" s="15">
        <f t="shared" si="24"/>
        <v>3.3332641781285588E-2</v>
      </c>
      <c r="I231">
        <f t="shared" si="25"/>
        <v>110.53937243536323</v>
      </c>
      <c r="J231">
        <f t="shared" si="20"/>
        <v>456.29027808598471</v>
      </c>
      <c r="K231" s="30">
        <f t="shared" si="21"/>
        <v>6940.6541196067956</v>
      </c>
    </row>
    <row r="232" spans="1:11" x14ac:dyDescent="0.25">
      <c r="A232" s="29">
        <v>182</v>
      </c>
      <c r="B232" s="99">
        <f t="shared" si="22"/>
        <v>0</v>
      </c>
      <c r="C232" s="75">
        <f t="shared" si="26"/>
        <v>104.50616427295054</v>
      </c>
      <c r="D232" s="100">
        <f t="shared" si="23"/>
        <v>445.77777777777789</v>
      </c>
      <c r="E232">
        <f t="shared" si="19"/>
        <v>0</v>
      </c>
      <c r="G232">
        <v>182</v>
      </c>
      <c r="H232" s="15">
        <f t="shared" si="24"/>
        <v>3.3332641781285588E-2</v>
      </c>
      <c r="I232">
        <f t="shared" si="25"/>
        <v>110.57270507714452</v>
      </c>
      <c r="J232">
        <f t="shared" si="20"/>
        <v>456.34095807679603</v>
      </c>
      <c r="K232" s="30">
        <f t="shared" si="21"/>
        <v>6942.1948971546417</v>
      </c>
    </row>
    <row r="233" spans="1:11" x14ac:dyDescent="0.25">
      <c r="A233" s="29">
        <v>183</v>
      </c>
      <c r="B233" s="99">
        <f t="shared" si="22"/>
        <v>0</v>
      </c>
      <c r="C233" s="75">
        <f t="shared" si="26"/>
        <v>104.50616427295054</v>
      </c>
      <c r="D233" s="100">
        <f t="shared" si="23"/>
        <v>445.77777777777789</v>
      </c>
      <c r="E233">
        <f t="shared" si="19"/>
        <v>0</v>
      </c>
      <c r="G233">
        <v>183</v>
      </c>
      <c r="H233" s="15">
        <f t="shared" si="24"/>
        <v>3.3332641781285588E-2</v>
      </c>
      <c r="I233">
        <f t="shared" si="25"/>
        <v>110.6060377189258</v>
      </c>
      <c r="J233">
        <f t="shared" si="20"/>
        <v>456.39157139937953</v>
      </c>
      <c r="K233" s="30">
        <f t="shared" si="21"/>
        <v>6943.7338199675605</v>
      </c>
    </row>
    <row r="234" spans="1:11" x14ac:dyDescent="0.25">
      <c r="A234" s="29">
        <v>184</v>
      </c>
      <c r="B234" s="99">
        <f t="shared" si="22"/>
        <v>0</v>
      </c>
      <c r="C234" s="75">
        <f t="shared" si="26"/>
        <v>104.50616427295054</v>
      </c>
      <c r="D234" s="100">
        <f t="shared" si="23"/>
        <v>445.77777777777789</v>
      </c>
      <c r="E234">
        <f t="shared" si="19"/>
        <v>0</v>
      </c>
      <c r="G234">
        <v>184</v>
      </c>
      <c r="H234" s="15">
        <f t="shared" si="24"/>
        <v>3.3332641781285588E-2</v>
      </c>
      <c r="I234">
        <f t="shared" si="25"/>
        <v>110.63937036070709</v>
      </c>
      <c r="J234">
        <f t="shared" si="20"/>
        <v>456.44211823698134</v>
      </c>
      <c r="K234" s="30">
        <f t="shared" si="21"/>
        <v>6945.2708929344954</v>
      </c>
    </row>
    <row r="235" spans="1:11" x14ac:dyDescent="0.25">
      <c r="A235" s="29">
        <v>185</v>
      </c>
      <c r="B235" s="99">
        <f t="shared" si="22"/>
        <v>0</v>
      </c>
      <c r="C235" s="75">
        <f t="shared" si="26"/>
        <v>104.50616427295054</v>
      </c>
      <c r="D235" s="100">
        <f t="shared" si="23"/>
        <v>445.77777777777789</v>
      </c>
      <c r="E235">
        <f t="shared" si="19"/>
        <v>0</v>
      </c>
      <c r="G235">
        <v>185</v>
      </c>
      <c r="H235" s="15">
        <f t="shared" si="24"/>
        <v>3.3332641781285588E-2</v>
      </c>
      <c r="I235">
        <f t="shared" si="25"/>
        <v>110.67270300248838</v>
      </c>
      <c r="J235">
        <f t="shared" si="20"/>
        <v>456.49259877193714</v>
      </c>
      <c r="K235" s="30">
        <f t="shared" si="21"/>
        <v>6946.806120920136</v>
      </c>
    </row>
    <row r="236" spans="1:11" x14ac:dyDescent="0.25">
      <c r="A236" s="29">
        <v>186</v>
      </c>
      <c r="B236" s="99">
        <f t="shared" si="22"/>
        <v>0</v>
      </c>
      <c r="C236" s="75">
        <f t="shared" si="26"/>
        <v>104.50616427295054</v>
      </c>
      <c r="D236" s="100">
        <f t="shared" si="23"/>
        <v>445.77777777777789</v>
      </c>
      <c r="E236">
        <f t="shared" si="19"/>
        <v>0</v>
      </c>
      <c r="G236">
        <v>186</v>
      </c>
      <c r="H236" s="15">
        <f t="shared" si="24"/>
        <v>3.3332641781285588E-2</v>
      </c>
      <c r="I236">
        <f t="shared" si="25"/>
        <v>110.70603564426966</v>
      </c>
      <c r="J236">
        <f t="shared" si="20"/>
        <v>456.54301318567872</v>
      </c>
      <c r="K236" s="30">
        <f t="shared" si="21"/>
        <v>6948.3395087650679</v>
      </c>
    </row>
    <row r="237" spans="1:11" x14ac:dyDescent="0.25">
      <c r="A237" s="29">
        <v>187</v>
      </c>
      <c r="B237" s="99">
        <f t="shared" si="22"/>
        <v>0</v>
      </c>
      <c r="C237" s="75">
        <f t="shared" si="26"/>
        <v>104.50616427295054</v>
      </c>
      <c r="D237" s="100">
        <f t="shared" si="23"/>
        <v>445.77777777777789</v>
      </c>
      <c r="E237">
        <f t="shared" si="19"/>
        <v>0</v>
      </c>
      <c r="G237">
        <v>187</v>
      </c>
      <c r="H237" s="15">
        <f t="shared" si="24"/>
        <v>3.3332641781285588E-2</v>
      </c>
      <c r="I237">
        <f t="shared" si="25"/>
        <v>110.73936828605095</v>
      </c>
      <c r="J237">
        <f t="shared" si="20"/>
        <v>456.59336165874009</v>
      </c>
      <c r="K237" s="30">
        <f t="shared" si="21"/>
        <v>6949.871061285955</v>
      </c>
    </row>
    <row r="238" spans="1:11" x14ac:dyDescent="0.25">
      <c r="A238" s="29">
        <v>188</v>
      </c>
      <c r="B238" s="99">
        <f t="shared" si="22"/>
        <v>0</v>
      </c>
      <c r="C238" s="75">
        <f t="shared" si="26"/>
        <v>104.50616427295054</v>
      </c>
      <c r="D238" s="100">
        <f t="shared" si="23"/>
        <v>445.77777777777789</v>
      </c>
      <c r="E238">
        <f t="shared" si="19"/>
        <v>0</v>
      </c>
      <c r="G238">
        <v>188</v>
      </c>
      <c r="H238" s="15">
        <f t="shared" si="24"/>
        <v>3.3332641781285588E-2</v>
      </c>
      <c r="I238">
        <f t="shared" si="25"/>
        <v>110.77270092783223</v>
      </c>
      <c r="J238">
        <f t="shared" si="20"/>
        <v>456.64364437076381</v>
      </c>
      <c r="K238" s="30">
        <f t="shared" si="21"/>
        <v>6951.4007832756979</v>
      </c>
    </row>
    <row r="239" spans="1:11" x14ac:dyDescent="0.25">
      <c r="A239" s="29">
        <v>189</v>
      </c>
      <c r="B239" s="99">
        <f t="shared" si="22"/>
        <v>0</v>
      </c>
      <c r="C239" s="75">
        <f t="shared" si="26"/>
        <v>104.50616427295054</v>
      </c>
      <c r="D239" s="100">
        <f t="shared" si="23"/>
        <v>445.77777777777789</v>
      </c>
      <c r="E239">
        <f t="shared" si="19"/>
        <v>0</v>
      </c>
      <c r="G239">
        <v>189</v>
      </c>
      <c r="H239" s="15">
        <f t="shared" si="24"/>
        <v>3.3332641781285588E-2</v>
      </c>
      <c r="I239">
        <f t="shared" si="25"/>
        <v>110.80603356961352</v>
      </c>
      <c r="J239">
        <f t="shared" si="20"/>
        <v>456.69386150050713</v>
      </c>
      <c r="K239" s="30">
        <f t="shared" si="21"/>
        <v>6952.9286795036014</v>
      </c>
    </row>
    <row r="240" spans="1:11" x14ac:dyDescent="0.25">
      <c r="A240" s="29">
        <v>190</v>
      </c>
      <c r="B240" s="99">
        <f t="shared" si="22"/>
        <v>0</v>
      </c>
      <c r="C240" s="75">
        <f t="shared" si="26"/>
        <v>104.50616427295054</v>
      </c>
      <c r="D240" s="100">
        <f t="shared" si="23"/>
        <v>445.77777777777789</v>
      </c>
      <c r="E240">
        <f t="shared" si="19"/>
        <v>0</v>
      </c>
      <c r="G240">
        <v>190</v>
      </c>
      <c r="H240" s="15">
        <f t="shared" si="24"/>
        <v>3.3332641781285588E-2</v>
      </c>
      <c r="I240">
        <f t="shared" si="25"/>
        <v>110.8393662113948</v>
      </c>
      <c r="J240">
        <f t="shared" si="20"/>
        <v>456.74401322584805</v>
      </c>
      <c r="K240" s="30">
        <f t="shared" si="21"/>
        <v>6954.4547547155371</v>
      </c>
    </row>
    <row r="241" spans="1:11" x14ac:dyDescent="0.25">
      <c r="A241" s="29">
        <v>191</v>
      </c>
      <c r="B241" s="99">
        <f t="shared" si="22"/>
        <v>0</v>
      </c>
      <c r="C241" s="75">
        <f t="shared" si="26"/>
        <v>104.50616427295054</v>
      </c>
      <c r="D241" s="100">
        <f t="shared" si="23"/>
        <v>445.77777777777789</v>
      </c>
      <c r="E241">
        <f t="shared" si="19"/>
        <v>0</v>
      </c>
      <c r="G241">
        <v>191</v>
      </c>
      <c r="H241" s="15">
        <f t="shared" si="24"/>
        <v>3.3332641781285588E-2</v>
      </c>
      <c r="I241">
        <f t="shared" si="25"/>
        <v>110.87269885317609</v>
      </c>
      <c r="J241">
        <f t="shared" si="20"/>
        <v>456.79409972379165</v>
      </c>
      <c r="K241" s="30">
        <f t="shared" si="21"/>
        <v>6955.9790136341044</v>
      </c>
    </row>
    <row r="242" spans="1:11" x14ac:dyDescent="0.25">
      <c r="A242" s="29">
        <v>192</v>
      </c>
      <c r="B242" s="99">
        <f t="shared" si="22"/>
        <v>0</v>
      </c>
      <c r="C242" s="75">
        <f t="shared" si="26"/>
        <v>104.50616427295054</v>
      </c>
      <c r="D242" s="100">
        <f t="shared" si="23"/>
        <v>445.77777777777789</v>
      </c>
      <c r="E242">
        <f t="shared" si="19"/>
        <v>0</v>
      </c>
      <c r="G242">
        <v>192</v>
      </c>
      <c r="H242" s="15">
        <f t="shared" si="24"/>
        <v>3.3332641781285588E-2</v>
      </c>
      <c r="I242">
        <f t="shared" si="25"/>
        <v>110.90603149495738</v>
      </c>
      <c r="J242">
        <f t="shared" si="20"/>
        <v>456.84412117047566</v>
      </c>
      <c r="K242" s="30">
        <f t="shared" si="21"/>
        <v>6957.5014609587897</v>
      </c>
    </row>
    <row r="243" spans="1:11" x14ac:dyDescent="0.25">
      <c r="A243" s="29">
        <v>193</v>
      </c>
      <c r="B243" s="99">
        <f t="shared" si="22"/>
        <v>0</v>
      </c>
      <c r="C243" s="75">
        <f t="shared" si="26"/>
        <v>104.50616427295054</v>
      </c>
      <c r="D243" s="100">
        <f t="shared" si="23"/>
        <v>445.77777777777789</v>
      </c>
      <c r="E243">
        <f t="shared" ref="E243:E306" si="27">((D243^2)+(D243*D244)+(D244^2))*B244/3</f>
        <v>0</v>
      </c>
      <c r="G243">
        <v>193</v>
      </c>
      <c r="H243" s="15">
        <f t="shared" si="24"/>
        <v>3.3332641781285588E-2</v>
      </c>
      <c r="I243">
        <f t="shared" si="25"/>
        <v>110.93936413673866</v>
      </c>
      <c r="J243">
        <f t="shared" ref="J243:J306" si="28">IF($G$28&lt;$C$14,0,((($C$11^2)-((I243-$C$13)^2))^0.5)+$C$16)</f>
        <v>456.89407774117683</v>
      </c>
      <c r="K243" s="30">
        <f t="shared" ref="K243:K306" si="29">((J243^2)+(J243*J244)+(J244^2))*H244/3</f>
        <v>6959.0221013661285</v>
      </c>
    </row>
    <row r="244" spans="1:11" x14ac:dyDescent="0.25">
      <c r="A244" s="29">
        <v>194</v>
      </c>
      <c r="B244" s="99">
        <f t="shared" ref="B244:B307" si="30">C244-C243</f>
        <v>0</v>
      </c>
      <c r="C244" s="75">
        <f t="shared" si="26"/>
        <v>104.50616427295054</v>
      </c>
      <c r="D244" s="100">
        <f t="shared" ref="D244:D307" si="31">IF($G$28&lt;$C$14,0,((($C$11^2)-((C244-$C$13)^2))^0.5)+$C$16)</f>
        <v>445.77777777777789</v>
      </c>
      <c r="E244">
        <f t="shared" si="27"/>
        <v>0</v>
      </c>
      <c r="G244">
        <v>194</v>
      </c>
      <c r="H244" s="15">
        <f t="shared" ref="H244:H307" si="32">I244-I243</f>
        <v>3.3332641781285588E-2</v>
      </c>
      <c r="I244">
        <f t="shared" ref="I244:I307" si="33">($G$27-$C$14)/2000+I243</f>
        <v>110.97269677851995</v>
      </c>
      <c r="J244">
        <f t="shared" si="28"/>
        <v>456.94396961031657</v>
      </c>
      <c r="K244" s="30">
        <f t="shared" si="29"/>
        <v>6960.5409395098568</v>
      </c>
    </row>
    <row r="245" spans="1:11" x14ac:dyDescent="0.25">
      <c r="A245" s="29">
        <v>195</v>
      </c>
      <c r="B245" s="99">
        <f t="shared" si="30"/>
        <v>0</v>
      </c>
      <c r="C245" s="75">
        <f t="shared" si="26"/>
        <v>104.50616427295054</v>
      </c>
      <c r="D245" s="100">
        <f t="shared" si="31"/>
        <v>445.77777777777789</v>
      </c>
      <c r="E245">
        <f t="shared" si="27"/>
        <v>0</v>
      </c>
      <c r="G245">
        <v>195</v>
      </c>
      <c r="H245" s="15">
        <f t="shared" si="32"/>
        <v>3.3332641781285588E-2</v>
      </c>
      <c r="I245">
        <f t="shared" si="33"/>
        <v>111.00602942030123</v>
      </c>
      <c r="J245">
        <f t="shared" si="28"/>
        <v>456.99379695146706</v>
      </c>
      <c r="K245" s="30">
        <f t="shared" si="29"/>
        <v>6962.0579800210735</v>
      </c>
    </row>
    <row r="246" spans="1:11" x14ac:dyDescent="0.25">
      <c r="A246" s="29">
        <v>196</v>
      </c>
      <c r="B246" s="99">
        <f t="shared" si="30"/>
        <v>0</v>
      </c>
      <c r="C246" s="75">
        <f t="shared" si="26"/>
        <v>104.50616427295054</v>
      </c>
      <c r="D246" s="100">
        <f t="shared" si="31"/>
        <v>445.77777777777789</v>
      </c>
      <c r="E246">
        <f t="shared" si="27"/>
        <v>0</v>
      </c>
      <c r="G246">
        <v>196</v>
      </c>
      <c r="H246" s="15">
        <f t="shared" si="32"/>
        <v>3.3332641781285588E-2</v>
      </c>
      <c r="I246">
        <f t="shared" si="33"/>
        <v>111.03936206208252</v>
      </c>
      <c r="J246">
        <f t="shared" si="28"/>
        <v>457.0435599373568</v>
      </c>
      <c r="K246" s="30">
        <f t="shared" si="29"/>
        <v>6963.5732275083938</v>
      </c>
    </row>
    <row r="247" spans="1:11" x14ac:dyDescent="0.25">
      <c r="A247" s="29">
        <v>197</v>
      </c>
      <c r="B247" s="99">
        <f t="shared" si="30"/>
        <v>0</v>
      </c>
      <c r="C247" s="75">
        <f t="shared" si="26"/>
        <v>104.50616427295054</v>
      </c>
      <c r="D247" s="100">
        <f t="shared" si="31"/>
        <v>445.77777777777789</v>
      </c>
      <c r="E247">
        <f t="shared" si="27"/>
        <v>0</v>
      </c>
      <c r="G247">
        <v>197</v>
      </c>
      <c r="H247" s="15">
        <f t="shared" si="32"/>
        <v>3.3332641781285588E-2</v>
      </c>
      <c r="I247">
        <f t="shared" si="33"/>
        <v>111.0726947038638</v>
      </c>
      <c r="J247">
        <f t="shared" si="28"/>
        <v>457.09325873987638</v>
      </c>
      <c r="K247" s="30">
        <f t="shared" si="29"/>
        <v>6965.0866865580938</v>
      </c>
    </row>
    <row r="248" spans="1:11" x14ac:dyDescent="0.25">
      <c r="A248" s="29">
        <v>198</v>
      </c>
      <c r="B248" s="99">
        <f t="shared" si="30"/>
        <v>0</v>
      </c>
      <c r="C248" s="75">
        <f t="shared" si="26"/>
        <v>104.50616427295054</v>
      </c>
      <c r="D248" s="100">
        <f t="shared" si="31"/>
        <v>445.77777777777789</v>
      </c>
      <c r="E248">
        <f t="shared" si="27"/>
        <v>0</v>
      </c>
      <c r="G248">
        <v>198</v>
      </c>
      <c r="H248" s="15">
        <f t="shared" si="32"/>
        <v>3.3332641781285588E-2</v>
      </c>
      <c r="I248">
        <f t="shared" si="33"/>
        <v>111.10602734564509</v>
      </c>
      <c r="J248">
        <f t="shared" si="28"/>
        <v>457.14289353008439</v>
      </c>
      <c r="K248" s="30">
        <f t="shared" si="29"/>
        <v>6966.5983617342745</v>
      </c>
    </row>
    <row r="249" spans="1:11" x14ac:dyDescent="0.25">
      <c r="A249" s="29">
        <v>199</v>
      </c>
      <c r="B249" s="99">
        <f t="shared" si="30"/>
        <v>0</v>
      </c>
      <c r="C249" s="75">
        <f t="shared" si="26"/>
        <v>104.50616427295054</v>
      </c>
      <c r="D249" s="100">
        <f t="shared" si="31"/>
        <v>445.77777777777789</v>
      </c>
      <c r="E249">
        <f t="shared" si="27"/>
        <v>0</v>
      </c>
      <c r="G249">
        <v>199</v>
      </c>
      <c r="H249" s="15">
        <f t="shared" si="32"/>
        <v>3.3332641781285588E-2</v>
      </c>
      <c r="I249">
        <f t="shared" si="33"/>
        <v>111.13935998742637</v>
      </c>
      <c r="J249">
        <f t="shared" si="28"/>
        <v>457.19246447821286</v>
      </c>
      <c r="K249" s="30">
        <f t="shared" si="29"/>
        <v>6968.1082575790015</v>
      </c>
    </row>
    <row r="250" spans="1:11" x14ac:dyDescent="0.25">
      <c r="A250" s="29">
        <v>200</v>
      </c>
      <c r="B250" s="99">
        <f t="shared" si="30"/>
        <v>0</v>
      </c>
      <c r="C250" s="75">
        <f t="shared" si="26"/>
        <v>104.50616427295054</v>
      </c>
      <c r="D250" s="100">
        <f t="shared" si="31"/>
        <v>445.77777777777789</v>
      </c>
      <c r="E250">
        <f t="shared" si="27"/>
        <v>0</v>
      </c>
      <c r="G250">
        <v>200</v>
      </c>
      <c r="H250" s="15">
        <f t="shared" si="32"/>
        <v>3.3332641781285588E-2</v>
      </c>
      <c r="I250">
        <f t="shared" si="33"/>
        <v>111.17269262920766</v>
      </c>
      <c r="J250">
        <f t="shared" si="28"/>
        <v>457.24197175367306</v>
      </c>
      <c r="K250" s="30">
        <f t="shared" si="29"/>
        <v>6969.616378612468</v>
      </c>
    </row>
    <row r="251" spans="1:11" x14ac:dyDescent="0.25">
      <c r="A251" s="29">
        <v>201</v>
      </c>
      <c r="B251" s="99">
        <f t="shared" si="30"/>
        <v>0</v>
      </c>
      <c r="C251" s="75">
        <f t="shared" si="26"/>
        <v>104.50616427295054</v>
      </c>
      <c r="D251" s="100">
        <f t="shared" si="31"/>
        <v>445.77777777777789</v>
      </c>
      <c r="E251">
        <f t="shared" si="27"/>
        <v>0</v>
      </c>
      <c r="G251">
        <v>201</v>
      </c>
      <c r="H251" s="15">
        <f t="shared" si="32"/>
        <v>3.3332641781285588E-2</v>
      </c>
      <c r="I251">
        <f t="shared" si="33"/>
        <v>111.20602527098895</v>
      </c>
      <c r="J251">
        <f t="shared" si="28"/>
        <v>457.29141552506076</v>
      </c>
      <c r="K251" s="30">
        <f t="shared" si="29"/>
        <v>6971.1227293331258</v>
      </c>
    </row>
    <row r="252" spans="1:11" x14ac:dyDescent="0.25">
      <c r="A252" s="29">
        <v>202</v>
      </c>
      <c r="B252" s="99">
        <f t="shared" si="30"/>
        <v>0</v>
      </c>
      <c r="C252" s="75">
        <f t="shared" si="26"/>
        <v>104.50616427295054</v>
      </c>
      <c r="D252" s="100">
        <f t="shared" si="31"/>
        <v>445.77777777777789</v>
      </c>
      <c r="E252">
        <f t="shared" si="27"/>
        <v>0</v>
      </c>
      <c r="G252">
        <v>202</v>
      </c>
      <c r="H252" s="15">
        <f t="shared" si="32"/>
        <v>3.3332641781285588E-2</v>
      </c>
      <c r="I252">
        <f t="shared" si="33"/>
        <v>111.23935791277023</v>
      </c>
      <c r="J252">
        <f t="shared" si="28"/>
        <v>457.3407959601621</v>
      </c>
      <c r="K252" s="30">
        <f t="shared" si="29"/>
        <v>6972.6273142178443</v>
      </c>
    </row>
    <row r="253" spans="1:11" x14ac:dyDescent="0.25">
      <c r="A253" s="29">
        <v>203</v>
      </c>
      <c r="B253" s="99">
        <f t="shared" si="30"/>
        <v>0</v>
      </c>
      <c r="C253" s="75">
        <f t="shared" si="26"/>
        <v>104.50616427295054</v>
      </c>
      <c r="D253" s="100">
        <f t="shared" si="31"/>
        <v>445.77777777777789</v>
      </c>
      <c r="E253">
        <f t="shared" si="27"/>
        <v>0</v>
      </c>
      <c r="G253">
        <v>203</v>
      </c>
      <c r="H253" s="15">
        <f t="shared" si="32"/>
        <v>3.3332641781285588E-2</v>
      </c>
      <c r="I253">
        <f t="shared" si="33"/>
        <v>111.27269055455152</v>
      </c>
      <c r="J253">
        <f t="shared" si="28"/>
        <v>457.39011322595871</v>
      </c>
      <c r="K253" s="30">
        <f t="shared" si="29"/>
        <v>6974.1301377220525</v>
      </c>
    </row>
    <row r="254" spans="1:11" x14ac:dyDescent="0.25">
      <c r="A254" s="29">
        <v>204</v>
      </c>
      <c r="B254" s="99">
        <f t="shared" si="30"/>
        <v>0</v>
      </c>
      <c r="C254" s="75">
        <f t="shared" si="26"/>
        <v>104.50616427295054</v>
      </c>
      <c r="D254" s="100">
        <f t="shared" si="31"/>
        <v>445.77777777777789</v>
      </c>
      <c r="E254">
        <f t="shared" si="27"/>
        <v>0</v>
      </c>
      <c r="G254">
        <v>204</v>
      </c>
      <c r="H254" s="15">
        <f t="shared" si="32"/>
        <v>3.3332641781285588E-2</v>
      </c>
      <c r="I254">
        <f t="shared" si="33"/>
        <v>111.3060231963328</v>
      </c>
      <c r="J254">
        <f t="shared" si="28"/>
        <v>457.43936748863337</v>
      </c>
      <c r="K254" s="30">
        <f t="shared" si="29"/>
        <v>6975.6312042798781</v>
      </c>
    </row>
    <row r="255" spans="1:11" x14ac:dyDescent="0.25">
      <c r="A255" s="29">
        <v>205</v>
      </c>
      <c r="B255" s="99">
        <f t="shared" si="30"/>
        <v>0</v>
      </c>
      <c r="C255" s="75">
        <f t="shared" si="26"/>
        <v>104.50616427295054</v>
      </c>
      <c r="D255" s="100">
        <f t="shared" si="31"/>
        <v>445.77777777777789</v>
      </c>
      <c r="E255">
        <f t="shared" si="27"/>
        <v>0</v>
      </c>
      <c r="G255">
        <v>205</v>
      </c>
      <c r="H255" s="15">
        <f t="shared" si="32"/>
        <v>3.3332641781285588E-2</v>
      </c>
      <c r="I255">
        <f t="shared" si="33"/>
        <v>111.33935583811409</v>
      </c>
      <c r="J255">
        <f t="shared" si="28"/>
        <v>457.48855891357522</v>
      </c>
      <c r="K255" s="30">
        <f t="shared" si="29"/>
        <v>6977.1305183042978</v>
      </c>
    </row>
    <row r="256" spans="1:11" x14ac:dyDescent="0.25">
      <c r="A256" s="29">
        <v>206</v>
      </c>
      <c r="B256" s="99">
        <f t="shared" si="30"/>
        <v>0</v>
      </c>
      <c r="C256" s="75">
        <f t="shared" si="26"/>
        <v>104.50616427295054</v>
      </c>
      <c r="D256" s="100">
        <f t="shared" si="31"/>
        <v>445.77777777777789</v>
      </c>
      <c r="E256">
        <f t="shared" si="27"/>
        <v>0</v>
      </c>
      <c r="G256">
        <v>206</v>
      </c>
      <c r="H256" s="15">
        <f t="shared" si="32"/>
        <v>3.3332641781285588E-2</v>
      </c>
      <c r="I256">
        <f t="shared" si="33"/>
        <v>111.37268847989537</v>
      </c>
      <c r="J256">
        <f t="shared" si="28"/>
        <v>457.53768766538514</v>
      </c>
      <c r="K256" s="30">
        <f t="shared" si="29"/>
        <v>6978.6280841872767</v>
      </c>
    </row>
    <row r="257" spans="1:11" x14ac:dyDescent="0.25">
      <c r="A257" s="29">
        <v>207</v>
      </c>
      <c r="B257" s="99">
        <f t="shared" si="30"/>
        <v>0</v>
      </c>
      <c r="C257" s="75">
        <f t="shared" si="26"/>
        <v>104.50616427295054</v>
      </c>
      <c r="D257" s="100">
        <f t="shared" si="31"/>
        <v>445.77777777777789</v>
      </c>
      <c r="E257">
        <f t="shared" si="27"/>
        <v>0</v>
      </c>
      <c r="G257">
        <v>207</v>
      </c>
      <c r="H257" s="15">
        <f t="shared" si="32"/>
        <v>3.3332641781285588E-2</v>
      </c>
      <c r="I257">
        <f t="shared" si="33"/>
        <v>111.40602112167666</v>
      </c>
      <c r="J257">
        <f t="shared" si="28"/>
        <v>457.58675390788096</v>
      </c>
      <c r="K257" s="30">
        <f t="shared" si="29"/>
        <v>6980.1239062999011</v>
      </c>
    </row>
    <row r="258" spans="1:11" x14ac:dyDescent="0.25">
      <c r="A258" s="29">
        <v>208</v>
      </c>
      <c r="B258" s="99">
        <f t="shared" si="30"/>
        <v>0</v>
      </c>
      <c r="C258" s="75">
        <f t="shared" si="26"/>
        <v>104.50616427295054</v>
      </c>
      <c r="D258" s="100">
        <f t="shared" si="31"/>
        <v>445.77777777777789</v>
      </c>
      <c r="E258">
        <f t="shared" si="27"/>
        <v>0</v>
      </c>
      <c r="G258">
        <v>208</v>
      </c>
      <c r="H258" s="15">
        <f t="shared" si="32"/>
        <v>3.3332641781285588E-2</v>
      </c>
      <c r="I258">
        <f t="shared" si="33"/>
        <v>111.43935376345794</v>
      </c>
      <c r="J258">
        <f t="shared" si="28"/>
        <v>457.63575780410287</v>
      </c>
      <c r="K258" s="30">
        <f t="shared" si="29"/>
        <v>6981.6179889925334</v>
      </c>
    </row>
    <row r="259" spans="1:11" x14ac:dyDescent="0.25">
      <c r="A259" s="29">
        <v>209</v>
      </c>
      <c r="B259" s="99">
        <f t="shared" si="30"/>
        <v>0</v>
      </c>
      <c r="C259" s="75">
        <f t="shared" si="26"/>
        <v>104.50616427295054</v>
      </c>
      <c r="D259" s="100">
        <f t="shared" si="31"/>
        <v>445.77777777777789</v>
      </c>
      <c r="E259">
        <f t="shared" si="27"/>
        <v>0</v>
      </c>
      <c r="G259">
        <v>209</v>
      </c>
      <c r="H259" s="15">
        <f t="shared" si="32"/>
        <v>3.3332641781285588E-2</v>
      </c>
      <c r="I259">
        <f t="shared" si="33"/>
        <v>111.47268640523923</v>
      </c>
      <c r="J259">
        <f t="shared" si="28"/>
        <v>457.68469951631829</v>
      </c>
      <c r="K259" s="30">
        <f t="shared" si="29"/>
        <v>6983.1103365949311</v>
      </c>
    </row>
    <row r="260" spans="1:11" x14ac:dyDescent="0.25">
      <c r="A260" s="29">
        <v>210</v>
      </c>
      <c r="B260" s="99">
        <f t="shared" si="30"/>
        <v>0</v>
      </c>
      <c r="C260" s="75">
        <f t="shared" si="26"/>
        <v>104.50616427295054</v>
      </c>
      <c r="D260" s="100">
        <f t="shared" si="31"/>
        <v>445.77777777777789</v>
      </c>
      <c r="E260">
        <f t="shared" si="27"/>
        <v>0</v>
      </c>
      <c r="G260">
        <v>210</v>
      </c>
      <c r="H260" s="15">
        <f t="shared" si="32"/>
        <v>3.3332641781285588E-2</v>
      </c>
      <c r="I260">
        <f t="shared" si="33"/>
        <v>111.50601904702052</v>
      </c>
      <c r="J260">
        <f t="shared" si="28"/>
        <v>457.73357920602729</v>
      </c>
      <c r="K260" s="30">
        <f t="shared" si="29"/>
        <v>6984.6009534164014</v>
      </c>
    </row>
    <row r="261" spans="1:11" x14ac:dyDescent="0.25">
      <c r="A261" s="29">
        <v>211</v>
      </c>
      <c r="B261" s="99">
        <f t="shared" si="30"/>
        <v>0</v>
      </c>
      <c r="C261" s="75">
        <f t="shared" si="26"/>
        <v>104.50616427295054</v>
      </c>
      <c r="D261" s="100">
        <f t="shared" si="31"/>
        <v>445.77777777777789</v>
      </c>
      <c r="E261">
        <f t="shared" si="27"/>
        <v>0</v>
      </c>
      <c r="G261">
        <v>211</v>
      </c>
      <c r="H261" s="15">
        <f t="shared" si="32"/>
        <v>3.3332641781285588E-2</v>
      </c>
      <c r="I261">
        <f t="shared" si="33"/>
        <v>111.5393516888018</v>
      </c>
      <c r="J261">
        <f t="shared" si="28"/>
        <v>457.78239703396753</v>
      </c>
      <c r="K261" s="30">
        <f t="shared" si="29"/>
        <v>6986.0898437459227</v>
      </c>
    </row>
    <row r="262" spans="1:11" x14ac:dyDescent="0.25">
      <c r="A262" s="29">
        <v>212</v>
      </c>
      <c r="B262" s="99">
        <f t="shared" si="30"/>
        <v>0</v>
      </c>
      <c r="C262" s="75">
        <f t="shared" si="26"/>
        <v>104.50616427295054</v>
      </c>
      <c r="D262" s="100">
        <f t="shared" si="31"/>
        <v>445.77777777777789</v>
      </c>
      <c r="E262">
        <f t="shared" si="27"/>
        <v>0</v>
      </c>
      <c r="G262">
        <v>212</v>
      </c>
      <c r="H262" s="15">
        <f t="shared" si="32"/>
        <v>3.3332641781285588E-2</v>
      </c>
      <c r="I262">
        <f t="shared" si="33"/>
        <v>111.57268433058309</v>
      </c>
      <c r="J262">
        <f t="shared" si="28"/>
        <v>457.83115316011941</v>
      </c>
      <c r="K262" s="30">
        <f t="shared" si="29"/>
        <v>6987.5770118522914</v>
      </c>
    </row>
    <row r="263" spans="1:11" x14ac:dyDescent="0.25">
      <c r="A263" s="29">
        <v>213</v>
      </c>
      <c r="B263" s="99">
        <f t="shared" si="30"/>
        <v>0</v>
      </c>
      <c r="C263" s="75">
        <f t="shared" si="26"/>
        <v>104.50616427295054</v>
      </c>
      <c r="D263" s="100">
        <f t="shared" si="31"/>
        <v>445.77777777777789</v>
      </c>
      <c r="E263">
        <f t="shared" si="27"/>
        <v>0</v>
      </c>
      <c r="G263">
        <v>213</v>
      </c>
      <c r="H263" s="15">
        <f t="shared" si="32"/>
        <v>3.3332641781285588E-2</v>
      </c>
      <c r="I263">
        <f t="shared" si="33"/>
        <v>111.60601697236437</v>
      </c>
      <c r="J263">
        <f t="shared" si="28"/>
        <v>457.87984774371091</v>
      </c>
      <c r="K263" s="30">
        <f t="shared" si="29"/>
        <v>6989.0624619842392</v>
      </c>
    </row>
    <row r="264" spans="1:11" x14ac:dyDescent="0.25">
      <c r="A264" s="29">
        <v>214</v>
      </c>
      <c r="B264" s="99">
        <f t="shared" si="30"/>
        <v>0</v>
      </c>
      <c r="C264" s="75">
        <f t="shared" si="26"/>
        <v>104.50616427295054</v>
      </c>
      <c r="D264" s="100">
        <f t="shared" si="31"/>
        <v>445.77777777777789</v>
      </c>
      <c r="E264">
        <f t="shared" si="27"/>
        <v>0</v>
      </c>
      <c r="G264">
        <v>214</v>
      </c>
      <c r="H264" s="15">
        <f t="shared" si="32"/>
        <v>3.3332641781285588E-2</v>
      </c>
      <c r="I264">
        <f t="shared" si="33"/>
        <v>111.63934961414566</v>
      </c>
      <c r="J264">
        <f t="shared" si="28"/>
        <v>457.92848094322267</v>
      </c>
      <c r="K264" s="30">
        <f t="shared" si="29"/>
        <v>6990.5461983705827</v>
      </c>
    </row>
    <row r="265" spans="1:11" x14ac:dyDescent="0.25">
      <c r="A265" s="29">
        <v>215</v>
      </c>
      <c r="B265" s="99">
        <f t="shared" si="30"/>
        <v>0</v>
      </c>
      <c r="C265" s="75">
        <f t="shared" si="26"/>
        <v>104.50616427295054</v>
      </c>
      <c r="D265" s="100">
        <f t="shared" si="31"/>
        <v>445.77777777777789</v>
      </c>
      <c r="E265">
        <f t="shared" si="27"/>
        <v>0</v>
      </c>
      <c r="G265">
        <v>215</v>
      </c>
      <c r="H265" s="15">
        <f t="shared" si="32"/>
        <v>3.3332641781285588E-2</v>
      </c>
      <c r="I265">
        <f t="shared" si="33"/>
        <v>111.67268225592694</v>
      </c>
      <c r="J265">
        <f t="shared" si="28"/>
        <v>457.97705291639301</v>
      </c>
      <c r="K265" s="30">
        <f t="shared" si="29"/>
        <v>6992.0282252203433</v>
      </c>
    </row>
    <row r="266" spans="1:11" x14ac:dyDescent="0.25">
      <c r="A266" s="29">
        <v>216</v>
      </c>
      <c r="B266" s="99">
        <f t="shared" si="30"/>
        <v>0</v>
      </c>
      <c r="C266" s="75">
        <f t="shared" si="26"/>
        <v>104.50616427295054</v>
      </c>
      <c r="D266" s="100">
        <f t="shared" si="31"/>
        <v>445.77777777777789</v>
      </c>
      <c r="E266">
        <f t="shared" si="27"/>
        <v>0</v>
      </c>
      <c r="G266">
        <v>216</v>
      </c>
      <c r="H266" s="15">
        <f t="shared" si="32"/>
        <v>3.3332641781285588E-2</v>
      </c>
      <c r="I266">
        <f t="shared" si="33"/>
        <v>111.70601489770823</v>
      </c>
      <c r="J266">
        <f t="shared" si="28"/>
        <v>458.02556382022254</v>
      </c>
      <c r="K266" s="30">
        <f t="shared" si="29"/>
        <v>6993.5085467228819</v>
      </c>
    </row>
    <row r="267" spans="1:11" x14ac:dyDescent="0.25">
      <c r="A267" s="29">
        <v>217</v>
      </c>
      <c r="B267" s="99">
        <f t="shared" si="30"/>
        <v>0</v>
      </c>
      <c r="C267" s="75">
        <f t="shared" si="26"/>
        <v>104.50616427295054</v>
      </c>
      <c r="D267" s="100">
        <f t="shared" si="31"/>
        <v>445.77777777777789</v>
      </c>
      <c r="E267">
        <f t="shared" si="27"/>
        <v>0</v>
      </c>
      <c r="G267">
        <v>217</v>
      </c>
      <c r="H267" s="15">
        <f t="shared" si="32"/>
        <v>3.3332641781285588E-2</v>
      </c>
      <c r="I267">
        <f t="shared" si="33"/>
        <v>111.73934753948951</v>
      </c>
      <c r="J267">
        <f t="shared" si="28"/>
        <v>458.07401381097935</v>
      </c>
      <c r="K267" s="30">
        <f t="shared" si="29"/>
        <v>6994.9871670480234</v>
      </c>
    </row>
    <row r="268" spans="1:11" x14ac:dyDescent="0.25">
      <c r="A268" s="29">
        <v>218</v>
      </c>
      <c r="B268" s="99">
        <f t="shared" si="30"/>
        <v>0</v>
      </c>
      <c r="C268" s="75">
        <f t="shared" si="26"/>
        <v>104.50616427295054</v>
      </c>
      <c r="D268" s="100">
        <f t="shared" si="31"/>
        <v>445.77777777777789</v>
      </c>
      <c r="E268">
        <f t="shared" si="27"/>
        <v>0</v>
      </c>
      <c r="G268">
        <v>218</v>
      </c>
      <c r="H268" s="15">
        <f t="shared" si="32"/>
        <v>3.3332641781285588E-2</v>
      </c>
      <c r="I268">
        <f t="shared" si="33"/>
        <v>111.7726801812708</v>
      </c>
      <c r="J268">
        <f t="shared" si="28"/>
        <v>458.12240304420334</v>
      </c>
      <c r="K268" s="30">
        <f t="shared" si="29"/>
        <v>6996.4640903461914</v>
      </c>
    </row>
    <row r="269" spans="1:11" x14ac:dyDescent="0.25">
      <c r="A269" s="29">
        <v>219</v>
      </c>
      <c r="B269" s="99">
        <f t="shared" si="30"/>
        <v>0</v>
      </c>
      <c r="C269" s="75">
        <f t="shared" si="26"/>
        <v>104.50616427295054</v>
      </c>
      <c r="D269" s="100">
        <f t="shared" si="31"/>
        <v>445.77777777777789</v>
      </c>
      <c r="E269">
        <f t="shared" si="27"/>
        <v>0</v>
      </c>
      <c r="G269">
        <v>219</v>
      </c>
      <c r="H269" s="15">
        <f t="shared" si="32"/>
        <v>3.3332641781285588E-2</v>
      </c>
      <c r="I269">
        <f t="shared" si="33"/>
        <v>111.80601282305209</v>
      </c>
      <c r="J269">
        <f t="shared" si="28"/>
        <v>458.17073167471153</v>
      </c>
      <c r="K269" s="30">
        <f t="shared" si="29"/>
        <v>6997.9393207485273</v>
      </c>
    </row>
    <row r="270" spans="1:11" x14ac:dyDescent="0.25">
      <c r="A270" s="29">
        <v>220</v>
      </c>
      <c r="B270" s="99">
        <f t="shared" si="30"/>
        <v>0</v>
      </c>
      <c r="C270" s="75">
        <f t="shared" si="26"/>
        <v>104.50616427295054</v>
      </c>
      <c r="D270" s="100">
        <f t="shared" si="31"/>
        <v>445.77777777777789</v>
      </c>
      <c r="E270">
        <f t="shared" si="27"/>
        <v>0</v>
      </c>
      <c r="G270">
        <v>220</v>
      </c>
      <c r="H270" s="15">
        <f t="shared" si="32"/>
        <v>3.3332641781285588E-2</v>
      </c>
      <c r="I270">
        <f t="shared" si="33"/>
        <v>111.83934546483337</v>
      </c>
      <c r="J270">
        <f t="shared" si="28"/>
        <v>458.2189998566023</v>
      </c>
      <c r="K270" s="30">
        <f t="shared" si="29"/>
        <v>6999.4128623670222</v>
      </c>
    </row>
    <row r="271" spans="1:11" x14ac:dyDescent="0.25">
      <c r="A271" s="29">
        <v>221</v>
      </c>
      <c r="B271" s="99">
        <f t="shared" si="30"/>
        <v>0</v>
      </c>
      <c r="C271" s="75">
        <f t="shared" si="26"/>
        <v>104.50616427295054</v>
      </c>
      <c r="D271" s="100">
        <f t="shared" si="31"/>
        <v>445.77777777777789</v>
      </c>
      <c r="E271">
        <f t="shared" si="27"/>
        <v>0</v>
      </c>
      <c r="G271">
        <v>221</v>
      </c>
      <c r="H271" s="15">
        <f t="shared" si="32"/>
        <v>3.3332641781285588E-2</v>
      </c>
      <c r="I271">
        <f t="shared" si="33"/>
        <v>111.87267810661466</v>
      </c>
      <c r="J271">
        <f t="shared" si="28"/>
        <v>458.26720774326031</v>
      </c>
      <c r="K271" s="30">
        <f t="shared" si="29"/>
        <v>7000.8847192946341</v>
      </c>
    </row>
    <row r="272" spans="1:11" x14ac:dyDescent="0.25">
      <c r="A272" s="29">
        <v>222</v>
      </c>
      <c r="B272" s="99">
        <f t="shared" si="30"/>
        <v>0</v>
      </c>
      <c r="C272" s="75">
        <f t="shared" ref="C272:C335" si="34">($C$37-$C$36)/2000+C271</f>
        <v>104.50616427295054</v>
      </c>
      <c r="D272" s="100">
        <f t="shared" si="31"/>
        <v>445.77777777777789</v>
      </c>
      <c r="E272">
        <f t="shared" si="27"/>
        <v>0</v>
      </c>
      <c r="G272">
        <v>222</v>
      </c>
      <c r="H272" s="15">
        <f t="shared" si="32"/>
        <v>3.3332641781285588E-2</v>
      </c>
      <c r="I272">
        <f t="shared" si="33"/>
        <v>111.90601074839594</v>
      </c>
      <c r="J272">
        <f t="shared" si="28"/>
        <v>458.3153554873611</v>
      </c>
      <c r="K272" s="30">
        <f t="shared" si="29"/>
        <v>7002.3548956054219</v>
      </c>
    </row>
    <row r="273" spans="1:11" x14ac:dyDescent="0.25">
      <c r="A273" s="29">
        <v>223</v>
      </c>
      <c r="B273" s="99">
        <f t="shared" si="30"/>
        <v>0</v>
      </c>
      <c r="C273" s="75">
        <f t="shared" si="34"/>
        <v>104.50616427295054</v>
      </c>
      <c r="D273" s="100">
        <f t="shared" si="31"/>
        <v>445.77777777777789</v>
      </c>
      <c r="E273">
        <f t="shared" si="27"/>
        <v>0</v>
      </c>
      <c r="G273">
        <v>223</v>
      </c>
      <c r="H273" s="15">
        <f t="shared" si="32"/>
        <v>3.3332641781285588E-2</v>
      </c>
      <c r="I273">
        <f t="shared" si="33"/>
        <v>111.93934339017723</v>
      </c>
      <c r="J273">
        <f t="shared" si="28"/>
        <v>458.36344324087565</v>
      </c>
      <c r="K273" s="30">
        <f t="shared" si="29"/>
        <v>7003.8233953546551</v>
      </c>
    </row>
    <row r="274" spans="1:11" x14ac:dyDescent="0.25">
      <c r="A274" s="29">
        <v>224</v>
      </c>
      <c r="B274" s="99">
        <f t="shared" si="30"/>
        <v>0</v>
      </c>
      <c r="C274" s="75">
        <f t="shared" si="34"/>
        <v>104.50616427295054</v>
      </c>
      <c r="D274" s="100">
        <f t="shared" si="31"/>
        <v>445.77777777777789</v>
      </c>
      <c r="E274">
        <f t="shared" si="27"/>
        <v>0</v>
      </c>
      <c r="G274">
        <v>224</v>
      </c>
      <c r="H274" s="15">
        <f t="shared" si="32"/>
        <v>3.3332641781285588E-2</v>
      </c>
      <c r="I274">
        <f t="shared" si="33"/>
        <v>111.97267603195851</v>
      </c>
      <c r="J274">
        <f t="shared" si="28"/>
        <v>458.41147115507499</v>
      </c>
      <c r="K274" s="30">
        <f t="shared" si="29"/>
        <v>7005.2902225789476</v>
      </c>
    </row>
    <row r="275" spans="1:11" x14ac:dyDescent="0.25">
      <c r="A275" s="29">
        <v>225</v>
      </c>
      <c r="B275" s="99">
        <f t="shared" si="30"/>
        <v>0</v>
      </c>
      <c r="C275" s="75">
        <f t="shared" si="34"/>
        <v>104.50616427295054</v>
      </c>
      <c r="D275" s="100">
        <f t="shared" si="31"/>
        <v>445.77777777777789</v>
      </c>
      <c r="E275">
        <f t="shared" si="27"/>
        <v>0</v>
      </c>
      <c r="G275">
        <v>225</v>
      </c>
      <c r="H275" s="15">
        <f t="shared" si="32"/>
        <v>3.3332641781285588E-2</v>
      </c>
      <c r="I275">
        <f t="shared" si="33"/>
        <v>112.0060086737398</v>
      </c>
      <c r="J275">
        <f t="shared" si="28"/>
        <v>458.45943938053472</v>
      </c>
      <c r="K275" s="30">
        <f t="shared" si="29"/>
        <v>7006.7553812963706</v>
      </c>
    </row>
    <row r="276" spans="1:11" x14ac:dyDescent="0.25">
      <c r="A276" s="29">
        <v>226</v>
      </c>
      <c r="B276" s="99">
        <f t="shared" si="30"/>
        <v>0</v>
      </c>
      <c r="C276" s="75">
        <f t="shared" si="34"/>
        <v>104.50616427295054</v>
      </c>
      <c r="D276" s="100">
        <f t="shared" si="31"/>
        <v>445.77777777777789</v>
      </c>
      <c r="E276">
        <f t="shared" si="27"/>
        <v>0</v>
      </c>
      <c r="G276">
        <v>226</v>
      </c>
      <c r="H276" s="15">
        <f t="shared" si="32"/>
        <v>3.3332641781285588E-2</v>
      </c>
      <c r="I276">
        <f t="shared" si="33"/>
        <v>112.03934131552109</v>
      </c>
      <c r="J276">
        <f t="shared" si="28"/>
        <v>458.50734806713939</v>
      </c>
      <c r="K276" s="30">
        <f t="shared" si="29"/>
        <v>7008.2188755065754</v>
      </c>
    </row>
    <row r="277" spans="1:11" x14ac:dyDescent="0.25">
      <c r="A277" s="29">
        <v>227</v>
      </c>
      <c r="B277" s="99">
        <f t="shared" si="30"/>
        <v>0</v>
      </c>
      <c r="C277" s="75">
        <f t="shared" si="34"/>
        <v>104.50616427295054</v>
      </c>
      <c r="D277" s="100">
        <f t="shared" si="31"/>
        <v>445.77777777777789</v>
      </c>
      <c r="E277">
        <f t="shared" si="27"/>
        <v>0</v>
      </c>
      <c r="G277">
        <v>227</v>
      </c>
      <c r="H277" s="15">
        <f t="shared" si="32"/>
        <v>3.3332641781285588E-2</v>
      </c>
      <c r="I277">
        <f t="shared" si="33"/>
        <v>112.07267395730237</v>
      </c>
      <c r="J277">
        <f t="shared" si="28"/>
        <v>458.55519736408712</v>
      </c>
      <c r="K277" s="30">
        <f t="shared" si="29"/>
        <v>7009.6807091909059</v>
      </c>
    </row>
    <row r="278" spans="1:11" x14ac:dyDescent="0.25">
      <c r="A278" s="29">
        <v>228</v>
      </c>
      <c r="B278" s="99">
        <f t="shared" si="30"/>
        <v>0</v>
      </c>
      <c r="C278" s="75">
        <f t="shared" si="34"/>
        <v>104.50616427295054</v>
      </c>
      <c r="D278" s="100">
        <f t="shared" si="31"/>
        <v>445.77777777777789</v>
      </c>
      <c r="E278">
        <f t="shared" si="27"/>
        <v>0</v>
      </c>
      <c r="G278">
        <v>228</v>
      </c>
      <c r="H278" s="15">
        <f t="shared" si="32"/>
        <v>3.3332641781285588E-2</v>
      </c>
      <c r="I278">
        <f t="shared" si="33"/>
        <v>112.10600659908366</v>
      </c>
      <c r="J278">
        <f t="shared" si="28"/>
        <v>458.60298741989379</v>
      </c>
      <c r="K278" s="30">
        <f t="shared" si="29"/>
        <v>7011.1408863125253</v>
      </c>
    </row>
    <row r="279" spans="1:11" x14ac:dyDescent="0.25">
      <c r="A279" s="29">
        <v>229</v>
      </c>
      <c r="B279" s="99">
        <f t="shared" si="30"/>
        <v>0</v>
      </c>
      <c r="C279" s="75">
        <f t="shared" si="34"/>
        <v>104.50616427295054</v>
      </c>
      <c r="D279" s="100">
        <f t="shared" si="31"/>
        <v>445.77777777777789</v>
      </c>
      <c r="E279">
        <f t="shared" si="27"/>
        <v>0</v>
      </c>
      <c r="G279">
        <v>229</v>
      </c>
      <c r="H279" s="15">
        <f t="shared" si="32"/>
        <v>3.3332641781285588E-2</v>
      </c>
      <c r="I279">
        <f t="shared" si="33"/>
        <v>112.13933924086494</v>
      </c>
      <c r="J279">
        <f t="shared" si="28"/>
        <v>458.65071838239771</v>
      </c>
      <c r="K279" s="30">
        <f t="shared" si="29"/>
        <v>7012.5994108165278</v>
      </c>
    </row>
    <row r="280" spans="1:11" x14ac:dyDescent="0.25">
      <c r="A280" s="29">
        <v>230</v>
      </c>
      <c r="B280" s="99">
        <f t="shared" si="30"/>
        <v>0</v>
      </c>
      <c r="C280" s="75">
        <f t="shared" si="34"/>
        <v>104.50616427295054</v>
      </c>
      <c r="D280" s="100">
        <f t="shared" si="31"/>
        <v>445.77777777777789</v>
      </c>
      <c r="E280">
        <f t="shared" si="27"/>
        <v>0</v>
      </c>
      <c r="G280">
        <v>230</v>
      </c>
      <c r="H280" s="15">
        <f t="shared" si="32"/>
        <v>3.3332641781285588E-2</v>
      </c>
      <c r="I280">
        <f t="shared" si="33"/>
        <v>112.17267188264623</v>
      </c>
      <c r="J280">
        <f t="shared" si="28"/>
        <v>458.69839039876371</v>
      </c>
      <c r="K280" s="30">
        <f t="shared" si="29"/>
        <v>7014.0562866300506</v>
      </c>
    </row>
    <row r="281" spans="1:11" x14ac:dyDescent="0.25">
      <c r="A281" s="29">
        <v>231</v>
      </c>
      <c r="B281" s="99">
        <f t="shared" si="30"/>
        <v>0</v>
      </c>
      <c r="C281" s="75">
        <f t="shared" si="34"/>
        <v>104.50616427295054</v>
      </c>
      <c r="D281" s="100">
        <f t="shared" si="31"/>
        <v>445.77777777777789</v>
      </c>
      <c r="E281">
        <f t="shared" si="27"/>
        <v>0</v>
      </c>
      <c r="G281">
        <v>231</v>
      </c>
      <c r="H281" s="15">
        <f t="shared" si="32"/>
        <v>3.3332641781285588E-2</v>
      </c>
      <c r="I281">
        <f t="shared" si="33"/>
        <v>112.20600452442751</v>
      </c>
      <c r="J281">
        <f t="shared" si="28"/>
        <v>458.74600361548744</v>
      </c>
      <c r="K281" s="30">
        <f t="shared" si="29"/>
        <v>7015.5115176623985</v>
      </c>
    </row>
    <row r="282" spans="1:11" x14ac:dyDescent="0.25">
      <c r="A282" s="29">
        <v>232</v>
      </c>
      <c r="B282" s="99">
        <f t="shared" si="30"/>
        <v>0</v>
      </c>
      <c r="C282" s="75">
        <f t="shared" si="34"/>
        <v>104.50616427295054</v>
      </c>
      <c r="D282" s="100">
        <f t="shared" si="31"/>
        <v>445.77777777777789</v>
      </c>
      <c r="E282">
        <f t="shared" si="27"/>
        <v>0</v>
      </c>
      <c r="G282">
        <v>232</v>
      </c>
      <c r="H282" s="15">
        <f t="shared" si="32"/>
        <v>3.3332641781285588E-2</v>
      </c>
      <c r="I282">
        <f t="shared" si="33"/>
        <v>112.2393371662088</v>
      </c>
      <c r="J282">
        <f t="shared" si="28"/>
        <v>458.79355817839991</v>
      </c>
      <c r="K282" s="30">
        <f t="shared" si="29"/>
        <v>7016.9651078051456</v>
      </c>
    </row>
    <row r="283" spans="1:11" x14ac:dyDescent="0.25">
      <c r="A283" s="29">
        <v>233</v>
      </c>
      <c r="B283" s="99">
        <f t="shared" si="30"/>
        <v>0</v>
      </c>
      <c r="C283" s="75">
        <f t="shared" si="34"/>
        <v>104.50616427295054</v>
      </c>
      <c r="D283" s="100">
        <f t="shared" si="31"/>
        <v>445.77777777777789</v>
      </c>
      <c r="E283">
        <f t="shared" si="27"/>
        <v>0</v>
      </c>
      <c r="G283">
        <v>233</v>
      </c>
      <c r="H283" s="15">
        <f t="shared" si="32"/>
        <v>3.3332641781285588E-2</v>
      </c>
      <c r="I283">
        <f t="shared" si="33"/>
        <v>112.27266980799008</v>
      </c>
      <c r="J283">
        <f t="shared" si="28"/>
        <v>458.8410542326713</v>
      </c>
      <c r="K283" s="30">
        <f t="shared" si="29"/>
        <v>7018.4170609322537</v>
      </c>
    </row>
    <row r="284" spans="1:11" x14ac:dyDescent="0.25">
      <c r="A284" s="29">
        <v>234</v>
      </c>
      <c r="B284" s="99">
        <f t="shared" si="30"/>
        <v>0</v>
      </c>
      <c r="C284" s="75">
        <f t="shared" si="34"/>
        <v>104.50616427295054</v>
      </c>
      <c r="D284" s="100">
        <f t="shared" si="31"/>
        <v>445.77777777777789</v>
      </c>
      <c r="E284">
        <f t="shared" si="27"/>
        <v>0</v>
      </c>
      <c r="G284">
        <v>234</v>
      </c>
      <c r="H284" s="15">
        <f t="shared" si="32"/>
        <v>3.3332641781285588E-2</v>
      </c>
      <c r="I284">
        <f t="shared" si="33"/>
        <v>112.30600244977137</v>
      </c>
      <c r="J284">
        <f t="shared" si="28"/>
        <v>458.88849192281555</v>
      </c>
      <c r="K284" s="30">
        <f t="shared" si="29"/>
        <v>7019.8673809001857</v>
      </c>
    </row>
    <row r="285" spans="1:11" x14ac:dyDescent="0.25">
      <c r="A285" s="29">
        <v>235</v>
      </c>
      <c r="B285" s="99">
        <f t="shared" si="30"/>
        <v>0</v>
      </c>
      <c r="C285" s="75">
        <f t="shared" si="34"/>
        <v>104.50616427295054</v>
      </c>
      <c r="D285" s="100">
        <f t="shared" si="31"/>
        <v>445.77777777777789</v>
      </c>
      <c r="E285">
        <f t="shared" si="27"/>
        <v>0</v>
      </c>
      <c r="G285">
        <v>235</v>
      </c>
      <c r="H285" s="15">
        <f t="shared" si="32"/>
        <v>3.3332641781285588E-2</v>
      </c>
      <c r="I285">
        <f t="shared" si="33"/>
        <v>112.33933509155266</v>
      </c>
      <c r="J285">
        <f t="shared" si="28"/>
        <v>458.93587139269437</v>
      </c>
      <c r="K285" s="30">
        <f t="shared" si="29"/>
        <v>7021.3160715480199</v>
      </c>
    </row>
    <row r="286" spans="1:11" x14ac:dyDescent="0.25">
      <c r="A286" s="29">
        <v>236</v>
      </c>
      <c r="B286" s="99">
        <f t="shared" si="30"/>
        <v>0</v>
      </c>
      <c r="C286" s="75">
        <f t="shared" si="34"/>
        <v>104.50616427295054</v>
      </c>
      <c r="D286" s="100">
        <f t="shared" si="31"/>
        <v>445.77777777777789</v>
      </c>
      <c r="E286">
        <f t="shared" si="27"/>
        <v>0</v>
      </c>
      <c r="G286">
        <v>236</v>
      </c>
      <c r="H286" s="15">
        <f t="shared" si="32"/>
        <v>3.3332641781285588E-2</v>
      </c>
      <c r="I286">
        <f t="shared" si="33"/>
        <v>112.37266773333394</v>
      </c>
      <c r="J286">
        <f t="shared" si="28"/>
        <v>458.98319278552128</v>
      </c>
      <c r="K286" s="30">
        <f t="shared" si="29"/>
        <v>7022.7631366975447</v>
      </c>
    </row>
    <row r="287" spans="1:11" x14ac:dyDescent="0.25">
      <c r="A287" s="29">
        <v>237</v>
      </c>
      <c r="B287" s="99">
        <f t="shared" si="30"/>
        <v>0</v>
      </c>
      <c r="C287" s="75">
        <f t="shared" si="34"/>
        <v>104.50616427295054</v>
      </c>
      <c r="D287" s="100">
        <f t="shared" si="31"/>
        <v>445.77777777777789</v>
      </c>
      <c r="E287">
        <f t="shared" si="27"/>
        <v>0</v>
      </c>
      <c r="G287">
        <v>237</v>
      </c>
      <c r="H287" s="15">
        <f t="shared" si="32"/>
        <v>3.3332641781285588E-2</v>
      </c>
      <c r="I287">
        <f t="shared" si="33"/>
        <v>112.40600037511523</v>
      </c>
      <c r="J287">
        <f t="shared" si="28"/>
        <v>459.03045624386579</v>
      </c>
      <c r="K287" s="30">
        <f t="shared" si="29"/>
        <v>7024.2085801533858</v>
      </c>
    </row>
    <row r="288" spans="1:11" x14ac:dyDescent="0.25">
      <c r="A288" s="29">
        <v>238</v>
      </c>
      <c r="B288" s="99">
        <f t="shared" si="30"/>
        <v>0</v>
      </c>
      <c r="C288" s="75">
        <f t="shared" si="34"/>
        <v>104.50616427295054</v>
      </c>
      <c r="D288" s="100">
        <f t="shared" si="31"/>
        <v>445.77777777777789</v>
      </c>
      <c r="E288">
        <f t="shared" si="27"/>
        <v>0</v>
      </c>
      <c r="G288">
        <v>238</v>
      </c>
      <c r="H288" s="15">
        <f t="shared" si="32"/>
        <v>3.3332641781285588E-2</v>
      </c>
      <c r="I288">
        <f t="shared" si="33"/>
        <v>112.43933301689651</v>
      </c>
      <c r="J288">
        <f t="shared" si="28"/>
        <v>459.07766190965748</v>
      </c>
      <c r="K288" s="30">
        <f t="shared" si="29"/>
        <v>7025.6524057031029</v>
      </c>
    </row>
    <row r="289" spans="1:11" x14ac:dyDescent="0.25">
      <c r="A289" s="29">
        <v>239</v>
      </c>
      <c r="B289" s="99">
        <f t="shared" si="30"/>
        <v>0</v>
      </c>
      <c r="C289" s="75">
        <f t="shared" si="34"/>
        <v>104.50616427295054</v>
      </c>
      <c r="D289" s="100">
        <f t="shared" si="31"/>
        <v>445.77777777777789</v>
      </c>
      <c r="E289">
        <f t="shared" si="27"/>
        <v>0</v>
      </c>
      <c r="G289">
        <v>239</v>
      </c>
      <c r="H289" s="15">
        <f t="shared" si="32"/>
        <v>3.3332641781285588E-2</v>
      </c>
      <c r="I289">
        <f t="shared" si="33"/>
        <v>112.4726656586778</v>
      </c>
      <c r="J289">
        <f t="shared" si="28"/>
        <v>459.12480992419</v>
      </c>
      <c r="K289" s="30">
        <f t="shared" si="29"/>
        <v>7027.0946171173009</v>
      </c>
    </row>
    <row r="290" spans="1:11" x14ac:dyDescent="0.25">
      <c r="A290" s="29">
        <v>240</v>
      </c>
      <c r="B290" s="99">
        <f t="shared" si="30"/>
        <v>0</v>
      </c>
      <c r="C290" s="75">
        <f t="shared" si="34"/>
        <v>104.50616427295054</v>
      </c>
      <c r="D290" s="100">
        <f t="shared" si="31"/>
        <v>445.77777777777789</v>
      </c>
      <c r="E290">
        <f t="shared" si="27"/>
        <v>0</v>
      </c>
      <c r="G290">
        <v>240</v>
      </c>
      <c r="H290" s="15">
        <f t="shared" si="32"/>
        <v>3.3332641781285588E-2</v>
      </c>
      <c r="I290">
        <f t="shared" si="33"/>
        <v>112.50599830045908</v>
      </c>
      <c r="J290">
        <f t="shared" si="28"/>
        <v>459.17190042812507</v>
      </c>
      <c r="K290" s="30">
        <f t="shared" si="29"/>
        <v>7028.5352181497365</v>
      </c>
    </row>
    <row r="291" spans="1:11" x14ac:dyDescent="0.25">
      <c r="A291" s="29">
        <v>241</v>
      </c>
      <c r="B291" s="99">
        <f t="shared" si="30"/>
        <v>0</v>
      </c>
      <c r="C291" s="75">
        <f t="shared" si="34"/>
        <v>104.50616427295054</v>
      </c>
      <c r="D291" s="100">
        <f t="shared" si="31"/>
        <v>445.77777777777789</v>
      </c>
      <c r="E291">
        <f t="shared" si="27"/>
        <v>0</v>
      </c>
      <c r="G291">
        <v>241</v>
      </c>
      <c r="H291" s="15">
        <f t="shared" si="32"/>
        <v>3.3332641781285588E-2</v>
      </c>
      <c r="I291">
        <f t="shared" si="33"/>
        <v>112.53933094224037</v>
      </c>
      <c r="J291">
        <f t="shared" si="28"/>
        <v>459.21893356149644</v>
      </c>
      <c r="K291" s="30">
        <f t="shared" si="29"/>
        <v>7029.974212537425</v>
      </c>
    </row>
    <row r="292" spans="1:11" x14ac:dyDescent="0.25">
      <c r="A292" s="29">
        <v>242</v>
      </c>
      <c r="B292" s="99">
        <f t="shared" si="30"/>
        <v>0</v>
      </c>
      <c r="C292" s="75">
        <f t="shared" si="34"/>
        <v>104.50616427295054</v>
      </c>
      <c r="D292" s="100">
        <f t="shared" si="31"/>
        <v>445.77777777777789</v>
      </c>
      <c r="E292">
        <f t="shared" si="27"/>
        <v>0</v>
      </c>
      <c r="G292">
        <v>242</v>
      </c>
      <c r="H292" s="15">
        <f t="shared" si="32"/>
        <v>3.3332641781285588E-2</v>
      </c>
      <c r="I292">
        <f t="shared" si="33"/>
        <v>112.57266358402165</v>
      </c>
      <c r="J292">
        <f t="shared" si="28"/>
        <v>459.26590946371385</v>
      </c>
      <c r="K292" s="30">
        <f t="shared" si="29"/>
        <v>7031.411604000742</v>
      </c>
    </row>
    <row r="293" spans="1:11" x14ac:dyDescent="0.25">
      <c r="A293" s="29">
        <v>243</v>
      </c>
      <c r="B293" s="99">
        <f t="shared" si="30"/>
        <v>0</v>
      </c>
      <c r="C293" s="75">
        <f t="shared" si="34"/>
        <v>104.50616427295054</v>
      </c>
      <c r="D293" s="100">
        <f t="shared" si="31"/>
        <v>445.77777777777789</v>
      </c>
      <c r="E293">
        <f t="shared" si="27"/>
        <v>0</v>
      </c>
      <c r="G293">
        <v>243</v>
      </c>
      <c r="H293" s="15">
        <f t="shared" si="32"/>
        <v>3.3332641781285588E-2</v>
      </c>
      <c r="I293">
        <f t="shared" si="33"/>
        <v>112.60599622580294</v>
      </c>
      <c r="J293">
        <f t="shared" si="28"/>
        <v>459.31282827356688</v>
      </c>
      <c r="K293" s="30">
        <f t="shared" si="29"/>
        <v>7032.8473962435273</v>
      </c>
    </row>
    <row r="294" spans="1:11" x14ac:dyDescent="0.25">
      <c r="A294" s="29">
        <v>244</v>
      </c>
      <c r="B294" s="99">
        <f t="shared" si="30"/>
        <v>0</v>
      </c>
      <c r="C294" s="75">
        <f t="shared" si="34"/>
        <v>104.50616427295054</v>
      </c>
      <c r="D294" s="100">
        <f t="shared" si="31"/>
        <v>445.77777777777789</v>
      </c>
      <c r="E294">
        <f t="shared" si="27"/>
        <v>0</v>
      </c>
      <c r="G294">
        <v>244</v>
      </c>
      <c r="H294" s="15">
        <f t="shared" si="32"/>
        <v>3.3332641781285588E-2</v>
      </c>
      <c r="I294">
        <f t="shared" si="33"/>
        <v>112.63932886758423</v>
      </c>
      <c r="J294">
        <f t="shared" si="28"/>
        <v>459.3596901292288</v>
      </c>
      <c r="K294" s="30">
        <f t="shared" si="29"/>
        <v>7034.2815929531898</v>
      </c>
    </row>
    <row r="295" spans="1:11" x14ac:dyDescent="0.25">
      <c r="A295" s="29">
        <v>245</v>
      </c>
      <c r="B295" s="99">
        <f t="shared" si="30"/>
        <v>0</v>
      </c>
      <c r="C295" s="75">
        <f t="shared" si="34"/>
        <v>104.50616427295054</v>
      </c>
      <c r="D295" s="100">
        <f t="shared" si="31"/>
        <v>445.77777777777789</v>
      </c>
      <c r="E295">
        <f t="shared" si="27"/>
        <v>0</v>
      </c>
      <c r="G295">
        <v>245</v>
      </c>
      <c r="H295" s="15">
        <f t="shared" si="32"/>
        <v>3.3332641781285588E-2</v>
      </c>
      <c r="I295">
        <f t="shared" si="33"/>
        <v>112.67266150936551</v>
      </c>
      <c r="J295">
        <f t="shared" si="28"/>
        <v>459.40649516826056</v>
      </c>
      <c r="K295" s="30">
        <f t="shared" si="29"/>
        <v>7035.7141978008121</v>
      </c>
    </row>
    <row r="296" spans="1:11" x14ac:dyDescent="0.25">
      <c r="A296" s="29">
        <v>246</v>
      </c>
      <c r="B296" s="99">
        <f t="shared" si="30"/>
        <v>0</v>
      </c>
      <c r="C296" s="75">
        <f t="shared" si="34"/>
        <v>104.50616427295054</v>
      </c>
      <c r="D296" s="100">
        <f t="shared" si="31"/>
        <v>445.77777777777789</v>
      </c>
      <c r="E296">
        <f t="shared" si="27"/>
        <v>0</v>
      </c>
      <c r="G296">
        <v>246</v>
      </c>
      <c r="H296" s="15">
        <f t="shared" si="32"/>
        <v>3.3332641781285588E-2</v>
      </c>
      <c r="I296">
        <f t="shared" si="33"/>
        <v>112.7059941511468</v>
      </c>
      <c r="J296">
        <f t="shared" si="28"/>
        <v>459.4532435276144</v>
      </c>
      <c r="K296" s="30">
        <f t="shared" si="29"/>
        <v>7037.1452144412442</v>
      </c>
    </row>
    <row r="297" spans="1:11" x14ac:dyDescent="0.25">
      <c r="A297" s="29">
        <v>247</v>
      </c>
      <c r="B297" s="99">
        <f t="shared" si="30"/>
        <v>0</v>
      </c>
      <c r="C297" s="75">
        <f t="shared" si="34"/>
        <v>104.50616427295054</v>
      </c>
      <c r="D297" s="100">
        <f t="shared" si="31"/>
        <v>445.77777777777789</v>
      </c>
      <c r="E297">
        <f t="shared" si="27"/>
        <v>0</v>
      </c>
      <c r="G297">
        <v>247</v>
      </c>
      <c r="H297" s="15">
        <f t="shared" si="32"/>
        <v>3.3332641781285588E-2</v>
      </c>
      <c r="I297">
        <f t="shared" si="33"/>
        <v>112.73932679292808</v>
      </c>
      <c r="J297">
        <f t="shared" si="28"/>
        <v>459.49993534363773</v>
      </c>
      <c r="K297" s="30">
        <f t="shared" si="29"/>
        <v>7038.5746465132142</v>
      </c>
    </row>
    <row r="298" spans="1:11" x14ac:dyDescent="0.25">
      <c r="A298" s="29">
        <v>248</v>
      </c>
      <c r="B298" s="99">
        <f t="shared" si="30"/>
        <v>0</v>
      </c>
      <c r="C298" s="75">
        <f t="shared" si="34"/>
        <v>104.50616427295054</v>
      </c>
      <c r="D298" s="100">
        <f t="shared" si="31"/>
        <v>445.77777777777789</v>
      </c>
      <c r="E298">
        <f t="shared" si="27"/>
        <v>0</v>
      </c>
      <c r="G298">
        <v>248</v>
      </c>
      <c r="H298" s="15">
        <f t="shared" si="32"/>
        <v>3.3332641781285588E-2</v>
      </c>
      <c r="I298">
        <f t="shared" si="33"/>
        <v>112.77265943470937</v>
      </c>
      <c r="J298">
        <f t="shared" si="28"/>
        <v>459.54657075207695</v>
      </c>
      <c r="K298" s="30">
        <f t="shared" si="29"/>
        <v>7040.0024976394188</v>
      </c>
    </row>
    <row r="299" spans="1:11" x14ac:dyDescent="0.25">
      <c r="A299" s="29">
        <v>249</v>
      </c>
      <c r="B299" s="99">
        <f t="shared" si="30"/>
        <v>0</v>
      </c>
      <c r="C299" s="75">
        <f t="shared" si="34"/>
        <v>104.50616427295054</v>
      </c>
      <c r="D299" s="100">
        <f t="shared" si="31"/>
        <v>445.77777777777789</v>
      </c>
      <c r="E299">
        <f t="shared" si="27"/>
        <v>0</v>
      </c>
      <c r="G299">
        <v>249</v>
      </c>
      <c r="H299" s="15">
        <f t="shared" si="32"/>
        <v>3.3332641781285588E-2</v>
      </c>
      <c r="I299">
        <f t="shared" si="33"/>
        <v>112.80599207649065</v>
      </c>
      <c r="J299">
        <f t="shared" si="28"/>
        <v>459.59314988808092</v>
      </c>
      <c r="K299" s="30">
        <f t="shared" si="29"/>
        <v>7041.4287714266256</v>
      </c>
    </row>
    <row r="300" spans="1:11" x14ac:dyDescent="0.25">
      <c r="A300" s="29">
        <v>250</v>
      </c>
      <c r="B300" s="99">
        <f t="shared" si="30"/>
        <v>0</v>
      </c>
      <c r="C300" s="75">
        <f t="shared" si="34"/>
        <v>104.50616427295054</v>
      </c>
      <c r="D300" s="100">
        <f t="shared" si="31"/>
        <v>445.77777777777789</v>
      </c>
      <c r="E300">
        <f t="shared" si="27"/>
        <v>0</v>
      </c>
      <c r="G300">
        <v>250</v>
      </c>
      <c r="H300" s="15">
        <f t="shared" si="32"/>
        <v>3.3332641781285588E-2</v>
      </c>
      <c r="I300">
        <f t="shared" si="33"/>
        <v>112.83932471827194</v>
      </c>
      <c r="J300">
        <f t="shared" si="28"/>
        <v>459.63967288620483</v>
      </c>
      <c r="K300" s="30">
        <f t="shared" si="29"/>
        <v>7042.853471465779</v>
      </c>
    </row>
    <row r="301" spans="1:11" x14ac:dyDescent="0.25">
      <c r="A301" s="29">
        <v>251</v>
      </c>
      <c r="B301" s="99">
        <f t="shared" si="30"/>
        <v>0</v>
      </c>
      <c r="C301" s="75">
        <f t="shared" si="34"/>
        <v>104.50616427295054</v>
      </c>
      <c r="D301" s="100">
        <f t="shared" si="31"/>
        <v>445.77777777777789</v>
      </c>
      <c r="E301">
        <f t="shared" si="27"/>
        <v>0</v>
      </c>
      <c r="G301">
        <v>251</v>
      </c>
      <c r="H301" s="15">
        <f t="shared" si="32"/>
        <v>3.3332641781285588E-2</v>
      </c>
      <c r="I301">
        <f t="shared" si="33"/>
        <v>112.87265736005322</v>
      </c>
      <c r="J301">
        <f t="shared" si="28"/>
        <v>459.68613988041403</v>
      </c>
      <c r="K301" s="30">
        <f t="shared" si="29"/>
        <v>7044.2766013320806</v>
      </c>
    </row>
    <row r="302" spans="1:11" x14ac:dyDescent="0.25">
      <c r="A302" s="29">
        <v>252</v>
      </c>
      <c r="B302" s="99">
        <f t="shared" si="30"/>
        <v>0</v>
      </c>
      <c r="C302" s="75">
        <f t="shared" si="34"/>
        <v>104.50616427295054</v>
      </c>
      <c r="D302" s="100">
        <f t="shared" si="31"/>
        <v>445.77777777777789</v>
      </c>
      <c r="E302">
        <f t="shared" si="27"/>
        <v>0</v>
      </c>
      <c r="G302">
        <v>252</v>
      </c>
      <c r="H302" s="15">
        <f t="shared" si="32"/>
        <v>3.3332641781285588E-2</v>
      </c>
      <c r="I302">
        <f t="shared" si="33"/>
        <v>112.90599000183451</v>
      </c>
      <c r="J302">
        <f t="shared" si="28"/>
        <v>459.73255100408721</v>
      </c>
      <c r="K302" s="30">
        <f t="shared" si="29"/>
        <v>7045.6981645851047</v>
      </c>
    </row>
    <row r="303" spans="1:11" x14ac:dyDescent="0.25">
      <c r="A303" s="29">
        <v>253</v>
      </c>
      <c r="B303" s="99">
        <f t="shared" si="30"/>
        <v>0</v>
      </c>
      <c r="C303" s="75">
        <f t="shared" si="34"/>
        <v>104.50616427295054</v>
      </c>
      <c r="D303" s="100">
        <f t="shared" si="31"/>
        <v>445.77777777777789</v>
      </c>
      <c r="E303">
        <f t="shared" si="27"/>
        <v>0</v>
      </c>
      <c r="G303">
        <v>253</v>
      </c>
      <c r="H303" s="15">
        <f t="shared" si="32"/>
        <v>3.3332641781285588E-2</v>
      </c>
      <c r="I303">
        <f t="shared" si="33"/>
        <v>112.9393226436158</v>
      </c>
      <c r="J303">
        <f t="shared" si="28"/>
        <v>459.77890639002032</v>
      </c>
      <c r="K303" s="30">
        <f t="shared" si="29"/>
        <v>7047.1181647688782</v>
      </c>
    </row>
    <row r="304" spans="1:11" x14ac:dyDescent="0.25">
      <c r="A304" s="29">
        <v>254</v>
      </c>
      <c r="B304" s="99">
        <f t="shared" si="30"/>
        <v>0</v>
      </c>
      <c r="C304" s="75">
        <f t="shared" si="34"/>
        <v>104.50616427295054</v>
      </c>
      <c r="D304" s="100">
        <f t="shared" si="31"/>
        <v>445.77777777777789</v>
      </c>
      <c r="E304">
        <f t="shared" si="27"/>
        <v>0</v>
      </c>
      <c r="G304">
        <v>254</v>
      </c>
      <c r="H304" s="15">
        <f t="shared" si="32"/>
        <v>3.3332641781285588E-2</v>
      </c>
      <c r="I304">
        <f t="shared" si="33"/>
        <v>112.97265528539708</v>
      </c>
      <c r="J304">
        <f t="shared" si="28"/>
        <v>459.82520617043019</v>
      </c>
      <c r="K304" s="30">
        <f t="shared" si="29"/>
        <v>7048.5366054119877</v>
      </c>
    </row>
    <row r="305" spans="1:11" x14ac:dyDescent="0.25">
      <c r="A305" s="29">
        <v>255</v>
      </c>
      <c r="B305" s="99">
        <f t="shared" si="30"/>
        <v>0</v>
      </c>
      <c r="C305" s="75">
        <f t="shared" si="34"/>
        <v>104.50616427295054</v>
      </c>
      <c r="D305" s="100">
        <f t="shared" si="31"/>
        <v>445.77777777777789</v>
      </c>
      <c r="E305">
        <f t="shared" si="27"/>
        <v>0</v>
      </c>
      <c r="G305">
        <v>255</v>
      </c>
      <c r="H305" s="15">
        <f t="shared" si="32"/>
        <v>3.3332641781285588E-2</v>
      </c>
      <c r="I305">
        <f t="shared" si="33"/>
        <v>113.00598792717837</v>
      </c>
      <c r="J305">
        <f t="shared" si="28"/>
        <v>459.87145047695776</v>
      </c>
      <c r="K305" s="30">
        <f t="shared" si="29"/>
        <v>7049.9534900276676</v>
      </c>
    </row>
    <row r="306" spans="1:11" x14ac:dyDescent="0.25">
      <c r="A306" s="29">
        <v>256</v>
      </c>
      <c r="B306" s="99">
        <f t="shared" si="30"/>
        <v>0</v>
      </c>
      <c r="C306" s="75">
        <f t="shared" si="34"/>
        <v>104.50616427295054</v>
      </c>
      <c r="D306" s="100">
        <f t="shared" si="31"/>
        <v>445.77777777777789</v>
      </c>
      <c r="E306">
        <f t="shared" si="27"/>
        <v>0</v>
      </c>
      <c r="G306">
        <v>256</v>
      </c>
      <c r="H306" s="15">
        <f t="shared" si="32"/>
        <v>3.3332641781285588E-2</v>
      </c>
      <c r="I306">
        <f t="shared" si="33"/>
        <v>113.03932056895965</v>
      </c>
      <c r="J306">
        <f t="shared" si="28"/>
        <v>459.91763944067196</v>
      </c>
      <c r="K306" s="30">
        <f t="shared" si="29"/>
        <v>7051.3688221138982</v>
      </c>
    </row>
    <row r="307" spans="1:11" x14ac:dyDescent="0.25">
      <c r="A307" s="29">
        <v>257</v>
      </c>
      <c r="B307" s="99">
        <f t="shared" si="30"/>
        <v>0</v>
      </c>
      <c r="C307" s="75">
        <f t="shared" si="34"/>
        <v>104.50616427295054</v>
      </c>
      <c r="D307" s="100">
        <f t="shared" si="31"/>
        <v>445.77777777777789</v>
      </c>
      <c r="E307">
        <f t="shared" ref="E307:E370" si="35">((D307^2)+(D307*D308)+(D308^2))*B308/3</f>
        <v>0</v>
      </c>
      <c r="G307">
        <v>257</v>
      </c>
      <c r="H307" s="15">
        <f t="shared" si="32"/>
        <v>3.3332641781285588E-2</v>
      </c>
      <c r="I307">
        <f t="shared" si="33"/>
        <v>113.07265321074094</v>
      </c>
      <c r="J307">
        <f t="shared" ref="J307:J370" si="36">IF($G$28&lt;$C$14,0,((($C$11^2)-((I307-$C$13)^2))^0.5)+$C$16)</f>
        <v>459.96377319207289</v>
      </c>
      <c r="K307" s="30">
        <f t="shared" ref="K307:K370" si="37">((J307^2)+(J307*J308)+(J308^2))*H308/3</f>
        <v>7052.7826051534894</v>
      </c>
    </row>
    <row r="308" spans="1:11" x14ac:dyDescent="0.25">
      <c r="A308" s="29">
        <v>258</v>
      </c>
      <c r="B308" s="99">
        <f t="shared" ref="B308:B371" si="38">C308-C307</f>
        <v>0</v>
      </c>
      <c r="C308" s="75">
        <f t="shared" si="34"/>
        <v>104.50616427295054</v>
      </c>
      <c r="D308" s="100">
        <f t="shared" ref="D308:D371" si="39">IF($G$28&lt;$C$14,0,((($C$11^2)-((C308-$C$13)^2))^0.5)+$C$16)</f>
        <v>445.77777777777789</v>
      </c>
      <c r="E308">
        <f t="shared" si="35"/>
        <v>0</v>
      </c>
      <c r="G308">
        <v>258</v>
      </c>
      <c r="H308" s="15">
        <f t="shared" ref="H308:H371" si="40">I308-I307</f>
        <v>3.3332641781285588E-2</v>
      </c>
      <c r="I308">
        <f t="shared" ref="I308:I371" si="41">($G$27-$C$14)/2000+I307</f>
        <v>113.10598585252222</v>
      </c>
      <c r="J308">
        <f t="shared" si="36"/>
        <v>460.00985186109551</v>
      </c>
      <c r="K308" s="30">
        <f t="shared" si="37"/>
        <v>7054.1948426141853</v>
      </c>
    </row>
    <row r="309" spans="1:11" x14ac:dyDescent="0.25">
      <c r="A309" s="29">
        <v>259</v>
      </c>
      <c r="B309" s="99">
        <f t="shared" si="38"/>
        <v>0</v>
      </c>
      <c r="C309" s="75">
        <f t="shared" si="34"/>
        <v>104.50616427295054</v>
      </c>
      <c r="D309" s="100">
        <f t="shared" si="39"/>
        <v>445.77777777777789</v>
      </c>
      <c r="E309">
        <f t="shared" si="35"/>
        <v>0</v>
      </c>
      <c r="G309">
        <v>259</v>
      </c>
      <c r="H309" s="15">
        <f t="shared" si="40"/>
        <v>3.3332641781285588E-2</v>
      </c>
      <c r="I309">
        <f t="shared" si="41"/>
        <v>113.13931849430351</v>
      </c>
      <c r="J309">
        <f t="shared" si="36"/>
        <v>460.05587557711294</v>
      </c>
      <c r="K309" s="30">
        <f t="shared" si="37"/>
        <v>7055.6055379487443</v>
      </c>
    </row>
    <row r="310" spans="1:11" x14ac:dyDescent="0.25">
      <c r="A310" s="29">
        <v>260</v>
      </c>
      <c r="B310" s="99">
        <f t="shared" si="38"/>
        <v>0</v>
      </c>
      <c r="C310" s="75">
        <f t="shared" si="34"/>
        <v>104.50616427295054</v>
      </c>
      <c r="D310" s="100">
        <f t="shared" si="39"/>
        <v>445.77777777777789</v>
      </c>
      <c r="E310">
        <f t="shared" si="35"/>
        <v>0</v>
      </c>
      <c r="G310">
        <v>260</v>
      </c>
      <c r="H310" s="15">
        <f t="shared" si="40"/>
        <v>3.3332641781285588E-2</v>
      </c>
      <c r="I310">
        <f t="shared" si="41"/>
        <v>113.1726511360848</v>
      </c>
      <c r="J310">
        <f t="shared" si="36"/>
        <v>460.10184446893987</v>
      </c>
      <c r="K310" s="30">
        <f t="shared" si="37"/>
        <v>7057.0146945950391</v>
      </c>
    </row>
    <row r="311" spans="1:11" x14ac:dyDescent="0.25">
      <c r="A311" s="29">
        <v>261</v>
      </c>
      <c r="B311" s="99">
        <f t="shared" si="38"/>
        <v>0</v>
      </c>
      <c r="C311" s="75">
        <f t="shared" si="34"/>
        <v>104.50616427295054</v>
      </c>
      <c r="D311" s="100">
        <f t="shared" si="39"/>
        <v>445.77777777777789</v>
      </c>
      <c r="E311">
        <f t="shared" si="35"/>
        <v>0</v>
      </c>
      <c r="G311">
        <v>261</v>
      </c>
      <c r="H311" s="15">
        <f t="shared" si="40"/>
        <v>3.3332641781285588E-2</v>
      </c>
      <c r="I311">
        <f t="shared" si="41"/>
        <v>113.20598377786608</v>
      </c>
      <c r="J311">
        <f t="shared" si="36"/>
        <v>460.14775866483603</v>
      </c>
      <c r="K311" s="30">
        <f t="shared" si="37"/>
        <v>7058.4223159761386</v>
      </c>
    </row>
    <row r="312" spans="1:11" x14ac:dyDescent="0.25">
      <c r="A312" s="29">
        <v>262</v>
      </c>
      <c r="B312" s="99">
        <f t="shared" si="38"/>
        <v>0</v>
      </c>
      <c r="C312" s="75">
        <f t="shared" si="34"/>
        <v>104.50616427295054</v>
      </c>
      <c r="D312" s="100">
        <f t="shared" si="39"/>
        <v>445.77777777777789</v>
      </c>
      <c r="E312">
        <f t="shared" si="35"/>
        <v>0</v>
      </c>
      <c r="G312">
        <v>262</v>
      </c>
      <c r="H312" s="15">
        <f t="shared" si="40"/>
        <v>3.3332641781285588E-2</v>
      </c>
      <c r="I312">
        <f t="shared" si="41"/>
        <v>113.23931641964737</v>
      </c>
      <c r="J312">
        <f t="shared" si="36"/>
        <v>460.19361829250937</v>
      </c>
      <c r="K312" s="30">
        <f t="shared" si="37"/>
        <v>7059.8284055004078</v>
      </c>
    </row>
    <row r="313" spans="1:11" x14ac:dyDescent="0.25">
      <c r="A313" s="29">
        <v>263</v>
      </c>
      <c r="B313" s="99">
        <f t="shared" si="38"/>
        <v>0</v>
      </c>
      <c r="C313" s="75">
        <f t="shared" si="34"/>
        <v>104.50616427295054</v>
      </c>
      <c r="D313" s="100">
        <f t="shared" si="39"/>
        <v>445.77777777777789</v>
      </c>
      <c r="E313">
        <f t="shared" si="35"/>
        <v>0</v>
      </c>
      <c r="G313">
        <v>263</v>
      </c>
      <c r="H313" s="15">
        <f t="shared" si="40"/>
        <v>3.3332641781285588E-2</v>
      </c>
      <c r="I313">
        <f t="shared" si="41"/>
        <v>113.27264906142865</v>
      </c>
      <c r="J313">
        <f t="shared" si="36"/>
        <v>460.23942347911975</v>
      </c>
      <c r="K313" s="30">
        <f t="shared" si="37"/>
        <v>7061.2329665615825</v>
      </c>
    </row>
    <row r="314" spans="1:11" x14ac:dyDescent="0.25">
      <c r="A314" s="29">
        <v>264</v>
      </c>
      <c r="B314" s="99">
        <f t="shared" si="38"/>
        <v>0</v>
      </c>
      <c r="C314" s="75">
        <f t="shared" si="34"/>
        <v>104.50616427295054</v>
      </c>
      <c r="D314" s="100">
        <f t="shared" si="39"/>
        <v>445.77777777777789</v>
      </c>
      <c r="E314">
        <f t="shared" si="35"/>
        <v>0</v>
      </c>
      <c r="G314">
        <v>264</v>
      </c>
      <c r="H314" s="15">
        <f t="shared" si="40"/>
        <v>3.3332641781285588E-2</v>
      </c>
      <c r="I314">
        <f t="shared" si="41"/>
        <v>113.30598170320994</v>
      </c>
      <c r="J314">
        <f t="shared" si="36"/>
        <v>460.28517435128163</v>
      </c>
      <c r="K314" s="30">
        <f t="shared" si="37"/>
        <v>7062.6360025388685</v>
      </c>
    </row>
    <row r="315" spans="1:11" x14ac:dyDescent="0.25">
      <c r="A315" s="29">
        <v>265</v>
      </c>
      <c r="B315" s="99">
        <f t="shared" si="38"/>
        <v>0</v>
      </c>
      <c r="C315" s="75">
        <f t="shared" si="34"/>
        <v>104.50616427295054</v>
      </c>
      <c r="D315" s="100">
        <f t="shared" si="39"/>
        <v>445.77777777777789</v>
      </c>
      <c r="E315">
        <f t="shared" si="35"/>
        <v>0</v>
      </c>
      <c r="G315">
        <v>265</v>
      </c>
      <c r="H315" s="15">
        <f t="shared" si="40"/>
        <v>3.3332641781285588E-2</v>
      </c>
      <c r="I315">
        <f t="shared" si="41"/>
        <v>113.33931434499122</v>
      </c>
      <c r="J315">
        <f t="shared" si="36"/>
        <v>460.33087103506807</v>
      </c>
      <c r="K315" s="30">
        <f t="shared" si="37"/>
        <v>7064.0375167970269</v>
      </c>
    </row>
    <row r="316" spans="1:11" x14ac:dyDescent="0.25">
      <c r="A316" s="29">
        <v>266</v>
      </c>
      <c r="B316" s="99">
        <f t="shared" si="38"/>
        <v>0</v>
      </c>
      <c r="C316" s="75">
        <f t="shared" si="34"/>
        <v>104.50616427295054</v>
      </c>
      <c r="D316" s="100">
        <f t="shared" si="39"/>
        <v>445.77777777777789</v>
      </c>
      <c r="E316">
        <f t="shared" si="35"/>
        <v>0</v>
      </c>
      <c r="G316">
        <v>266</v>
      </c>
      <c r="H316" s="15">
        <f t="shared" si="40"/>
        <v>3.3332641781285588E-2</v>
      </c>
      <c r="I316">
        <f t="shared" si="41"/>
        <v>113.37264698677251</v>
      </c>
      <c r="J316">
        <f t="shared" si="36"/>
        <v>460.37651365601334</v>
      </c>
      <c r="K316" s="30">
        <f t="shared" si="37"/>
        <v>7065.4375126864516</v>
      </c>
    </row>
    <row r="317" spans="1:11" x14ac:dyDescent="0.25">
      <c r="A317" s="29">
        <v>267</v>
      </c>
      <c r="B317" s="99">
        <f t="shared" si="38"/>
        <v>0</v>
      </c>
      <c r="C317" s="75">
        <f t="shared" si="34"/>
        <v>104.50616427295054</v>
      </c>
      <c r="D317" s="100">
        <f t="shared" si="39"/>
        <v>445.77777777777789</v>
      </c>
      <c r="E317">
        <f t="shared" si="35"/>
        <v>0</v>
      </c>
      <c r="G317">
        <v>267</v>
      </c>
      <c r="H317" s="15">
        <f t="shared" si="40"/>
        <v>3.3332641781285588E-2</v>
      </c>
      <c r="I317">
        <f t="shared" si="41"/>
        <v>113.40597962855379</v>
      </c>
      <c r="J317">
        <f t="shared" si="36"/>
        <v>460.42210233911663</v>
      </c>
      <c r="K317" s="30">
        <f t="shared" si="37"/>
        <v>7066.8359935432745</v>
      </c>
    </row>
    <row r="318" spans="1:11" x14ac:dyDescent="0.25">
      <c r="A318" s="29">
        <v>268</v>
      </c>
      <c r="B318" s="99">
        <f t="shared" si="38"/>
        <v>0</v>
      </c>
      <c r="C318" s="75">
        <f t="shared" si="34"/>
        <v>104.50616427295054</v>
      </c>
      <c r="D318" s="100">
        <f t="shared" si="39"/>
        <v>445.77777777777789</v>
      </c>
      <c r="E318">
        <f t="shared" si="35"/>
        <v>0</v>
      </c>
      <c r="G318">
        <v>268</v>
      </c>
      <c r="H318" s="15">
        <f t="shared" si="40"/>
        <v>3.3332641781285588E-2</v>
      </c>
      <c r="I318">
        <f t="shared" si="41"/>
        <v>113.43931227033508</v>
      </c>
      <c r="J318">
        <f t="shared" si="36"/>
        <v>460.46763720884491</v>
      </c>
      <c r="K318" s="30">
        <f t="shared" si="37"/>
        <v>7068.2329626894243</v>
      </c>
    </row>
    <row r="319" spans="1:11" x14ac:dyDescent="0.25">
      <c r="A319" s="29">
        <v>269</v>
      </c>
      <c r="B319" s="99">
        <f t="shared" si="38"/>
        <v>0</v>
      </c>
      <c r="C319" s="75">
        <f t="shared" si="34"/>
        <v>104.50616427295054</v>
      </c>
      <c r="D319" s="100">
        <f t="shared" si="39"/>
        <v>445.77777777777789</v>
      </c>
      <c r="E319">
        <f t="shared" si="35"/>
        <v>0</v>
      </c>
      <c r="G319">
        <v>269</v>
      </c>
      <c r="H319" s="15">
        <f t="shared" si="40"/>
        <v>3.3332641781285588E-2</v>
      </c>
      <c r="I319">
        <f t="shared" si="41"/>
        <v>113.47264491211637</v>
      </c>
      <c r="J319">
        <f t="shared" si="36"/>
        <v>460.51311838913625</v>
      </c>
      <c r="K319" s="30">
        <f t="shared" si="37"/>
        <v>7069.6284234327386</v>
      </c>
    </row>
    <row r="320" spans="1:11" x14ac:dyDescent="0.25">
      <c r="A320" s="29">
        <v>270</v>
      </c>
      <c r="B320" s="99">
        <f t="shared" si="38"/>
        <v>0</v>
      </c>
      <c r="C320" s="75">
        <f t="shared" si="34"/>
        <v>104.50616427295054</v>
      </c>
      <c r="D320" s="100">
        <f t="shared" si="39"/>
        <v>445.77777777777789</v>
      </c>
      <c r="E320">
        <f t="shared" si="35"/>
        <v>0</v>
      </c>
      <c r="G320">
        <v>270</v>
      </c>
      <c r="H320" s="15">
        <f t="shared" si="40"/>
        <v>3.3332641781285588E-2</v>
      </c>
      <c r="I320">
        <f t="shared" si="41"/>
        <v>113.50597755389765</v>
      </c>
      <c r="J320">
        <f t="shared" si="36"/>
        <v>460.55854600340302</v>
      </c>
      <c r="K320" s="30">
        <f t="shared" si="37"/>
        <v>7071.0223790670234</v>
      </c>
    </row>
    <row r="321" spans="1:11" x14ac:dyDescent="0.25">
      <c r="A321" s="29">
        <v>271</v>
      </c>
      <c r="B321" s="99">
        <f t="shared" si="38"/>
        <v>0</v>
      </c>
      <c r="C321" s="75">
        <f t="shared" si="34"/>
        <v>104.50616427295054</v>
      </c>
      <c r="D321" s="100">
        <f t="shared" si="39"/>
        <v>445.77777777777789</v>
      </c>
      <c r="E321">
        <f t="shared" si="35"/>
        <v>0</v>
      </c>
      <c r="G321">
        <v>271</v>
      </c>
      <c r="H321" s="15">
        <f t="shared" si="40"/>
        <v>3.3332641781285588E-2</v>
      </c>
      <c r="I321">
        <f t="shared" si="41"/>
        <v>113.53931019567894</v>
      </c>
      <c r="J321">
        <f t="shared" si="36"/>
        <v>460.60392017453495</v>
      </c>
      <c r="K321" s="30">
        <f t="shared" si="37"/>
        <v>7072.4148328721558</v>
      </c>
    </row>
    <row r="322" spans="1:11" x14ac:dyDescent="0.25">
      <c r="A322" s="29">
        <v>272</v>
      </c>
      <c r="B322" s="99">
        <f t="shared" si="38"/>
        <v>0</v>
      </c>
      <c r="C322" s="75">
        <f t="shared" si="34"/>
        <v>104.50616427295054</v>
      </c>
      <c r="D322" s="100">
        <f t="shared" si="39"/>
        <v>445.77777777777789</v>
      </c>
      <c r="E322">
        <f t="shared" si="35"/>
        <v>0</v>
      </c>
      <c r="G322">
        <v>272</v>
      </c>
      <c r="H322" s="15">
        <f t="shared" si="40"/>
        <v>3.3332641781285588E-2</v>
      </c>
      <c r="I322">
        <f t="shared" si="41"/>
        <v>113.57264283746022</v>
      </c>
      <c r="J322">
        <f t="shared" si="36"/>
        <v>460.64924102490215</v>
      </c>
      <c r="K322" s="30">
        <f t="shared" si="37"/>
        <v>7073.8057881141567</v>
      </c>
    </row>
    <row r="323" spans="1:11" x14ac:dyDescent="0.25">
      <c r="A323" s="29">
        <v>273</v>
      </c>
      <c r="B323" s="99">
        <f t="shared" si="38"/>
        <v>0</v>
      </c>
      <c r="C323" s="75">
        <f t="shared" si="34"/>
        <v>104.50616427295054</v>
      </c>
      <c r="D323" s="100">
        <f t="shared" si="39"/>
        <v>445.77777777777789</v>
      </c>
      <c r="E323">
        <f t="shared" si="35"/>
        <v>0</v>
      </c>
      <c r="G323">
        <v>273</v>
      </c>
      <c r="H323" s="15">
        <f t="shared" si="40"/>
        <v>3.3332641781285588E-2</v>
      </c>
      <c r="I323">
        <f t="shared" si="41"/>
        <v>113.60597547924151</v>
      </c>
      <c r="J323">
        <f t="shared" si="36"/>
        <v>460.69450867635834</v>
      </c>
      <c r="K323" s="30">
        <f t="shared" si="37"/>
        <v>7075.1952480452737</v>
      </c>
    </row>
    <row r="324" spans="1:11" x14ac:dyDescent="0.25">
      <c r="A324" s="29">
        <v>274</v>
      </c>
      <c r="B324" s="99">
        <f t="shared" si="38"/>
        <v>0</v>
      </c>
      <c r="C324" s="75">
        <f t="shared" si="34"/>
        <v>104.50616427295054</v>
      </c>
      <c r="D324" s="100">
        <f t="shared" si="39"/>
        <v>445.77777777777789</v>
      </c>
      <c r="E324">
        <f t="shared" si="35"/>
        <v>0</v>
      </c>
      <c r="G324">
        <v>274</v>
      </c>
      <c r="H324" s="15">
        <f t="shared" si="40"/>
        <v>3.3332641781285588E-2</v>
      </c>
      <c r="I324">
        <f t="shared" si="41"/>
        <v>113.63930812102279</v>
      </c>
      <c r="J324">
        <f t="shared" si="36"/>
        <v>460.73972325024391</v>
      </c>
      <c r="K324" s="30">
        <f t="shared" si="37"/>
        <v>7076.5832159040629</v>
      </c>
    </row>
    <row r="325" spans="1:11" x14ac:dyDescent="0.25">
      <c r="A325" s="29">
        <v>275</v>
      </c>
      <c r="B325" s="99">
        <f t="shared" si="38"/>
        <v>0</v>
      </c>
      <c r="C325" s="75">
        <f t="shared" si="34"/>
        <v>104.50616427295054</v>
      </c>
      <c r="D325" s="100">
        <f t="shared" si="39"/>
        <v>445.77777777777789</v>
      </c>
      <c r="E325">
        <f t="shared" si="35"/>
        <v>0</v>
      </c>
      <c r="G325">
        <v>275</v>
      </c>
      <c r="H325" s="15">
        <f t="shared" si="40"/>
        <v>3.3332641781285588E-2</v>
      </c>
      <c r="I325">
        <f t="shared" si="41"/>
        <v>113.67264076280408</v>
      </c>
      <c r="J325">
        <f t="shared" si="36"/>
        <v>460.78488486738877</v>
      </c>
      <c r="K325" s="30">
        <f t="shared" si="37"/>
        <v>7077.9696949154722</v>
      </c>
    </row>
    <row r="326" spans="1:11" x14ac:dyDescent="0.25">
      <c r="A326" s="29">
        <v>276</v>
      </c>
      <c r="B326" s="99">
        <f t="shared" si="38"/>
        <v>0</v>
      </c>
      <c r="C326" s="75">
        <f t="shared" si="34"/>
        <v>104.50616427295054</v>
      </c>
      <c r="D326" s="100">
        <f t="shared" si="39"/>
        <v>445.77777777777789</v>
      </c>
      <c r="E326">
        <f t="shared" si="35"/>
        <v>0</v>
      </c>
      <c r="G326">
        <v>276</v>
      </c>
      <c r="H326" s="15">
        <f t="shared" si="40"/>
        <v>3.3332641781285588E-2</v>
      </c>
      <c r="I326">
        <f t="shared" si="41"/>
        <v>113.70597340458536</v>
      </c>
      <c r="J326">
        <f t="shared" si="36"/>
        <v>460.82999364811553</v>
      </c>
      <c r="K326" s="30">
        <f t="shared" si="37"/>
        <v>7079.3546882909204</v>
      </c>
    </row>
    <row r="327" spans="1:11" x14ac:dyDescent="0.25">
      <c r="A327" s="29">
        <v>277</v>
      </c>
      <c r="B327" s="99">
        <f t="shared" si="38"/>
        <v>0</v>
      </c>
      <c r="C327" s="75">
        <f t="shared" si="34"/>
        <v>104.50616427295054</v>
      </c>
      <c r="D327" s="100">
        <f t="shared" si="39"/>
        <v>445.77777777777789</v>
      </c>
      <c r="E327">
        <f t="shared" si="35"/>
        <v>0</v>
      </c>
      <c r="G327">
        <v>277</v>
      </c>
      <c r="H327" s="15">
        <f t="shared" si="40"/>
        <v>3.3332641781285588E-2</v>
      </c>
      <c r="I327">
        <f t="shared" si="41"/>
        <v>113.73930604636665</v>
      </c>
      <c r="J327">
        <f t="shared" si="36"/>
        <v>460.8750497122424</v>
      </c>
      <c r="K327" s="30">
        <f t="shared" si="37"/>
        <v>7080.7381992283708</v>
      </c>
    </row>
    <row r="328" spans="1:11" x14ac:dyDescent="0.25">
      <c r="A328" s="29">
        <v>278</v>
      </c>
      <c r="B328" s="99">
        <f t="shared" si="38"/>
        <v>0</v>
      </c>
      <c r="C328" s="75">
        <f t="shared" si="34"/>
        <v>104.50616427295054</v>
      </c>
      <c r="D328" s="100">
        <f t="shared" si="39"/>
        <v>445.77777777777789</v>
      </c>
      <c r="E328">
        <f t="shared" si="35"/>
        <v>0</v>
      </c>
      <c r="G328">
        <v>278</v>
      </c>
      <c r="H328" s="15">
        <f t="shared" si="40"/>
        <v>3.3332641781285588E-2</v>
      </c>
      <c r="I328">
        <f t="shared" si="41"/>
        <v>113.77263868814794</v>
      </c>
      <c r="J328">
        <f t="shared" si="36"/>
        <v>460.92005317908627</v>
      </c>
      <c r="K328" s="30">
        <f t="shared" si="37"/>
        <v>7082.1202309124228</v>
      </c>
    </row>
    <row r="329" spans="1:11" x14ac:dyDescent="0.25">
      <c r="A329" s="29">
        <v>279</v>
      </c>
      <c r="B329" s="99">
        <f t="shared" si="38"/>
        <v>0</v>
      </c>
      <c r="C329" s="75">
        <f t="shared" si="34"/>
        <v>104.50616427295054</v>
      </c>
      <c r="D329" s="100">
        <f t="shared" si="39"/>
        <v>445.77777777777789</v>
      </c>
      <c r="E329">
        <f t="shared" si="35"/>
        <v>0</v>
      </c>
      <c r="G329">
        <v>279</v>
      </c>
      <c r="H329" s="15">
        <f t="shared" si="40"/>
        <v>3.3332641781285588E-2</v>
      </c>
      <c r="I329">
        <f t="shared" si="41"/>
        <v>113.80597132992922</v>
      </c>
      <c r="J329">
        <f t="shared" si="36"/>
        <v>460.96500416746551</v>
      </c>
      <c r="K329" s="30">
        <f t="shared" si="37"/>
        <v>7083.500786514378</v>
      </c>
    </row>
    <row r="330" spans="1:11" x14ac:dyDescent="0.25">
      <c r="A330" s="29">
        <v>280</v>
      </c>
      <c r="B330" s="99">
        <f t="shared" si="38"/>
        <v>0</v>
      </c>
      <c r="C330" s="75">
        <f t="shared" si="34"/>
        <v>104.50616427295054</v>
      </c>
      <c r="D330" s="100">
        <f t="shared" si="39"/>
        <v>445.77777777777789</v>
      </c>
      <c r="E330">
        <f t="shared" si="35"/>
        <v>0</v>
      </c>
      <c r="G330">
        <v>280</v>
      </c>
      <c r="H330" s="15">
        <f t="shared" si="40"/>
        <v>3.3332641781285588E-2</v>
      </c>
      <c r="I330">
        <f t="shared" si="41"/>
        <v>113.83930397171051</v>
      </c>
      <c r="J330">
        <f t="shared" si="36"/>
        <v>461.00990279570283</v>
      </c>
      <c r="K330" s="30">
        <f t="shared" si="37"/>
        <v>7084.879869192323</v>
      </c>
    </row>
    <row r="331" spans="1:11" x14ac:dyDescent="0.25">
      <c r="A331" s="29">
        <v>281</v>
      </c>
      <c r="B331" s="99">
        <f t="shared" si="38"/>
        <v>0</v>
      </c>
      <c r="C331" s="75">
        <f t="shared" si="34"/>
        <v>104.50616427295054</v>
      </c>
      <c r="D331" s="100">
        <f t="shared" si="39"/>
        <v>445.77777777777789</v>
      </c>
      <c r="E331">
        <f t="shared" si="35"/>
        <v>0</v>
      </c>
      <c r="G331">
        <v>281</v>
      </c>
      <c r="H331" s="15">
        <f t="shared" si="40"/>
        <v>3.3332641781285588E-2</v>
      </c>
      <c r="I331">
        <f t="shared" si="41"/>
        <v>113.87263661349179</v>
      </c>
      <c r="J331">
        <f t="shared" si="36"/>
        <v>461.05474918162855</v>
      </c>
      <c r="K331" s="30">
        <f t="shared" si="37"/>
        <v>7086.2574820912096</v>
      </c>
    </row>
    <row r="332" spans="1:11" x14ac:dyDescent="0.25">
      <c r="A332" s="29">
        <v>282</v>
      </c>
      <c r="B332" s="99">
        <f t="shared" si="38"/>
        <v>0</v>
      </c>
      <c r="C332" s="75">
        <f t="shared" si="34"/>
        <v>104.50616427295054</v>
      </c>
      <c r="D332" s="100">
        <f t="shared" si="39"/>
        <v>445.77777777777789</v>
      </c>
      <c r="E332">
        <f t="shared" si="35"/>
        <v>0</v>
      </c>
      <c r="G332">
        <v>282</v>
      </c>
      <c r="H332" s="15">
        <f t="shared" si="40"/>
        <v>3.3332641781285588E-2</v>
      </c>
      <c r="I332">
        <f t="shared" si="41"/>
        <v>113.90596925527308</v>
      </c>
      <c r="J332">
        <f t="shared" si="36"/>
        <v>461.09954344258301</v>
      </c>
      <c r="K332" s="30">
        <f t="shared" si="37"/>
        <v>7087.6336283429237</v>
      </c>
    </row>
    <row r="333" spans="1:11" x14ac:dyDescent="0.25">
      <c r="A333" s="29">
        <v>283</v>
      </c>
      <c r="B333" s="99">
        <f t="shared" si="38"/>
        <v>0</v>
      </c>
      <c r="C333" s="75">
        <f t="shared" si="34"/>
        <v>104.50616427295054</v>
      </c>
      <c r="D333" s="100">
        <f t="shared" si="39"/>
        <v>445.77777777777789</v>
      </c>
      <c r="E333">
        <f t="shared" si="35"/>
        <v>0</v>
      </c>
      <c r="G333">
        <v>283</v>
      </c>
      <c r="H333" s="15">
        <f t="shared" si="40"/>
        <v>3.3332641781285588E-2</v>
      </c>
      <c r="I333">
        <f t="shared" si="41"/>
        <v>113.93930189705436</v>
      </c>
      <c r="J333">
        <f t="shared" si="36"/>
        <v>461.14428569541968</v>
      </c>
      <c r="K333" s="30">
        <f t="shared" si="37"/>
        <v>7089.0083110663736</v>
      </c>
    </row>
    <row r="334" spans="1:11" x14ac:dyDescent="0.25">
      <c r="A334" s="29">
        <v>284</v>
      </c>
      <c r="B334" s="99">
        <f t="shared" si="38"/>
        <v>0</v>
      </c>
      <c r="C334" s="75">
        <f t="shared" si="34"/>
        <v>104.50616427295054</v>
      </c>
      <c r="D334" s="100">
        <f t="shared" si="39"/>
        <v>445.77777777777789</v>
      </c>
      <c r="E334">
        <f t="shared" si="35"/>
        <v>0</v>
      </c>
      <c r="G334">
        <v>284</v>
      </c>
      <c r="H334" s="15">
        <f t="shared" si="40"/>
        <v>3.3332641781285588E-2</v>
      </c>
      <c r="I334">
        <f t="shared" si="41"/>
        <v>113.97263453883565</v>
      </c>
      <c r="J334">
        <f t="shared" si="36"/>
        <v>461.18897605650801</v>
      </c>
      <c r="K334" s="30">
        <f t="shared" si="37"/>
        <v>7090.3815333675475</v>
      </c>
    </row>
    <row r="335" spans="1:11" x14ac:dyDescent="0.25">
      <c r="A335" s="29">
        <v>285</v>
      </c>
      <c r="B335" s="99">
        <f t="shared" si="38"/>
        <v>0</v>
      </c>
      <c r="C335" s="75">
        <f t="shared" si="34"/>
        <v>104.50616427295054</v>
      </c>
      <c r="D335" s="100">
        <f t="shared" si="39"/>
        <v>445.77777777777789</v>
      </c>
      <c r="E335">
        <f t="shared" si="35"/>
        <v>0</v>
      </c>
      <c r="G335">
        <v>285</v>
      </c>
      <c r="H335" s="15">
        <f t="shared" si="40"/>
        <v>3.3332641781285588E-2</v>
      </c>
      <c r="I335">
        <f t="shared" si="41"/>
        <v>114.00596718061693</v>
      </c>
      <c r="J335">
        <f t="shared" si="36"/>
        <v>461.2336146417361</v>
      </c>
      <c r="K335" s="30">
        <f t="shared" si="37"/>
        <v>7091.753298339604</v>
      </c>
    </row>
    <row r="336" spans="1:11" x14ac:dyDescent="0.25">
      <c r="A336" s="29">
        <v>286</v>
      </c>
      <c r="B336" s="99">
        <f t="shared" si="38"/>
        <v>0</v>
      </c>
      <c r="C336" s="75">
        <f t="shared" ref="C336:C399" si="42">($C$37-$C$36)/2000+C335</f>
        <v>104.50616427295054</v>
      </c>
      <c r="D336" s="100">
        <f t="shared" si="39"/>
        <v>445.77777777777789</v>
      </c>
      <c r="E336">
        <f t="shared" si="35"/>
        <v>0</v>
      </c>
      <c r="G336">
        <v>286</v>
      </c>
      <c r="H336" s="15">
        <f t="shared" si="40"/>
        <v>3.3332641781285588E-2</v>
      </c>
      <c r="I336">
        <f t="shared" si="41"/>
        <v>114.03929982239822</v>
      </c>
      <c r="J336">
        <f t="shared" si="36"/>
        <v>461.27820156651353</v>
      </c>
      <c r="K336" s="30">
        <f t="shared" si="37"/>
        <v>7093.1236090629427</v>
      </c>
    </row>
    <row r="337" spans="1:11" x14ac:dyDescent="0.25">
      <c r="A337" s="29">
        <v>287</v>
      </c>
      <c r="B337" s="99">
        <f t="shared" si="38"/>
        <v>0</v>
      </c>
      <c r="C337" s="75">
        <f t="shared" si="42"/>
        <v>104.50616427295054</v>
      </c>
      <c r="D337" s="100">
        <f t="shared" si="39"/>
        <v>445.77777777777789</v>
      </c>
      <c r="E337">
        <f t="shared" si="35"/>
        <v>0</v>
      </c>
      <c r="G337">
        <v>287</v>
      </c>
      <c r="H337" s="15">
        <f t="shared" si="40"/>
        <v>3.3332641781285588E-2</v>
      </c>
      <c r="I337">
        <f t="shared" si="41"/>
        <v>114.07263246417951</v>
      </c>
      <c r="J337">
        <f t="shared" si="36"/>
        <v>461.3227369457743</v>
      </c>
      <c r="K337" s="30">
        <f t="shared" si="37"/>
        <v>7094.4924686052736</v>
      </c>
    </row>
    <row r="338" spans="1:11" x14ac:dyDescent="0.25">
      <c r="A338" s="29">
        <v>288</v>
      </c>
      <c r="B338" s="99">
        <f t="shared" si="38"/>
        <v>0</v>
      </c>
      <c r="C338" s="75">
        <f t="shared" si="42"/>
        <v>104.50616427295054</v>
      </c>
      <c r="D338" s="100">
        <f t="shared" si="39"/>
        <v>445.77777777777789</v>
      </c>
      <c r="E338">
        <f t="shared" si="35"/>
        <v>0</v>
      </c>
      <c r="G338">
        <v>288</v>
      </c>
      <c r="H338" s="15">
        <f t="shared" si="40"/>
        <v>3.3332641781285588E-2</v>
      </c>
      <c r="I338">
        <f t="shared" si="41"/>
        <v>114.10596510596079</v>
      </c>
      <c r="J338">
        <f t="shared" si="36"/>
        <v>461.36722089397932</v>
      </c>
      <c r="K338" s="30">
        <f t="shared" si="37"/>
        <v>7095.859880021696</v>
      </c>
    </row>
    <row r="339" spans="1:11" x14ac:dyDescent="0.25">
      <c r="A339" s="29">
        <v>289</v>
      </c>
      <c r="B339" s="99">
        <f t="shared" si="38"/>
        <v>0</v>
      </c>
      <c r="C339" s="75">
        <f t="shared" si="42"/>
        <v>104.50616427295054</v>
      </c>
      <c r="D339" s="100">
        <f t="shared" si="39"/>
        <v>445.77777777777789</v>
      </c>
      <c r="E339">
        <f t="shared" si="35"/>
        <v>0</v>
      </c>
      <c r="G339">
        <v>289</v>
      </c>
      <c r="H339" s="15">
        <f t="shared" si="40"/>
        <v>3.3332641781285588E-2</v>
      </c>
      <c r="I339">
        <f t="shared" si="41"/>
        <v>114.13929774774208</v>
      </c>
      <c r="J339">
        <f t="shared" si="36"/>
        <v>461.41165352511933</v>
      </c>
      <c r="K339" s="30">
        <f t="shared" si="37"/>
        <v>7097.2258463547623</v>
      </c>
    </row>
    <row r="340" spans="1:11" x14ac:dyDescent="0.25">
      <c r="A340" s="29">
        <v>290</v>
      </c>
      <c r="B340" s="99">
        <f t="shared" si="38"/>
        <v>0</v>
      </c>
      <c r="C340" s="75">
        <f t="shared" si="42"/>
        <v>104.50616427295054</v>
      </c>
      <c r="D340" s="100">
        <f t="shared" si="39"/>
        <v>445.77777777777789</v>
      </c>
      <c r="E340">
        <f t="shared" si="35"/>
        <v>0</v>
      </c>
      <c r="G340">
        <v>290</v>
      </c>
      <c r="H340" s="15">
        <f t="shared" si="40"/>
        <v>3.3332641781285588E-2</v>
      </c>
      <c r="I340">
        <f t="shared" si="41"/>
        <v>114.17263038952336</v>
      </c>
      <c r="J340">
        <f t="shared" si="36"/>
        <v>461.45603495271746</v>
      </c>
      <c r="K340" s="30">
        <f t="shared" si="37"/>
        <v>7098.5903706345634</v>
      </c>
    </row>
    <row r="341" spans="1:11" x14ac:dyDescent="0.25">
      <c r="A341" s="29">
        <v>291</v>
      </c>
      <c r="B341" s="99">
        <f t="shared" si="38"/>
        <v>0</v>
      </c>
      <c r="C341" s="75">
        <f t="shared" si="42"/>
        <v>104.50616427295054</v>
      </c>
      <c r="D341" s="100">
        <f t="shared" si="39"/>
        <v>445.77777777777789</v>
      </c>
      <c r="E341">
        <f t="shared" si="35"/>
        <v>0</v>
      </c>
      <c r="G341">
        <v>291</v>
      </c>
      <c r="H341" s="15">
        <f t="shared" si="40"/>
        <v>3.3332641781285588E-2</v>
      </c>
      <c r="I341">
        <f t="shared" si="41"/>
        <v>114.20596303130465</v>
      </c>
      <c r="J341">
        <f t="shared" si="36"/>
        <v>461.50036528983208</v>
      </c>
      <c r="K341" s="30">
        <f t="shared" si="37"/>
        <v>7099.9534558787864</v>
      </c>
    </row>
    <row r="342" spans="1:11" x14ac:dyDescent="0.25">
      <c r="A342" s="29">
        <v>292</v>
      </c>
      <c r="B342" s="99">
        <f t="shared" si="38"/>
        <v>0</v>
      </c>
      <c r="C342" s="75">
        <f t="shared" si="42"/>
        <v>104.50616427295054</v>
      </c>
      <c r="D342" s="100">
        <f t="shared" si="39"/>
        <v>445.77777777777789</v>
      </c>
      <c r="E342">
        <f t="shared" si="35"/>
        <v>0</v>
      </c>
      <c r="G342">
        <v>292</v>
      </c>
      <c r="H342" s="15">
        <f t="shared" si="40"/>
        <v>3.3332641781285588E-2</v>
      </c>
      <c r="I342">
        <f t="shared" si="41"/>
        <v>114.23929567308593</v>
      </c>
      <c r="J342">
        <f t="shared" si="36"/>
        <v>461.54464464905936</v>
      </c>
      <c r="K342" s="30">
        <f t="shared" si="37"/>
        <v>7101.3151050928027</v>
      </c>
    </row>
    <row r="343" spans="1:11" x14ac:dyDescent="0.25">
      <c r="A343" s="29">
        <v>293</v>
      </c>
      <c r="B343" s="99">
        <f t="shared" si="38"/>
        <v>0</v>
      </c>
      <c r="C343" s="75">
        <f t="shared" si="42"/>
        <v>104.50616427295054</v>
      </c>
      <c r="D343" s="100">
        <f t="shared" si="39"/>
        <v>445.77777777777789</v>
      </c>
      <c r="E343">
        <f t="shared" si="35"/>
        <v>0</v>
      </c>
      <c r="G343">
        <v>293</v>
      </c>
      <c r="H343" s="15">
        <f t="shared" si="40"/>
        <v>3.3332641781285588E-2</v>
      </c>
      <c r="I343">
        <f t="shared" si="41"/>
        <v>114.27262831486722</v>
      </c>
      <c r="J343">
        <f t="shared" si="36"/>
        <v>461.58887314253593</v>
      </c>
      <c r="K343" s="30">
        <f t="shared" si="37"/>
        <v>7102.675321269714</v>
      </c>
    </row>
    <row r="344" spans="1:11" x14ac:dyDescent="0.25">
      <c r="A344" s="29">
        <v>294</v>
      </c>
      <c r="B344" s="99">
        <f t="shared" si="38"/>
        <v>0</v>
      </c>
      <c r="C344" s="75">
        <f t="shared" si="42"/>
        <v>104.50616427295054</v>
      </c>
      <c r="D344" s="100">
        <f t="shared" si="39"/>
        <v>445.77777777777789</v>
      </c>
      <c r="E344">
        <f t="shared" si="35"/>
        <v>0</v>
      </c>
      <c r="G344">
        <v>294</v>
      </c>
      <c r="H344" s="15">
        <f t="shared" si="40"/>
        <v>3.3332641781285588E-2</v>
      </c>
      <c r="I344">
        <f t="shared" si="41"/>
        <v>114.30596095664851</v>
      </c>
      <c r="J344">
        <f t="shared" si="36"/>
        <v>461.63305088194147</v>
      </c>
      <c r="K344" s="30">
        <f t="shared" si="37"/>
        <v>7104.0341073904465</v>
      </c>
    </row>
    <row r="345" spans="1:11" x14ac:dyDescent="0.25">
      <c r="A345" s="29">
        <v>295</v>
      </c>
      <c r="B345" s="99">
        <f t="shared" si="38"/>
        <v>0</v>
      </c>
      <c r="C345" s="75">
        <f t="shared" si="42"/>
        <v>104.50616427295054</v>
      </c>
      <c r="D345" s="100">
        <f t="shared" si="39"/>
        <v>445.77777777777789</v>
      </c>
      <c r="E345">
        <f t="shared" si="35"/>
        <v>0</v>
      </c>
      <c r="G345">
        <v>295</v>
      </c>
      <c r="H345" s="15">
        <f t="shared" si="40"/>
        <v>3.3332641781285588E-2</v>
      </c>
      <c r="I345">
        <f t="shared" si="41"/>
        <v>114.33929359842979</v>
      </c>
      <c r="J345">
        <f t="shared" si="36"/>
        <v>461.67717797850145</v>
      </c>
      <c r="K345" s="30">
        <f t="shared" si="37"/>
        <v>7105.3914664238082</v>
      </c>
    </row>
    <row r="346" spans="1:11" x14ac:dyDescent="0.25">
      <c r="A346" s="29">
        <v>296</v>
      </c>
      <c r="B346" s="99">
        <f t="shared" si="38"/>
        <v>0</v>
      </c>
      <c r="C346" s="75">
        <f t="shared" si="42"/>
        <v>104.50616427295054</v>
      </c>
      <c r="D346" s="100">
        <f t="shared" si="39"/>
        <v>445.77777777777789</v>
      </c>
      <c r="E346">
        <f t="shared" si="35"/>
        <v>0</v>
      </c>
      <c r="G346">
        <v>296</v>
      </c>
      <c r="H346" s="15">
        <f t="shared" si="40"/>
        <v>3.3332641781285588E-2</v>
      </c>
      <c r="I346">
        <f t="shared" si="41"/>
        <v>114.37262624021108</v>
      </c>
      <c r="J346">
        <f t="shared" si="36"/>
        <v>461.72125454298958</v>
      </c>
      <c r="K346" s="30">
        <f t="shared" si="37"/>
        <v>7106.7474013265601</v>
      </c>
    </row>
    <row r="347" spans="1:11" x14ac:dyDescent="0.25">
      <c r="A347" s="29">
        <v>297</v>
      </c>
      <c r="B347" s="99">
        <f t="shared" si="38"/>
        <v>0</v>
      </c>
      <c r="C347" s="75">
        <f t="shared" si="42"/>
        <v>104.50616427295054</v>
      </c>
      <c r="D347" s="100">
        <f t="shared" si="39"/>
        <v>445.77777777777789</v>
      </c>
      <c r="E347">
        <f t="shared" si="35"/>
        <v>0</v>
      </c>
      <c r="G347">
        <v>297</v>
      </c>
      <c r="H347" s="15">
        <f t="shared" si="40"/>
        <v>3.3332641781285588E-2</v>
      </c>
      <c r="I347">
        <f t="shared" si="41"/>
        <v>114.40595888199236</v>
      </c>
      <c r="J347">
        <f t="shared" si="36"/>
        <v>461.76528068573049</v>
      </c>
      <c r="K347" s="30">
        <f t="shared" si="37"/>
        <v>7108.101915043485</v>
      </c>
    </row>
    <row r="348" spans="1:11" x14ac:dyDescent="0.25">
      <c r="A348" s="29">
        <v>298</v>
      </c>
      <c r="B348" s="99">
        <f t="shared" si="38"/>
        <v>0</v>
      </c>
      <c r="C348" s="75">
        <f t="shared" si="42"/>
        <v>104.50616427295054</v>
      </c>
      <c r="D348" s="100">
        <f t="shared" si="39"/>
        <v>445.77777777777789</v>
      </c>
      <c r="E348">
        <f t="shared" si="35"/>
        <v>0</v>
      </c>
      <c r="G348">
        <v>298</v>
      </c>
      <c r="H348" s="15">
        <f t="shared" si="40"/>
        <v>3.3332641781285588E-2</v>
      </c>
      <c r="I348">
        <f t="shared" si="41"/>
        <v>114.43929152377365</v>
      </c>
      <c r="J348">
        <f t="shared" si="36"/>
        <v>461.8092565166022</v>
      </c>
      <c r="K348" s="30">
        <f t="shared" si="37"/>
        <v>7109.4550105074522</v>
      </c>
    </row>
    <row r="349" spans="1:11" x14ac:dyDescent="0.25">
      <c r="A349" s="29">
        <v>299</v>
      </c>
      <c r="B349" s="99">
        <f t="shared" si="38"/>
        <v>0</v>
      </c>
      <c r="C349" s="75">
        <f t="shared" si="42"/>
        <v>104.50616427295054</v>
      </c>
      <c r="D349" s="100">
        <f t="shared" si="39"/>
        <v>445.77777777777789</v>
      </c>
      <c r="E349">
        <f t="shared" si="35"/>
        <v>0</v>
      </c>
      <c r="G349">
        <v>299</v>
      </c>
      <c r="H349" s="15">
        <f t="shared" si="40"/>
        <v>3.3332641781285588E-2</v>
      </c>
      <c r="I349">
        <f t="shared" si="41"/>
        <v>114.47262416555493</v>
      </c>
      <c r="J349">
        <f t="shared" si="36"/>
        <v>461.85318214503866</v>
      </c>
      <c r="K349" s="30">
        <f t="shared" si="37"/>
        <v>7110.8066906394952</v>
      </c>
    </row>
    <row r="350" spans="1:11" x14ac:dyDescent="0.25">
      <c r="A350" s="29">
        <v>300</v>
      </c>
      <c r="B350" s="99">
        <f t="shared" si="38"/>
        <v>0</v>
      </c>
      <c r="C350" s="75">
        <f t="shared" si="42"/>
        <v>104.50616427295054</v>
      </c>
      <c r="D350" s="100">
        <f t="shared" si="39"/>
        <v>445.77777777777789</v>
      </c>
      <c r="E350">
        <f t="shared" si="35"/>
        <v>0</v>
      </c>
      <c r="G350">
        <v>300</v>
      </c>
      <c r="H350" s="15">
        <f t="shared" si="40"/>
        <v>3.3332641781285588E-2</v>
      </c>
      <c r="I350">
        <f t="shared" si="41"/>
        <v>114.50595680733622</v>
      </c>
      <c r="J350">
        <f t="shared" si="36"/>
        <v>461.89705768003233</v>
      </c>
      <c r="K350" s="30">
        <f t="shared" si="37"/>
        <v>7112.1569583488636</v>
      </c>
    </row>
    <row r="351" spans="1:11" x14ac:dyDescent="0.25">
      <c r="A351" s="29">
        <v>301</v>
      </c>
      <c r="B351" s="99">
        <f t="shared" si="38"/>
        <v>0</v>
      </c>
      <c r="C351" s="75">
        <f t="shared" si="42"/>
        <v>104.50616427295054</v>
      </c>
      <c r="D351" s="100">
        <f t="shared" si="39"/>
        <v>445.77777777777789</v>
      </c>
      <c r="E351">
        <f t="shared" si="35"/>
        <v>0</v>
      </c>
      <c r="G351">
        <v>301</v>
      </c>
      <c r="H351" s="15">
        <f t="shared" si="40"/>
        <v>3.3332641781285588E-2</v>
      </c>
      <c r="I351">
        <f t="shared" si="41"/>
        <v>114.5392894491175</v>
      </c>
      <c r="J351">
        <f t="shared" si="36"/>
        <v>461.94088323013659</v>
      </c>
      <c r="K351" s="30">
        <f t="shared" si="37"/>
        <v>7113.5058165331002</v>
      </c>
    </row>
    <row r="352" spans="1:11" x14ac:dyDescent="0.25">
      <c r="A352" s="29">
        <v>302</v>
      </c>
      <c r="B352" s="99">
        <f t="shared" si="38"/>
        <v>0</v>
      </c>
      <c r="C352" s="75">
        <f t="shared" si="42"/>
        <v>104.50616427295054</v>
      </c>
      <c r="D352" s="100">
        <f t="shared" si="39"/>
        <v>445.77777777777789</v>
      </c>
      <c r="E352">
        <f t="shared" si="35"/>
        <v>0</v>
      </c>
      <c r="G352">
        <v>302</v>
      </c>
      <c r="H352" s="15">
        <f t="shared" si="40"/>
        <v>3.3332641781285588E-2</v>
      </c>
      <c r="I352">
        <f t="shared" si="41"/>
        <v>114.57262209089879</v>
      </c>
      <c r="J352">
        <f t="shared" si="36"/>
        <v>461.9846589034683</v>
      </c>
      <c r="K352" s="30">
        <f t="shared" si="37"/>
        <v>7114.8532680781091</v>
      </c>
    </row>
    <row r="353" spans="1:11" x14ac:dyDescent="0.25">
      <c r="A353" s="29">
        <v>303</v>
      </c>
      <c r="B353" s="99">
        <f t="shared" si="38"/>
        <v>0</v>
      </c>
      <c r="C353" s="75">
        <f t="shared" si="42"/>
        <v>104.50616427295054</v>
      </c>
      <c r="D353" s="100">
        <f t="shared" si="39"/>
        <v>445.77777777777789</v>
      </c>
      <c r="E353">
        <f t="shared" si="35"/>
        <v>0</v>
      </c>
      <c r="G353">
        <v>303</v>
      </c>
      <c r="H353" s="15">
        <f t="shared" si="40"/>
        <v>3.3332641781285588E-2</v>
      </c>
      <c r="I353">
        <f t="shared" si="41"/>
        <v>114.60595473268008</v>
      </c>
      <c r="J353">
        <f t="shared" si="36"/>
        <v>462.02838480771021</v>
      </c>
      <c r="K353" s="30">
        <f t="shared" si="37"/>
        <v>7116.1993158582109</v>
      </c>
    </row>
    <row r="354" spans="1:11" x14ac:dyDescent="0.25">
      <c r="A354" s="29">
        <v>304</v>
      </c>
      <c r="B354" s="99">
        <f t="shared" si="38"/>
        <v>0</v>
      </c>
      <c r="C354" s="75">
        <f t="shared" si="42"/>
        <v>104.50616427295054</v>
      </c>
      <c r="D354" s="100">
        <f t="shared" si="39"/>
        <v>445.77777777777789</v>
      </c>
      <c r="E354">
        <f t="shared" si="35"/>
        <v>0</v>
      </c>
      <c r="G354">
        <v>304</v>
      </c>
      <c r="H354" s="15">
        <f t="shared" si="40"/>
        <v>3.3332641781285588E-2</v>
      </c>
      <c r="I354">
        <f t="shared" si="41"/>
        <v>114.63928737446136</v>
      </c>
      <c r="J354">
        <f t="shared" si="36"/>
        <v>462.07206105011346</v>
      </c>
      <c r="K354" s="30">
        <f t="shared" si="37"/>
        <v>7117.5439627362166</v>
      </c>
    </row>
    <row r="355" spans="1:11" x14ac:dyDescent="0.25">
      <c r="A355" s="29">
        <v>305</v>
      </c>
      <c r="B355" s="99">
        <f t="shared" si="38"/>
        <v>0</v>
      </c>
      <c r="C355" s="75">
        <f t="shared" si="42"/>
        <v>104.50616427295054</v>
      </c>
      <c r="D355" s="100">
        <f t="shared" si="39"/>
        <v>445.77777777777789</v>
      </c>
      <c r="E355">
        <f t="shared" si="35"/>
        <v>0</v>
      </c>
      <c r="G355">
        <v>305</v>
      </c>
      <c r="H355" s="15">
        <f t="shared" si="40"/>
        <v>3.3332641781285588E-2</v>
      </c>
      <c r="I355">
        <f t="shared" si="41"/>
        <v>114.67262001624265</v>
      </c>
      <c r="J355">
        <f t="shared" si="36"/>
        <v>462.11568773749985</v>
      </c>
      <c r="K355" s="30">
        <f t="shared" si="37"/>
        <v>7118.8872115634886</v>
      </c>
    </row>
    <row r="356" spans="1:11" x14ac:dyDescent="0.25">
      <c r="A356" s="29">
        <v>306</v>
      </c>
      <c r="B356" s="99">
        <f t="shared" si="38"/>
        <v>0</v>
      </c>
      <c r="C356" s="75">
        <f t="shared" si="42"/>
        <v>104.50616427295054</v>
      </c>
      <c r="D356" s="100">
        <f t="shared" si="39"/>
        <v>445.77777777777789</v>
      </c>
      <c r="E356">
        <f t="shared" si="35"/>
        <v>0</v>
      </c>
      <c r="G356">
        <v>306</v>
      </c>
      <c r="H356" s="15">
        <f t="shared" si="40"/>
        <v>3.3332641781285588E-2</v>
      </c>
      <c r="I356">
        <f t="shared" si="41"/>
        <v>114.70595265802393</v>
      </c>
      <c r="J356">
        <f t="shared" si="36"/>
        <v>462.15926497626447</v>
      </c>
      <c r="K356" s="30">
        <f t="shared" si="37"/>
        <v>7120.229065180004</v>
      </c>
    </row>
    <row r="357" spans="1:11" x14ac:dyDescent="0.25">
      <c r="A357" s="29">
        <v>307</v>
      </c>
      <c r="B357" s="99">
        <f t="shared" si="38"/>
        <v>0</v>
      </c>
      <c r="C357" s="75">
        <f t="shared" si="42"/>
        <v>104.50616427295054</v>
      </c>
      <c r="D357" s="100">
        <f t="shared" si="39"/>
        <v>445.77777777777789</v>
      </c>
      <c r="E357">
        <f t="shared" si="35"/>
        <v>0</v>
      </c>
      <c r="G357">
        <v>307</v>
      </c>
      <c r="H357" s="15">
        <f t="shared" si="40"/>
        <v>3.3332641781285588E-2</v>
      </c>
      <c r="I357">
        <f t="shared" si="41"/>
        <v>114.73928529980522</v>
      </c>
      <c r="J357">
        <f t="shared" si="36"/>
        <v>462.20279287237793</v>
      </c>
      <c r="K357" s="30">
        <f t="shared" si="37"/>
        <v>7121.5695264144206</v>
      </c>
    </row>
    <row r="358" spans="1:11" x14ac:dyDescent="0.25">
      <c r="A358" s="29">
        <v>308</v>
      </c>
      <c r="B358" s="99">
        <f t="shared" si="38"/>
        <v>0</v>
      </c>
      <c r="C358" s="75">
        <f t="shared" si="42"/>
        <v>104.50616427295054</v>
      </c>
      <c r="D358" s="100">
        <f t="shared" si="39"/>
        <v>445.77777777777789</v>
      </c>
      <c r="E358">
        <f t="shared" si="35"/>
        <v>0</v>
      </c>
      <c r="G358">
        <v>308</v>
      </c>
      <c r="H358" s="15">
        <f t="shared" si="40"/>
        <v>3.3332641781285588E-2</v>
      </c>
      <c r="I358">
        <f t="shared" si="41"/>
        <v>114.7726179415865</v>
      </c>
      <c r="J358">
        <f t="shared" si="36"/>
        <v>462.2462715313888</v>
      </c>
      <c r="K358" s="30">
        <f t="shared" si="37"/>
        <v>7122.908598084141</v>
      </c>
    </row>
    <row r="359" spans="1:11" x14ac:dyDescent="0.25">
      <c r="A359" s="29">
        <v>309</v>
      </c>
      <c r="B359" s="99">
        <f t="shared" si="38"/>
        <v>0</v>
      </c>
      <c r="C359" s="75">
        <f t="shared" si="42"/>
        <v>104.50616427295054</v>
      </c>
      <c r="D359" s="100">
        <f t="shared" si="39"/>
        <v>445.77777777777789</v>
      </c>
      <c r="E359">
        <f t="shared" si="35"/>
        <v>0</v>
      </c>
      <c r="G359">
        <v>309</v>
      </c>
      <c r="H359" s="15">
        <f t="shared" si="40"/>
        <v>3.3332641781285588E-2</v>
      </c>
      <c r="I359">
        <f t="shared" si="41"/>
        <v>114.80595058336779</v>
      </c>
      <c r="J359">
        <f t="shared" si="36"/>
        <v>462.28970105842586</v>
      </c>
      <c r="K359" s="30">
        <f t="shared" si="37"/>
        <v>7124.2462829953702</v>
      </c>
    </row>
    <row r="360" spans="1:11" x14ac:dyDescent="0.25">
      <c r="A360" s="29">
        <v>310</v>
      </c>
      <c r="B360" s="99">
        <f t="shared" si="38"/>
        <v>0</v>
      </c>
      <c r="C360" s="75">
        <f t="shared" si="42"/>
        <v>104.50616427295054</v>
      </c>
      <c r="D360" s="100">
        <f t="shared" si="39"/>
        <v>445.77777777777789</v>
      </c>
      <c r="E360">
        <f t="shared" si="35"/>
        <v>0</v>
      </c>
      <c r="G360">
        <v>310</v>
      </c>
      <c r="H360" s="15">
        <f t="shared" si="40"/>
        <v>3.3332641781285588E-2</v>
      </c>
      <c r="I360">
        <f t="shared" si="41"/>
        <v>114.83928322514907</v>
      </c>
      <c r="J360">
        <f t="shared" si="36"/>
        <v>462.3330815582006</v>
      </c>
      <c r="K360" s="30">
        <f t="shared" si="37"/>
        <v>7125.5825839431855</v>
      </c>
    </row>
    <row r="361" spans="1:11" x14ac:dyDescent="0.25">
      <c r="A361" s="29">
        <v>311</v>
      </c>
      <c r="B361" s="99">
        <f t="shared" si="38"/>
        <v>0</v>
      </c>
      <c r="C361" s="75">
        <f t="shared" si="42"/>
        <v>104.50616427295054</v>
      </c>
      <c r="D361" s="100">
        <f t="shared" si="39"/>
        <v>445.77777777777789</v>
      </c>
      <c r="E361">
        <f t="shared" si="35"/>
        <v>0</v>
      </c>
      <c r="G361">
        <v>311</v>
      </c>
      <c r="H361" s="15">
        <f t="shared" si="40"/>
        <v>3.3332641781285588E-2</v>
      </c>
      <c r="I361">
        <f t="shared" si="41"/>
        <v>114.87261586693036</v>
      </c>
      <c r="J361">
        <f t="shared" si="36"/>
        <v>462.3764131350095</v>
      </c>
      <c r="K361" s="30">
        <f t="shared" si="37"/>
        <v>7126.9175037115865</v>
      </c>
    </row>
    <row r="362" spans="1:11" x14ac:dyDescent="0.25">
      <c r="A362" s="29">
        <v>312</v>
      </c>
      <c r="B362" s="99">
        <f t="shared" si="38"/>
        <v>0</v>
      </c>
      <c r="C362" s="75">
        <f t="shared" si="42"/>
        <v>104.50616427295054</v>
      </c>
      <c r="D362" s="100">
        <f t="shared" si="39"/>
        <v>445.77777777777789</v>
      </c>
      <c r="E362">
        <f t="shared" si="35"/>
        <v>0</v>
      </c>
      <c r="G362">
        <v>312</v>
      </c>
      <c r="H362" s="15">
        <f t="shared" si="40"/>
        <v>3.3332641781285588E-2</v>
      </c>
      <c r="I362">
        <f t="shared" si="41"/>
        <v>114.90594850871165</v>
      </c>
      <c r="J362">
        <f t="shared" si="36"/>
        <v>462.41969589273617</v>
      </c>
      <c r="K362" s="30">
        <f t="shared" si="37"/>
        <v>7128.2510450735745</v>
      </c>
    </row>
    <row r="363" spans="1:11" x14ac:dyDescent="0.25">
      <c r="A363" s="29">
        <v>313</v>
      </c>
      <c r="B363" s="99">
        <f t="shared" si="38"/>
        <v>0</v>
      </c>
      <c r="C363" s="75">
        <f t="shared" si="42"/>
        <v>104.50616427295054</v>
      </c>
      <c r="D363" s="100">
        <f t="shared" si="39"/>
        <v>445.77777777777789</v>
      </c>
      <c r="E363">
        <f t="shared" si="35"/>
        <v>0</v>
      </c>
      <c r="G363">
        <v>313</v>
      </c>
      <c r="H363" s="15">
        <f t="shared" si="40"/>
        <v>3.3332641781285588E-2</v>
      </c>
      <c r="I363">
        <f t="shared" si="41"/>
        <v>114.93928115049293</v>
      </c>
      <c r="J363">
        <f t="shared" si="36"/>
        <v>462.46292993485395</v>
      </c>
      <c r="K363" s="30">
        <f t="shared" si="37"/>
        <v>7129.5832107911956</v>
      </c>
    </row>
    <row r="364" spans="1:11" x14ac:dyDescent="0.25">
      <c r="A364" s="29">
        <v>314</v>
      </c>
      <c r="B364" s="99">
        <f t="shared" si="38"/>
        <v>0</v>
      </c>
      <c r="C364" s="75">
        <f t="shared" si="42"/>
        <v>104.50616427295054</v>
      </c>
      <c r="D364" s="100">
        <f t="shared" si="39"/>
        <v>445.77777777777789</v>
      </c>
      <c r="E364">
        <f t="shared" si="35"/>
        <v>0</v>
      </c>
      <c r="G364">
        <v>314</v>
      </c>
      <c r="H364" s="15">
        <f t="shared" si="40"/>
        <v>3.3332641781285588E-2</v>
      </c>
      <c r="I364">
        <f t="shared" si="41"/>
        <v>114.97261379227422</v>
      </c>
      <c r="J364">
        <f t="shared" si="36"/>
        <v>462.50611536442779</v>
      </c>
      <c r="K364" s="30">
        <f t="shared" si="37"/>
        <v>7130.9140036156095</v>
      </c>
    </row>
    <row r="365" spans="1:11" x14ac:dyDescent="0.25">
      <c r="A365" s="29">
        <v>315</v>
      </c>
      <c r="B365" s="99">
        <f t="shared" si="38"/>
        <v>0</v>
      </c>
      <c r="C365" s="75">
        <f t="shared" si="42"/>
        <v>104.50616427295054</v>
      </c>
      <c r="D365" s="100">
        <f t="shared" si="39"/>
        <v>445.77777777777789</v>
      </c>
      <c r="E365">
        <f t="shared" si="35"/>
        <v>0</v>
      </c>
      <c r="G365">
        <v>315</v>
      </c>
      <c r="H365" s="15">
        <f t="shared" si="40"/>
        <v>3.3332641781285588E-2</v>
      </c>
      <c r="I365">
        <f t="shared" si="41"/>
        <v>115.0059464340555</v>
      </c>
      <c r="J365">
        <f t="shared" si="36"/>
        <v>462.54925228411685</v>
      </c>
      <c r="K365" s="30">
        <f t="shared" si="37"/>
        <v>7132.2434262871548</v>
      </c>
    </row>
    <row r="366" spans="1:11" x14ac:dyDescent="0.25">
      <c r="A366" s="29">
        <v>316</v>
      </c>
      <c r="B366" s="99">
        <f t="shared" si="38"/>
        <v>0</v>
      </c>
      <c r="C366" s="75">
        <f t="shared" si="42"/>
        <v>104.50616427295054</v>
      </c>
      <c r="D366" s="100">
        <f t="shared" si="39"/>
        <v>445.77777777777789</v>
      </c>
      <c r="E366">
        <f t="shared" si="35"/>
        <v>0</v>
      </c>
      <c r="G366">
        <v>316</v>
      </c>
      <c r="H366" s="15">
        <f t="shared" si="40"/>
        <v>3.3332641781285588E-2</v>
      </c>
      <c r="I366">
        <f t="shared" si="41"/>
        <v>115.03927907583679</v>
      </c>
      <c r="J366">
        <f t="shared" si="36"/>
        <v>462.59234079617659</v>
      </c>
      <c r="K366" s="30">
        <f t="shared" si="37"/>
        <v>7133.571481535394</v>
      </c>
    </row>
    <row r="367" spans="1:11" x14ac:dyDescent="0.25">
      <c r="A367" s="29">
        <v>317</v>
      </c>
      <c r="B367" s="99">
        <f t="shared" si="38"/>
        <v>0</v>
      </c>
      <c r="C367" s="75">
        <f t="shared" si="42"/>
        <v>104.50616427295054</v>
      </c>
      <c r="D367" s="100">
        <f t="shared" si="39"/>
        <v>445.77777777777789</v>
      </c>
      <c r="E367">
        <f t="shared" si="35"/>
        <v>0</v>
      </c>
      <c r="G367">
        <v>317</v>
      </c>
      <c r="H367" s="15">
        <f t="shared" si="40"/>
        <v>3.3332641781285588E-2</v>
      </c>
      <c r="I367">
        <f t="shared" si="41"/>
        <v>115.07261171761807</v>
      </c>
      <c r="J367">
        <f t="shared" si="36"/>
        <v>462.63538100246103</v>
      </c>
      <c r="K367" s="30">
        <f t="shared" si="37"/>
        <v>7134.8981720791917</v>
      </c>
    </row>
    <row r="368" spans="1:11" x14ac:dyDescent="0.25">
      <c r="A368" s="29">
        <v>318</v>
      </c>
      <c r="B368" s="99">
        <f t="shared" si="38"/>
        <v>0</v>
      </c>
      <c r="C368" s="75">
        <f t="shared" si="42"/>
        <v>104.50616427295054</v>
      </c>
      <c r="D368" s="100">
        <f t="shared" si="39"/>
        <v>445.77777777777789</v>
      </c>
      <c r="E368">
        <f t="shared" si="35"/>
        <v>0</v>
      </c>
      <c r="G368">
        <v>318</v>
      </c>
      <c r="H368" s="15">
        <f t="shared" si="40"/>
        <v>3.3332641781285588E-2</v>
      </c>
      <c r="I368">
        <f t="shared" si="41"/>
        <v>115.10594435939936</v>
      </c>
      <c r="J368">
        <f t="shared" si="36"/>
        <v>462.67837300442477</v>
      </c>
      <c r="K368" s="30">
        <f t="shared" si="37"/>
        <v>7136.223500626751</v>
      </c>
    </row>
    <row r="369" spans="1:11" x14ac:dyDescent="0.25">
      <c r="A369" s="29">
        <v>319</v>
      </c>
      <c r="B369" s="99">
        <f t="shared" si="38"/>
        <v>0</v>
      </c>
      <c r="C369" s="75">
        <f t="shared" si="42"/>
        <v>104.50616427295054</v>
      </c>
      <c r="D369" s="100">
        <f t="shared" si="39"/>
        <v>445.77777777777789</v>
      </c>
      <c r="E369">
        <f t="shared" si="35"/>
        <v>0</v>
      </c>
      <c r="G369">
        <v>319</v>
      </c>
      <c r="H369" s="15">
        <f t="shared" si="40"/>
        <v>3.3332641781285588E-2</v>
      </c>
      <c r="I369">
        <f t="shared" si="41"/>
        <v>115.13927700118064</v>
      </c>
      <c r="J369">
        <f t="shared" si="36"/>
        <v>462.72131690312563</v>
      </c>
      <c r="K369" s="30">
        <f t="shared" si="37"/>
        <v>7137.547469875698</v>
      </c>
    </row>
    <row r="370" spans="1:11" x14ac:dyDescent="0.25">
      <c r="A370" s="29">
        <v>320</v>
      </c>
      <c r="B370" s="99">
        <f t="shared" si="38"/>
        <v>0</v>
      </c>
      <c r="C370" s="75">
        <f t="shared" si="42"/>
        <v>104.50616427295054</v>
      </c>
      <c r="D370" s="100">
        <f t="shared" si="39"/>
        <v>445.77777777777789</v>
      </c>
      <c r="E370">
        <f t="shared" si="35"/>
        <v>0</v>
      </c>
      <c r="G370">
        <v>320</v>
      </c>
      <c r="H370" s="15">
        <f t="shared" si="40"/>
        <v>3.3332641781285588E-2</v>
      </c>
      <c r="I370">
        <f t="shared" si="41"/>
        <v>115.17260964296193</v>
      </c>
      <c r="J370">
        <f t="shared" si="36"/>
        <v>462.7642127992263</v>
      </c>
      <c r="K370" s="30">
        <f t="shared" si="37"/>
        <v>7138.8700825131136</v>
      </c>
    </row>
    <row r="371" spans="1:11" x14ac:dyDescent="0.25">
      <c r="A371" s="29">
        <v>321</v>
      </c>
      <c r="B371" s="99">
        <f t="shared" si="38"/>
        <v>0</v>
      </c>
      <c r="C371" s="75">
        <f t="shared" si="42"/>
        <v>104.50616427295054</v>
      </c>
      <c r="D371" s="100">
        <f t="shared" si="39"/>
        <v>445.77777777777789</v>
      </c>
      <c r="E371">
        <f t="shared" ref="E371:E434" si="43">((D371^2)+(D371*D372)+(D372^2))*B372/3</f>
        <v>0</v>
      </c>
      <c r="G371">
        <v>321</v>
      </c>
      <c r="H371" s="15">
        <f t="shared" si="40"/>
        <v>3.3332641781285588E-2</v>
      </c>
      <c r="I371">
        <f t="shared" si="41"/>
        <v>115.20594228474322</v>
      </c>
      <c r="J371">
        <f t="shared" ref="J371:J434" si="44">IF($G$28&lt;$C$14,0,((($C$11^2)-((I371-$C$13)^2))^0.5)+$C$16)</f>
        <v>462.80706079299688</v>
      </c>
      <c r="K371" s="30">
        <f t="shared" ref="K371:K434" si="45">((J371^2)+(J371*J372)+(J372^2))*H372/3</f>
        <v>7140.1913412156127</v>
      </c>
    </row>
    <row r="372" spans="1:11" x14ac:dyDescent="0.25">
      <c r="A372" s="29">
        <v>322</v>
      </c>
      <c r="B372" s="99">
        <f t="shared" ref="B372:B435" si="46">C372-C371</f>
        <v>0</v>
      </c>
      <c r="C372" s="75">
        <f t="shared" si="42"/>
        <v>104.50616427295054</v>
      </c>
      <c r="D372" s="100">
        <f t="shared" ref="D372:D435" si="47">IF($G$28&lt;$C$14,0,((($C$11^2)-((C372-$C$13)^2))^0.5)+$C$16)</f>
        <v>445.77777777777789</v>
      </c>
      <c r="E372">
        <f t="shared" si="43"/>
        <v>0</v>
      </c>
      <c r="G372">
        <v>322</v>
      </c>
      <c r="H372" s="15">
        <f t="shared" ref="H372:H435" si="48">I372-I371</f>
        <v>3.3332641781285588E-2</v>
      </c>
      <c r="I372">
        <f t="shared" ref="I372:I435" si="49">($G$27-$C$14)/2000+I371</f>
        <v>115.2392749265245</v>
      </c>
      <c r="J372">
        <f t="shared" si="44"/>
        <v>462.84986098431682</v>
      </c>
      <c r="K372" s="30">
        <f t="shared" si="45"/>
        <v>7141.5112486493854</v>
      </c>
    </row>
    <row r="373" spans="1:11" x14ac:dyDescent="0.25">
      <c r="A373" s="29">
        <v>323</v>
      </c>
      <c r="B373" s="99">
        <f t="shared" si="46"/>
        <v>0</v>
      </c>
      <c r="C373" s="75">
        <f t="shared" si="42"/>
        <v>104.50616427295054</v>
      </c>
      <c r="D373" s="100">
        <f t="shared" si="47"/>
        <v>445.77777777777789</v>
      </c>
      <c r="E373">
        <f t="shared" si="43"/>
        <v>0</v>
      </c>
      <c r="G373">
        <v>323</v>
      </c>
      <c r="H373" s="15">
        <f t="shared" si="48"/>
        <v>3.3332641781285588E-2</v>
      </c>
      <c r="I373">
        <f t="shared" si="49"/>
        <v>115.27260756830579</v>
      </c>
      <c r="J373">
        <f t="shared" si="44"/>
        <v>462.89261347267717</v>
      </c>
      <c r="K373" s="30">
        <f t="shared" si="45"/>
        <v>7142.829807470268</v>
      </c>
    </row>
    <row r="374" spans="1:11" x14ac:dyDescent="0.25">
      <c r="A374" s="29">
        <v>324</v>
      </c>
      <c r="B374" s="99">
        <f t="shared" si="46"/>
        <v>0</v>
      </c>
      <c r="C374" s="75">
        <f t="shared" si="42"/>
        <v>104.50616427295054</v>
      </c>
      <c r="D374" s="100">
        <f t="shared" si="47"/>
        <v>445.77777777777789</v>
      </c>
      <c r="E374">
        <f t="shared" si="43"/>
        <v>0</v>
      </c>
      <c r="G374">
        <v>324</v>
      </c>
      <c r="H374" s="15">
        <f t="shared" si="48"/>
        <v>3.3332641781285588E-2</v>
      </c>
      <c r="I374">
        <f t="shared" si="49"/>
        <v>115.30594021008707</v>
      </c>
      <c r="J374">
        <f t="shared" si="44"/>
        <v>462.93531835718261</v>
      </c>
      <c r="K374" s="30">
        <f t="shared" si="45"/>
        <v>7144.147020323785</v>
      </c>
    </row>
    <row r="375" spans="1:11" x14ac:dyDescent="0.25">
      <c r="A375" s="29">
        <v>325</v>
      </c>
      <c r="B375" s="99">
        <f t="shared" si="46"/>
        <v>0</v>
      </c>
      <c r="C375" s="75">
        <f t="shared" si="42"/>
        <v>104.50616427295054</v>
      </c>
      <c r="D375" s="100">
        <f t="shared" si="47"/>
        <v>445.77777777777789</v>
      </c>
      <c r="E375">
        <f t="shared" si="43"/>
        <v>0</v>
      </c>
      <c r="G375">
        <v>325</v>
      </c>
      <c r="H375" s="15">
        <f t="shared" si="48"/>
        <v>3.3332641781285588E-2</v>
      </c>
      <c r="I375">
        <f t="shared" si="49"/>
        <v>115.33927285186836</v>
      </c>
      <c r="J375">
        <f t="shared" si="44"/>
        <v>462.97797573655367</v>
      </c>
      <c r="K375" s="30">
        <f t="shared" si="45"/>
        <v>7145.4628898452174</v>
      </c>
    </row>
    <row r="376" spans="1:11" x14ac:dyDescent="0.25">
      <c r="A376" s="29">
        <v>326</v>
      </c>
      <c r="B376" s="99">
        <f t="shared" si="46"/>
        <v>0</v>
      </c>
      <c r="C376" s="75">
        <f t="shared" si="42"/>
        <v>104.50616427295054</v>
      </c>
      <c r="D376" s="100">
        <f t="shared" si="47"/>
        <v>445.77777777777789</v>
      </c>
      <c r="E376">
        <f t="shared" si="43"/>
        <v>0</v>
      </c>
      <c r="G376">
        <v>326</v>
      </c>
      <c r="H376" s="15">
        <f t="shared" si="48"/>
        <v>3.3332641781285588E-2</v>
      </c>
      <c r="I376">
        <f t="shared" si="49"/>
        <v>115.37260549364964</v>
      </c>
      <c r="J376">
        <f t="shared" si="44"/>
        <v>463.02058570912868</v>
      </c>
      <c r="K376" s="30">
        <f t="shared" si="45"/>
        <v>7146.7774186596507</v>
      </c>
    </row>
    <row r="377" spans="1:11" x14ac:dyDescent="0.25">
      <c r="A377" s="29">
        <v>327</v>
      </c>
      <c r="B377" s="99">
        <f t="shared" si="46"/>
        <v>0</v>
      </c>
      <c r="C377" s="75">
        <f t="shared" si="42"/>
        <v>104.50616427295054</v>
      </c>
      <c r="D377" s="100">
        <f t="shared" si="47"/>
        <v>445.77777777777789</v>
      </c>
      <c r="E377">
        <f t="shared" si="43"/>
        <v>0</v>
      </c>
      <c r="G377">
        <v>327</v>
      </c>
      <c r="H377" s="15">
        <f t="shared" si="48"/>
        <v>3.3332641781285588E-2</v>
      </c>
      <c r="I377">
        <f t="shared" si="49"/>
        <v>115.40593813543093</v>
      </c>
      <c r="J377">
        <f t="shared" si="44"/>
        <v>463.0631483728659</v>
      </c>
      <c r="K377" s="30">
        <f t="shared" si="45"/>
        <v>7148.0906093820313</v>
      </c>
    </row>
    <row r="378" spans="1:11" x14ac:dyDescent="0.25">
      <c r="A378" s="29">
        <v>328</v>
      </c>
      <c r="B378" s="99">
        <f t="shared" si="46"/>
        <v>0</v>
      </c>
      <c r="C378" s="75">
        <f t="shared" si="42"/>
        <v>104.50616427295054</v>
      </c>
      <c r="D378" s="100">
        <f t="shared" si="47"/>
        <v>445.77777777777789</v>
      </c>
      <c r="E378">
        <f t="shared" si="43"/>
        <v>0</v>
      </c>
      <c r="G378">
        <v>328</v>
      </c>
      <c r="H378" s="15">
        <f t="shared" si="48"/>
        <v>3.3332641781285588E-2</v>
      </c>
      <c r="I378">
        <f t="shared" si="49"/>
        <v>115.43927077721222</v>
      </c>
      <c r="J378">
        <f t="shared" si="44"/>
        <v>463.10566382534557</v>
      </c>
      <c r="K378" s="30">
        <f t="shared" si="45"/>
        <v>7149.4024646172247</v>
      </c>
    </row>
    <row r="379" spans="1:11" x14ac:dyDescent="0.25">
      <c r="A379" s="29">
        <v>329</v>
      </c>
      <c r="B379" s="99">
        <f t="shared" si="46"/>
        <v>0</v>
      </c>
      <c r="C379" s="75">
        <f t="shared" si="42"/>
        <v>104.50616427295054</v>
      </c>
      <c r="D379" s="100">
        <f t="shared" si="47"/>
        <v>445.77777777777789</v>
      </c>
      <c r="E379">
        <f t="shared" si="43"/>
        <v>0</v>
      </c>
      <c r="G379">
        <v>329</v>
      </c>
      <c r="H379" s="15">
        <f t="shared" si="48"/>
        <v>3.3332641781285588E-2</v>
      </c>
      <c r="I379">
        <f t="shared" si="49"/>
        <v>115.4726034189935</v>
      </c>
      <c r="J379">
        <f t="shared" si="44"/>
        <v>463.148132163772</v>
      </c>
      <c r="K379" s="30">
        <f t="shared" si="45"/>
        <v>7150.7129869600685</v>
      </c>
    </row>
    <row r="380" spans="1:11" x14ac:dyDescent="0.25">
      <c r="A380" s="29">
        <v>330</v>
      </c>
      <c r="B380" s="99">
        <f t="shared" si="46"/>
        <v>0</v>
      </c>
      <c r="C380" s="75">
        <f t="shared" si="42"/>
        <v>104.50616427295054</v>
      </c>
      <c r="D380" s="100">
        <f t="shared" si="47"/>
        <v>445.77777777777789</v>
      </c>
      <c r="E380">
        <f t="shared" si="43"/>
        <v>0</v>
      </c>
      <c r="G380">
        <v>330</v>
      </c>
      <c r="H380" s="15">
        <f t="shared" si="48"/>
        <v>3.3332641781285588E-2</v>
      </c>
      <c r="I380">
        <f t="shared" si="49"/>
        <v>115.50593606077479</v>
      </c>
      <c r="J380">
        <f t="shared" si="44"/>
        <v>463.19055348497551</v>
      </c>
      <c r="K380" s="30">
        <f t="shared" si="45"/>
        <v>7152.022178995423</v>
      </c>
    </row>
    <row r="381" spans="1:11" x14ac:dyDescent="0.25">
      <c r="A381" s="29">
        <v>331</v>
      </c>
      <c r="B381" s="99">
        <f t="shared" si="46"/>
        <v>0</v>
      </c>
      <c r="C381" s="75">
        <f t="shared" si="42"/>
        <v>104.50616427295054</v>
      </c>
      <c r="D381" s="100">
        <f t="shared" si="47"/>
        <v>445.77777777777789</v>
      </c>
      <c r="E381">
        <f t="shared" si="43"/>
        <v>0</v>
      </c>
      <c r="G381">
        <v>331</v>
      </c>
      <c r="H381" s="15">
        <f t="shared" si="48"/>
        <v>3.3332641781285588E-2</v>
      </c>
      <c r="I381">
        <f t="shared" si="49"/>
        <v>115.53926870255607</v>
      </c>
      <c r="J381">
        <f t="shared" si="44"/>
        <v>463.23292788541454</v>
      </c>
      <c r="K381" s="30">
        <f t="shared" si="45"/>
        <v>7153.3300432982296</v>
      </c>
    </row>
    <row r="382" spans="1:11" x14ac:dyDescent="0.25">
      <c r="A382" s="29">
        <v>332</v>
      </c>
      <c r="B382" s="99">
        <f t="shared" si="46"/>
        <v>0</v>
      </c>
      <c r="C382" s="75">
        <f t="shared" si="42"/>
        <v>104.50616427295054</v>
      </c>
      <c r="D382" s="100">
        <f t="shared" si="47"/>
        <v>445.77777777777789</v>
      </c>
      <c r="E382">
        <f t="shared" si="43"/>
        <v>0</v>
      </c>
      <c r="G382">
        <v>332</v>
      </c>
      <c r="H382" s="15">
        <f t="shared" si="48"/>
        <v>3.3332641781285588E-2</v>
      </c>
      <c r="I382">
        <f t="shared" si="49"/>
        <v>115.57260134433736</v>
      </c>
      <c r="J382">
        <f t="shared" si="44"/>
        <v>463.27525546117755</v>
      </c>
      <c r="K382" s="30">
        <f t="shared" si="45"/>
        <v>7154.6365824335617</v>
      </c>
    </row>
    <row r="383" spans="1:11" x14ac:dyDescent="0.25">
      <c r="A383" s="29">
        <v>333</v>
      </c>
      <c r="B383" s="99">
        <f t="shared" si="46"/>
        <v>0</v>
      </c>
      <c r="C383" s="75">
        <f t="shared" si="42"/>
        <v>104.50616427295054</v>
      </c>
      <c r="D383" s="100">
        <f t="shared" si="47"/>
        <v>445.77777777777789</v>
      </c>
      <c r="E383">
        <f t="shared" si="43"/>
        <v>0</v>
      </c>
      <c r="G383">
        <v>333</v>
      </c>
      <c r="H383" s="15">
        <f t="shared" si="48"/>
        <v>3.3332641781285588E-2</v>
      </c>
      <c r="I383">
        <f t="shared" si="49"/>
        <v>115.60593398611864</v>
      </c>
      <c r="J383">
        <f t="shared" si="44"/>
        <v>463.31753630798511</v>
      </c>
      <c r="K383" s="30">
        <f t="shared" si="45"/>
        <v>7155.9417989566782</v>
      </c>
    </row>
    <row r="384" spans="1:11" x14ac:dyDescent="0.25">
      <c r="A384" s="29">
        <v>334</v>
      </c>
      <c r="B384" s="99">
        <f t="shared" si="46"/>
        <v>0</v>
      </c>
      <c r="C384" s="75">
        <f t="shared" si="42"/>
        <v>104.50616427295054</v>
      </c>
      <c r="D384" s="100">
        <f t="shared" si="47"/>
        <v>445.77777777777789</v>
      </c>
      <c r="E384">
        <f t="shared" si="43"/>
        <v>0</v>
      </c>
      <c r="G384">
        <v>334</v>
      </c>
      <c r="H384" s="15">
        <f t="shared" si="48"/>
        <v>3.3332641781285588E-2</v>
      </c>
      <c r="I384">
        <f t="shared" si="49"/>
        <v>115.63926662789993</v>
      </c>
      <c r="J384">
        <f t="shared" si="44"/>
        <v>463.35977052119182</v>
      </c>
      <c r="K384" s="30">
        <f t="shared" si="45"/>
        <v>7157.2456954130766</v>
      </c>
    </row>
    <row r="385" spans="1:11" x14ac:dyDescent="0.25">
      <c r="A385" s="29">
        <v>335</v>
      </c>
      <c r="B385" s="99">
        <f t="shared" si="46"/>
        <v>0</v>
      </c>
      <c r="C385" s="75">
        <f t="shared" si="42"/>
        <v>104.50616427295054</v>
      </c>
      <c r="D385" s="100">
        <f t="shared" si="47"/>
        <v>445.77777777777789</v>
      </c>
      <c r="E385">
        <f t="shared" si="43"/>
        <v>0</v>
      </c>
      <c r="G385">
        <v>335</v>
      </c>
      <c r="H385" s="15">
        <f t="shared" si="48"/>
        <v>3.3332641781285588E-2</v>
      </c>
      <c r="I385">
        <f t="shared" si="49"/>
        <v>115.67259926968121</v>
      </c>
      <c r="J385">
        <f t="shared" si="44"/>
        <v>463.40195819578832</v>
      </c>
      <c r="K385" s="30">
        <f t="shared" si="45"/>
        <v>7158.5482743385437</v>
      </c>
    </row>
    <row r="386" spans="1:11" x14ac:dyDescent="0.25">
      <c r="A386" s="29">
        <v>336</v>
      </c>
      <c r="B386" s="99">
        <f t="shared" si="46"/>
        <v>0</v>
      </c>
      <c r="C386" s="75">
        <f t="shared" si="42"/>
        <v>104.50616427295054</v>
      </c>
      <c r="D386" s="100">
        <f t="shared" si="47"/>
        <v>445.77777777777789</v>
      </c>
      <c r="E386">
        <f t="shared" si="43"/>
        <v>0</v>
      </c>
      <c r="G386">
        <v>336</v>
      </c>
      <c r="H386" s="15">
        <f t="shared" si="48"/>
        <v>3.3332641781285588E-2</v>
      </c>
      <c r="I386">
        <f t="shared" si="49"/>
        <v>115.7059319114625</v>
      </c>
      <c r="J386">
        <f t="shared" si="44"/>
        <v>463.444099426403</v>
      </c>
      <c r="K386" s="30">
        <f t="shared" si="45"/>
        <v>7159.8495382592082</v>
      </c>
    </row>
    <row r="387" spans="1:11" x14ac:dyDescent="0.25">
      <c r="A387" s="29">
        <v>337</v>
      </c>
      <c r="B387" s="99">
        <f t="shared" si="46"/>
        <v>0</v>
      </c>
      <c r="C387" s="75">
        <f t="shared" si="42"/>
        <v>104.50616427295054</v>
      </c>
      <c r="D387" s="100">
        <f t="shared" si="47"/>
        <v>445.77777777777789</v>
      </c>
      <c r="E387">
        <f t="shared" si="43"/>
        <v>0</v>
      </c>
      <c r="G387">
        <v>337</v>
      </c>
      <c r="H387" s="15">
        <f t="shared" si="48"/>
        <v>3.3332641781285588E-2</v>
      </c>
      <c r="I387">
        <f t="shared" si="49"/>
        <v>115.73926455324379</v>
      </c>
      <c r="J387">
        <f t="shared" si="44"/>
        <v>463.48619430730434</v>
      </c>
      <c r="K387" s="30">
        <f t="shared" si="45"/>
        <v>7161.1494896915947</v>
      </c>
    </row>
    <row r="388" spans="1:11" x14ac:dyDescent="0.25">
      <c r="A388" s="29">
        <v>338</v>
      </c>
      <c r="B388" s="99">
        <f t="shared" si="46"/>
        <v>0</v>
      </c>
      <c r="C388" s="75">
        <f t="shared" si="42"/>
        <v>104.50616427295054</v>
      </c>
      <c r="D388" s="100">
        <f t="shared" si="47"/>
        <v>445.77777777777789</v>
      </c>
      <c r="E388">
        <f t="shared" si="43"/>
        <v>0</v>
      </c>
      <c r="G388">
        <v>338</v>
      </c>
      <c r="H388" s="15">
        <f t="shared" si="48"/>
        <v>3.3332641781285588E-2</v>
      </c>
      <c r="I388">
        <f t="shared" si="49"/>
        <v>115.77259719502507</v>
      </c>
      <c r="J388">
        <f t="shared" si="44"/>
        <v>463.52824293240258</v>
      </c>
      <c r="K388" s="30">
        <f t="shared" si="45"/>
        <v>7162.4481311426707</v>
      </c>
    </row>
    <row r="389" spans="1:11" x14ac:dyDescent="0.25">
      <c r="A389" s="29">
        <v>339</v>
      </c>
      <c r="B389" s="99">
        <f t="shared" si="46"/>
        <v>0</v>
      </c>
      <c r="C389" s="75">
        <f t="shared" si="42"/>
        <v>104.50616427295054</v>
      </c>
      <c r="D389" s="100">
        <f t="shared" si="47"/>
        <v>445.77777777777789</v>
      </c>
      <c r="E389">
        <f t="shared" si="43"/>
        <v>0</v>
      </c>
      <c r="G389">
        <v>339</v>
      </c>
      <c r="H389" s="15">
        <f t="shared" si="48"/>
        <v>3.3332641781285588E-2</v>
      </c>
      <c r="I389">
        <f t="shared" si="49"/>
        <v>115.80592983680636</v>
      </c>
      <c r="J389">
        <f t="shared" si="44"/>
        <v>463.5702453952515</v>
      </c>
      <c r="K389" s="30">
        <f t="shared" si="45"/>
        <v>7163.7454651098969</v>
      </c>
    </row>
    <row r="390" spans="1:11" x14ac:dyDescent="0.25">
      <c r="A390" s="29">
        <v>340</v>
      </c>
      <c r="B390" s="99">
        <f t="shared" si="46"/>
        <v>0</v>
      </c>
      <c r="C390" s="75">
        <f t="shared" si="42"/>
        <v>104.50616427295054</v>
      </c>
      <c r="D390" s="100">
        <f t="shared" si="47"/>
        <v>445.77777777777789</v>
      </c>
      <c r="E390">
        <f t="shared" si="43"/>
        <v>0</v>
      </c>
      <c r="G390">
        <v>340</v>
      </c>
      <c r="H390" s="15">
        <f t="shared" si="48"/>
        <v>3.3332641781285588E-2</v>
      </c>
      <c r="I390">
        <f t="shared" si="49"/>
        <v>115.83926247858764</v>
      </c>
      <c r="J390">
        <f t="shared" si="44"/>
        <v>463.61220178905063</v>
      </c>
      <c r="K390" s="30">
        <f t="shared" si="45"/>
        <v>7165.0414940812871</v>
      </c>
    </row>
    <row r="391" spans="1:11" x14ac:dyDescent="0.25">
      <c r="A391" s="29">
        <v>341</v>
      </c>
      <c r="B391" s="99">
        <f t="shared" si="46"/>
        <v>0</v>
      </c>
      <c r="C391" s="75">
        <f t="shared" si="42"/>
        <v>104.50616427295054</v>
      </c>
      <c r="D391" s="100">
        <f t="shared" si="47"/>
        <v>445.77777777777789</v>
      </c>
      <c r="E391">
        <f t="shared" si="43"/>
        <v>0</v>
      </c>
      <c r="G391">
        <v>341</v>
      </c>
      <c r="H391" s="15">
        <f t="shared" si="48"/>
        <v>3.3332641781285588E-2</v>
      </c>
      <c r="I391">
        <f t="shared" si="49"/>
        <v>115.87259512036893</v>
      </c>
      <c r="J391">
        <f t="shared" si="44"/>
        <v>463.65411220664691</v>
      </c>
      <c r="K391" s="30">
        <f t="shared" si="45"/>
        <v>7166.3362205354433</v>
      </c>
    </row>
    <row r="392" spans="1:11" x14ac:dyDescent="0.25">
      <c r="A392" s="29">
        <v>342</v>
      </c>
      <c r="B392" s="99">
        <f t="shared" si="46"/>
        <v>0</v>
      </c>
      <c r="C392" s="75">
        <f t="shared" si="42"/>
        <v>104.50616427295054</v>
      </c>
      <c r="D392" s="100">
        <f t="shared" si="47"/>
        <v>445.77777777777789</v>
      </c>
      <c r="E392">
        <f t="shared" si="43"/>
        <v>0</v>
      </c>
      <c r="G392">
        <v>342</v>
      </c>
      <c r="H392" s="15">
        <f t="shared" si="48"/>
        <v>3.3332641781285588E-2</v>
      </c>
      <c r="I392">
        <f t="shared" si="49"/>
        <v>115.90592776215021</v>
      </c>
      <c r="J392">
        <f t="shared" si="44"/>
        <v>463.69597674053659</v>
      </c>
      <c r="K392" s="30">
        <f t="shared" si="45"/>
        <v>7167.6296469416202</v>
      </c>
    </row>
    <row r="393" spans="1:11" x14ac:dyDescent="0.25">
      <c r="A393" s="29">
        <v>343</v>
      </c>
      <c r="B393" s="99">
        <f t="shared" si="46"/>
        <v>0</v>
      </c>
      <c r="C393" s="75">
        <f t="shared" si="42"/>
        <v>104.50616427295054</v>
      </c>
      <c r="D393" s="100">
        <f t="shared" si="47"/>
        <v>445.77777777777789</v>
      </c>
      <c r="E393">
        <f t="shared" si="43"/>
        <v>0</v>
      </c>
      <c r="G393">
        <v>343</v>
      </c>
      <c r="H393" s="15">
        <f t="shared" si="48"/>
        <v>3.3332641781285588E-2</v>
      </c>
      <c r="I393">
        <f t="shared" si="49"/>
        <v>115.9392604039315</v>
      </c>
      <c r="J393">
        <f t="shared" si="44"/>
        <v>463.73779548286723</v>
      </c>
      <c r="K393" s="30">
        <f t="shared" si="45"/>
        <v>7168.9217757597626</v>
      </c>
    </row>
    <row r="394" spans="1:11" x14ac:dyDescent="0.25">
      <c r="A394" s="29">
        <v>344</v>
      </c>
      <c r="B394" s="99">
        <f t="shared" si="46"/>
        <v>0</v>
      </c>
      <c r="C394" s="75">
        <f t="shared" si="42"/>
        <v>104.50616427295054</v>
      </c>
      <c r="D394" s="100">
        <f t="shared" si="47"/>
        <v>445.77777777777789</v>
      </c>
      <c r="E394">
        <f t="shared" si="43"/>
        <v>0</v>
      </c>
      <c r="G394">
        <v>344</v>
      </c>
      <c r="H394" s="15">
        <f t="shared" si="48"/>
        <v>3.3332641781285588E-2</v>
      </c>
      <c r="I394">
        <f t="shared" si="49"/>
        <v>115.97259304571278</v>
      </c>
      <c r="J394">
        <f t="shared" si="44"/>
        <v>463.77956852543923</v>
      </c>
      <c r="K394" s="30">
        <f t="shared" si="45"/>
        <v>7170.2126094405612</v>
      </c>
    </row>
    <row r="395" spans="1:11" x14ac:dyDescent="0.25">
      <c r="A395" s="29">
        <v>345</v>
      </c>
      <c r="B395" s="99">
        <f t="shared" si="46"/>
        <v>0</v>
      </c>
      <c r="C395" s="75">
        <f t="shared" si="42"/>
        <v>104.50616427295054</v>
      </c>
      <c r="D395" s="100">
        <f t="shared" si="47"/>
        <v>445.77777777777789</v>
      </c>
      <c r="E395">
        <f t="shared" si="43"/>
        <v>0</v>
      </c>
      <c r="G395">
        <v>345</v>
      </c>
      <c r="H395" s="15">
        <f t="shared" si="48"/>
        <v>3.3332641781285588E-2</v>
      </c>
      <c r="I395">
        <f t="shared" si="49"/>
        <v>116.00592568749407</v>
      </c>
      <c r="J395">
        <f t="shared" si="44"/>
        <v>463.82129595970804</v>
      </c>
      <c r="K395" s="30">
        <f t="shared" si="45"/>
        <v>7171.5021504255046</v>
      </c>
    </row>
    <row r="396" spans="1:11" x14ac:dyDescent="0.25">
      <c r="A396" s="29">
        <v>346</v>
      </c>
      <c r="B396" s="99">
        <f t="shared" si="46"/>
        <v>0</v>
      </c>
      <c r="C396" s="75">
        <f t="shared" si="42"/>
        <v>104.50616427295054</v>
      </c>
      <c r="D396" s="100">
        <f t="shared" si="47"/>
        <v>445.77777777777789</v>
      </c>
      <c r="E396">
        <f t="shared" si="43"/>
        <v>0</v>
      </c>
      <c r="G396">
        <v>346</v>
      </c>
      <c r="H396" s="15">
        <f t="shared" si="48"/>
        <v>3.3332641781285588E-2</v>
      </c>
      <c r="I396">
        <f t="shared" si="49"/>
        <v>116.03925832927536</v>
      </c>
      <c r="J396">
        <f t="shared" si="44"/>
        <v>463.86297787678569</v>
      </c>
      <c r="K396" s="30">
        <f t="shared" si="45"/>
        <v>7172.7904011469145</v>
      </c>
    </row>
    <row r="397" spans="1:11" x14ac:dyDescent="0.25">
      <c r="A397" s="29">
        <v>347</v>
      </c>
      <c r="B397" s="99">
        <f t="shared" si="46"/>
        <v>0</v>
      </c>
      <c r="C397" s="75">
        <f t="shared" si="42"/>
        <v>104.50616427295054</v>
      </c>
      <c r="D397" s="100">
        <f t="shared" si="47"/>
        <v>445.77777777777789</v>
      </c>
      <c r="E397">
        <f t="shared" si="43"/>
        <v>0</v>
      </c>
      <c r="G397">
        <v>347</v>
      </c>
      <c r="H397" s="15">
        <f t="shared" si="48"/>
        <v>3.3332641781285588E-2</v>
      </c>
      <c r="I397">
        <f t="shared" si="49"/>
        <v>116.07259097105664</v>
      </c>
      <c r="J397">
        <f t="shared" si="44"/>
        <v>463.90461436744272</v>
      </c>
      <c r="K397" s="30">
        <f t="shared" si="45"/>
        <v>7174.0773640280095</v>
      </c>
    </row>
    <row r="398" spans="1:11" x14ac:dyDescent="0.25">
      <c r="A398" s="29">
        <v>348</v>
      </c>
      <c r="B398" s="99">
        <f t="shared" si="46"/>
        <v>0</v>
      </c>
      <c r="C398" s="75">
        <f t="shared" si="42"/>
        <v>104.50616427295054</v>
      </c>
      <c r="D398" s="100">
        <f t="shared" si="47"/>
        <v>445.77777777777789</v>
      </c>
      <c r="E398">
        <f t="shared" si="43"/>
        <v>0</v>
      </c>
      <c r="G398">
        <v>348</v>
      </c>
      <c r="H398" s="15">
        <f t="shared" si="48"/>
        <v>3.3332641781285588E-2</v>
      </c>
      <c r="I398">
        <f t="shared" si="49"/>
        <v>116.10592361283793</v>
      </c>
      <c r="J398">
        <f t="shared" si="44"/>
        <v>463.94620552210989</v>
      </c>
      <c r="K398" s="30">
        <f t="shared" si="45"/>
        <v>7175.3630414829422</v>
      </c>
    </row>
    <row r="399" spans="1:11" x14ac:dyDescent="0.25">
      <c r="A399" s="29">
        <v>349</v>
      </c>
      <c r="B399" s="99">
        <f t="shared" si="46"/>
        <v>0</v>
      </c>
      <c r="C399" s="75">
        <f t="shared" si="42"/>
        <v>104.50616427295054</v>
      </c>
      <c r="D399" s="100">
        <f t="shared" si="47"/>
        <v>445.77777777777789</v>
      </c>
      <c r="E399">
        <f t="shared" si="43"/>
        <v>0</v>
      </c>
      <c r="G399">
        <v>349</v>
      </c>
      <c r="H399" s="15">
        <f t="shared" si="48"/>
        <v>3.3332641781285588E-2</v>
      </c>
      <c r="I399">
        <f t="shared" si="49"/>
        <v>116.13925625461921</v>
      </c>
      <c r="J399">
        <f t="shared" si="44"/>
        <v>463.98775143088017</v>
      </c>
      <c r="K399" s="30">
        <f t="shared" si="45"/>
        <v>7176.6474359168533</v>
      </c>
    </row>
    <row r="400" spans="1:11" x14ac:dyDescent="0.25">
      <c r="A400" s="29">
        <v>350</v>
      </c>
      <c r="B400" s="99">
        <f t="shared" si="46"/>
        <v>0</v>
      </c>
      <c r="C400" s="75">
        <f t="shared" ref="C400:C463" si="50">($C$37-$C$36)/2000+C399</f>
        <v>104.50616427295054</v>
      </c>
      <c r="D400" s="100">
        <f t="shared" si="47"/>
        <v>445.77777777777789</v>
      </c>
      <c r="E400">
        <f t="shared" si="43"/>
        <v>0</v>
      </c>
      <c r="G400">
        <v>350</v>
      </c>
      <c r="H400" s="15">
        <f t="shared" si="48"/>
        <v>3.3332641781285588E-2</v>
      </c>
      <c r="I400">
        <f t="shared" si="49"/>
        <v>116.1725888964005</v>
      </c>
      <c r="J400">
        <f t="shared" si="44"/>
        <v>464.02925218351015</v>
      </c>
      <c r="K400" s="30">
        <f t="shared" si="45"/>
        <v>7177.9305497259093</v>
      </c>
    </row>
    <row r="401" spans="1:11" x14ac:dyDescent="0.25">
      <c r="A401" s="29">
        <v>351</v>
      </c>
      <c r="B401" s="99">
        <f t="shared" si="46"/>
        <v>0</v>
      </c>
      <c r="C401" s="75">
        <f t="shared" si="50"/>
        <v>104.50616427295054</v>
      </c>
      <c r="D401" s="100">
        <f t="shared" si="47"/>
        <v>445.77777777777789</v>
      </c>
      <c r="E401">
        <f t="shared" si="43"/>
        <v>0</v>
      </c>
      <c r="G401">
        <v>351</v>
      </c>
      <c r="H401" s="15">
        <f t="shared" si="48"/>
        <v>3.3332641781285588E-2</v>
      </c>
      <c r="I401">
        <f t="shared" si="49"/>
        <v>116.20592153818178</v>
      </c>
      <c r="J401">
        <f t="shared" si="44"/>
        <v>464.07070786942217</v>
      </c>
      <c r="K401" s="30">
        <f t="shared" si="45"/>
        <v>7179.2123852973637</v>
      </c>
    </row>
    <row r="402" spans="1:11" x14ac:dyDescent="0.25">
      <c r="A402" s="29">
        <v>352</v>
      </c>
      <c r="B402" s="99">
        <f t="shared" si="46"/>
        <v>0</v>
      </c>
      <c r="C402" s="75">
        <f t="shared" si="50"/>
        <v>104.50616427295054</v>
      </c>
      <c r="D402" s="100">
        <f t="shared" si="47"/>
        <v>445.77777777777789</v>
      </c>
      <c r="E402">
        <f t="shared" si="43"/>
        <v>0</v>
      </c>
      <c r="G402">
        <v>352</v>
      </c>
      <c r="H402" s="15">
        <f t="shared" si="48"/>
        <v>3.3332641781285588E-2</v>
      </c>
      <c r="I402">
        <f t="shared" si="49"/>
        <v>116.23925417996307</v>
      </c>
      <c r="J402">
        <f t="shared" si="44"/>
        <v>464.11211857770576</v>
      </c>
      <c r="K402" s="30">
        <f t="shared" si="45"/>
        <v>7180.4929450095879</v>
      </c>
    </row>
    <row r="403" spans="1:11" x14ac:dyDescent="0.25">
      <c r="A403" s="29">
        <v>353</v>
      </c>
      <c r="B403" s="99">
        <f t="shared" si="46"/>
        <v>0</v>
      </c>
      <c r="C403" s="75">
        <f t="shared" si="50"/>
        <v>104.50616427295054</v>
      </c>
      <c r="D403" s="100">
        <f t="shared" si="47"/>
        <v>445.77777777777789</v>
      </c>
      <c r="E403">
        <f t="shared" si="43"/>
        <v>0</v>
      </c>
      <c r="G403">
        <v>353</v>
      </c>
      <c r="H403" s="15">
        <f t="shared" si="48"/>
        <v>3.3332641781285588E-2</v>
      </c>
      <c r="I403">
        <f t="shared" si="49"/>
        <v>116.27258682174435</v>
      </c>
      <c r="J403">
        <f t="shared" si="44"/>
        <v>464.1534843971196</v>
      </c>
      <c r="K403" s="30">
        <f t="shared" si="45"/>
        <v>7181.7722312321303</v>
      </c>
    </row>
    <row r="404" spans="1:11" x14ac:dyDescent="0.25">
      <c r="A404" s="29">
        <v>354</v>
      </c>
      <c r="B404" s="99">
        <f t="shared" si="46"/>
        <v>0</v>
      </c>
      <c r="C404" s="75">
        <f t="shared" si="50"/>
        <v>104.50616427295054</v>
      </c>
      <c r="D404" s="100">
        <f t="shared" si="47"/>
        <v>445.77777777777789</v>
      </c>
      <c r="E404">
        <f t="shared" si="43"/>
        <v>0</v>
      </c>
      <c r="G404">
        <v>354</v>
      </c>
      <c r="H404" s="15">
        <f t="shared" si="48"/>
        <v>3.3332641781285588E-2</v>
      </c>
      <c r="I404">
        <f t="shared" si="49"/>
        <v>116.30591946352564</v>
      </c>
      <c r="J404">
        <f t="shared" si="44"/>
        <v>464.19480541609312</v>
      </c>
      <c r="K404" s="30">
        <f t="shared" si="45"/>
        <v>7183.0502463257517</v>
      </c>
    </row>
    <row r="405" spans="1:11" x14ac:dyDescent="0.25">
      <c r="A405" s="29">
        <v>355</v>
      </c>
      <c r="B405" s="99">
        <f t="shared" si="46"/>
        <v>0</v>
      </c>
      <c r="C405" s="75">
        <f t="shared" si="50"/>
        <v>104.50616427295054</v>
      </c>
      <c r="D405" s="100">
        <f t="shared" si="47"/>
        <v>445.77777777777789</v>
      </c>
      <c r="E405">
        <f t="shared" si="43"/>
        <v>0</v>
      </c>
      <c r="G405">
        <v>355</v>
      </c>
      <c r="H405" s="15">
        <f t="shared" si="48"/>
        <v>3.3332641781285588E-2</v>
      </c>
      <c r="I405">
        <f t="shared" si="49"/>
        <v>116.33925210530693</v>
      </c>
      <c r="J405">
        <f t="shared" si="44"/>
        <v>464.23608172272827</v>
      </c>
      <c r="K405" s="30">
        <f t="shared" si="45"/>
        <v>7184.3269926424837</v>
      </c>
    </row>
    <row r="406" spans="1:11" x14ac:dyDescent="0.25">
      <c r="A406" s="29">
        <v>356</v>
      </c>
      <c r="B406" s="99">
        <f t="shared" si="46"/>
        <v>0</v>
      </c>
      <c r="C406" s="75">
        <f t="shared" si="50"/>
        <v>104.50616427295054</v>
      </c>
      <c r="D406" s="100">
        <f t="shared" si="47"/>
        <v>445.77777777777789</v>
      </c>
      <c r="E406">
        <f t="shared" si="43"/>
        <v>0</v>
      </c>
      <c r="G406">
        <v>356</v>
      </c>
      <c r="H406" s="15">
        <f t="shared" si="48"/>
        <v>3.3332641781285588E-2</v>
      </c>
      <c r="I406">
        <f t="shared" si="49"/>
        <v>116.37258474708821</v>
      </c>
      <c r="J406">
        <f t="shared" si="44"/>
        <v>464.27731340480108</v>
      </c>
      <c r="K406" s="30">
        <f t="shared" si="45"/>
        <v>7185.6024725256575</v>
      </c>
    </row>
    <row r="407" spans="1:11" x14ac:dyDescent="0.25">
      <c r="A407" s="29">
        <v>357</v>
      </c>
      <c r="B407" s="99">
        <f t="shared" si="46"/>
        <v>0</v>
      </c>
      <c r="C407" s="75">
        <f t="shared" si="50"/>
        <v>104.50616427295054</v>
      </c>
      <c r="D407" s="100">
        <f t="shared" si="47"/>
        <v>445.77777777777789</v>
      </c>
      <c r="E407">
        <f t="shared" si="43"/>
        <v>0</v>
      </c>
      <c r="G407">
        <v>357</v>
      </c>
      <c r="H407" s="15">
        <f t="shared" si="48"/>
        <v>3.3332641781285588E-2</v>
      </c>
      <c r="I407">
        <f t="shared" si="49"/>
        <v>116.4059173888695</v>
      </c>
      <c r="J407">
        <f t="shared" si="44"/>
        <v>464.3185005497636</v>
      </c>
      <c r="K407" s="30">
        <f t="shared" si="45"/>
        <v>7186.8766883099661</v>
      </c>
    </row>
    <row r="408" spans="1:11" x14ac:dyDescent="0.25">
      <c r="A408" s="29">
        <v>358</v>
      </c>
      <c r="B408" s="99">
        <f t="shared" si="46"/>
        <v>0</v>
      </c>
      <c r="C408" s="75">
        <f t="shared" si="50"/>
        <v>104.50616427295054</v>
      </c>
      <c r="D408" s="100">
        <f t="shared" si="47"/>
        <v>445.77777777777789</v>
      </c>
      <c r="E408">
        <f t="shared" si="43"/>
        <v>0</v>
      </c>
      <c r="G408">
        <v>358</v>
      </c>
      <c r="H408" s="15">
        <f t="shared" si="48"/>
        <v>3.3332641781285588E-2</v>
      </c>
      <c r="I408">
        <f t="shared" si="49"/>
        <v>116.43925003065078</v>
      </c>
      <c r="J408">
        <f t="shared" si="44"/>
        <v>464.35964324474526</v>
      </c>
      <c r="K408" s="30">
        <f t="shared" si="45"/>
        <v>7188.1496423214912</v>
      </c>
    </row>
    <row r="409" spans="1:11" x14ac:dyDescent="0.25">
      <c r="A409" s="29">
        <v>359</v>
      </c>
      <c r="B409" s="99">
        <f t="shared" si="46"/>
        <v>0</v>
      </c>
      <c r="C409" s="75">
        <f t="shared" si="50"/>
        <v>104.50616427295054</v>
      </c>
      <c r="D409" s="100">
        <f t="shared" si="47"/>
        <v>445.77777777777789</v>
      </c>
      <c r="E409">
        <f t="shared" si="43"/>
        <v>0</v>
      </c>
      <c r="G409">
        <v>359</v>
      </c>
      <c r="H409" s="15">
        <f t="shared" si="48"/>
        <v>3.3332641781285588E-2</v>
      </c>
      <c r="I409">
        <f t="shared" si="49"/>
        <v>116.47258267243207</v>
      </c>
      <c r="J409">
        <f t="shared" si="44"/>
        <v>464.40074157655488</v>
      </c>
      <c r="K409" s="30">
        <f t="shared" si="45"/>
        <v>7189.421336877761</v>
      </c>
    </row>
    <row r="410" spans="1:11" x14ac:dyDescent="0.25">
      <c r="A410" s="29">
        <v>360</v>
      </c>
      <c r="B410" s="99">
        <f t="shared" si="46"/>
        <v>0</v>
      </c>
      <c r="C410" s="75">
        <f t="shared" si="50"/>
        <v>104.50616427295054</v>
      </c>
      <c r="D410" s="100">
        <f t="shared" si="47"/>
        <v>445.77777777777789</v>
      </c>
      <c r="E410">
        <f t="shared" si="43"/>
        <v>0</v>
      </c>
      <c r="G410">
        <v>360</v>
      </c>
      <c r="H410" s="15">
        <f t="shared" si="48"/>
        <v>3.3332641781285588E-2</v>
      </c>
      <c r="I410">
        <f t="shared" si="49"/>
        <v>116.50591531421335</v>
      </c>
      <c r="J410">
        <f t="shared" si="44"/>
        <v>464.441795631682</v>
      </c>
      <c r="K410" s="30">
        <f t="shared" si="45"/>
        <v>7190.6917742877931</v>
      </c>
    </row>
    <row r="411" spans="1:11" x14ac:dyDescent="0.25">
      <c r="A411" s="29">
        <v>361</v>
      </c>
      <c r="B411" s="99">
        <f t="shared" si="46"/>
        <v>0</v>
      </c>
      <c r="C411" s="75">
        <f t="shared" si="50"/>
        <v>104.50616427295054</v>
      </c>
      <c r="D411" s="100">
        <f t="shared" si="47"/>
        <v>445.77777777777789</v>
      </c>
      <c r="E411">
        <f t="shared" si="43"/>
        <v>0</v>
      </c>
      <c r="G411">
        <v>361</v>
      </c>
      <c r="H411" s="15">
        <f t="shared" si="48"/>
        <v>3.3332641781285588E-2</v>
      </c>
      <c r="I411">
        <f t="shared" si="49"/>
        <v>116.53924795599464</v>
      </c>
      <c r="J411">
        <f t="shared" si="44"/>
        <v>464.48280549629874</v>
      </c>
      <c r="K411" s="30">
        <f t="shared" si="45"/>
        <v>7191.9609568521291</v>
      </c>
    </row>
    <row r="412" spans="1:11" x14ac:dyDescent="0.25">
      <c r="A412" s="29">
        <v>362</v>
      </c>
      <c r="B412" s="99">
        <f t="shared" si="46"/>
        <v>0</v>
      </c>
      <c r="C412" s="75">
        <f t="shared" si="50"/>
        <v>104.50616427295054</v>
      </c>
      <c r="D412" s="100">
        <f t="shared" si="47"/>
        <v>445.77777777777789</v>
      </c>
      <c r="E412">
        <f t="shared" si="43"/>
        <v>0</v>
      </c>
      <c r="G412">
        <v>362</v>
      </c>
      <c r="H412" s="15">
        <f t="shared" si="48"/>
        <v>3.3332641781285588E-2</v>
      </c>
      <c r="I412">
        <f t="shared" si="49"/>
        <v>116.57258059777593</v>
      </c>
      <c r="J412">
        <f t="shared" si="44"/>
        <v>464.52377125626128</v>
      </c>
      <c r="K412" s="30">
        <f t="shared" si="45"/>
        <v>7193.2288868628902</v>
      </c>
    </row>
    <row r="413" spans="1:11" x14ac:dyDescent="0.25">
      <c r="A413" s="29">
        <v>363</v>
      </c>
      <c r="B413" s="99">
        <f t="shared" si="46"/>
        <v>0</v>
      </c>
      <c r="C413" s="75">
        <f t="shared" si="50"/>
        <v>104.50616427295054</v>
      </c>
      <c r="D413" s="100">
        <f t="shared" si="47"/>
        <v>445.77777777777789</v>
      </c>
      <c r="E413">
        <f t="shared" si="43"/>
        <v>0</v>
      </c>
      <c r="G413">
        <v>363</v>
      </c>
      <c r="H413" s="15">
        <f t="shared" si="48"/>
        <v>3.3332641781285588E-2</v>
      </c>
      <c r="I413">
        <f t="shared" si="49"/>
        <v>116.60591323955721</v>
      </c>
      <c r="J413">
        <f t="shared" si="44"/>
        <v>464.56469299711165</v>
      </c>
      <c r="K413" s="30">
        <f t="shared" si="45"/>
        <v>7194.4955666038086</v>
      </c>
    </row>
    <row r="414" spans="1:11" x14ac:dyDescent="0.25">
      <c r="A414" s="29">
        <v>364</v>
      </c>
      <c r="B414" s="99">
        <f t="shared" si="46"/>
        <v>0</v>
      </c>
      <c r="C414" s="75">
        <f t="shared" si="50"/>
        <v>104.50616427295054</v>
      </c>
      <c r="D414" s="100">
        <f t="shared" si="47"/>
        <v>445.77777777777789</v>
      </c>
      <c r="E414">
        <f t="shared" si="43"/>
        <v>0</v>
      </c>
      <c r="G414">
        <v>364</v>
      </c>
      <c r="H414" s="15">
        <f t="shared" si="48"/>
        <v>3.3332641781285588E-2</v>
      </c>
      <c r="I414">
        <f t="shared" si="49"/>
        <v>116.6392458813385</v>
      </c>
      <c r="J414">
        <f t="shared" si="44"/>
        <v>464.60557080407921</v>
      </c>
      <c r="K414" s="30">
        <f t="shared" si="45"/>
        <v>7195.7609983502834</v>
      </c>
    </row>
    <row r="415" spans="1:11" x14ac:dyDescent="0.25">
      <c r="A415" s="29">
        <v>365</v>
      </c>
      <c r="B415" s="99">
        <f t="shared" si="46"/>
        <v>0</v>
      </c>
      <c r="C415" s="75">
        <f t="shared" si="50"/>
        <v>104.50616427295054</v>
      </c>
      <c r="D415" s="100">
        <f t="shared" si="47"/>
        <v>445.77777777777789</v>
      </c>
      <c r="E415">
        <f t="shared" si="43"/>
        <v>0</v>
      </c>
      <c r="G415">
        <v>365</v>
      </c>
      <c r="H415" s="15">
        <f t="shared" si="48"/>
        <v>3.3332641781285588E-2</v>
      </c>
      <c r="I415">
        <f t="shared" si="49"/>
        <v>116.67257852311978</v>
      </c>
      <c r="J415">
        <f t="shared" si="44"/>
        <v>464.64640476208234</v>
      </c>
      <c r="K415" s="30">
        <f t="shared" si="45"/>
        <v>7197.0251843694095</v>
      </c>
    </row>
    <row r="416" spans="1:11" x14ac:dyDescent="0.25">
      <c r="A416" s="29">
        <v>366</v>
      </c>
      <c r="B416" s="99">
        <f t="shared" si="46"/>
        <v>0</v>
      </c>
      <c r="C416" s="75">
        <f t="shared" si="50"/>
        <v>104.50616427295054</v>
      </c>
      <c r="D416" s="100">
        <f t="shared" si="47"/>
        <v>445.77777777777789</v>
      </c>
      <c r="E416">
        <f t="shared" si="43"/>
        <v>0</v>
      </c>
      <c r="G416">
        <v>366</v>
      </c>
      <c r="H416" s="15">
        <f t="shared" si="48"/>
        <v>3.3332641781285588E-2</v>
      </c>
      <c r="I416">
        <f t="shared" si="49"/>
        <v>116.70591116490107</v>
      </c>
      <c r="J416">
        <f t="shared" si="44"/>
        <v>464.68719495572981</v>
      </c>
      <c r="K416" s="30">
        <f t="shared" si="45"/>
        <v>7198.2881269200261</v>
      </c>
    </row>
    <row r="417" spans="1:11" x14ac:dyDescent="0.25">
      <c r="A417" s="29">
        <v>367</v>
      </c>
      <c r="B417" s="99">
        <f t="shared" si="46"/>
        <v>0</v>
      </c>
      <c r="C417" s="75">
        <f t="shared" si="50"/>
        <v>104.50616427295054</v>
      </c>
      <c r="D417" s="100">
        <f t="shared" si="47"/>
        <v>445.77777777777789</v>
      </c>
      <c r="E417">
        <f t="shared" si="43"/>
        <v>0</v>
      </c>
      <c r="G417">
        <v>367</v>
      </c>
      <c r="H417" s="15">
        <f t="shared" si="48"/>
        <v>3.3332641781285588E-2</v>
      </c>
      <c r="I417">
        <f t="shared" si="49"/>
        <v>116.73924380668235</v>
      </c>
      <c r="J417">
        <f t="shared" si="44"/>
        <v>464.72794146932267</v>
      </c>
      <c r="K417" s="30">
        <f t="shared" si="45"/>
        <v>7199.5498282527633</v>
      </c>
    </row>
    <row r="418" spans="1:11" x14ac:dyDescent="0.25">
      <c r="A418" s="29">
        <v>368</v>
      </c>
      <c r="B418" s="99">
        <f t="shared" si="46"/>
        <v>0</v>
      </c>
      <c r="C418" s="75">
        <f t="shared" si="50"/>
        <v>104.50616427295054</v>
      </c>
      <c r="D418" s="100">
        <f t="shared" si="47"/>
        <v>445.77777777777789</v>
      </c>
      <c r="E418">
        <f t="shared" si="43"/>
        <v>0</v>
      </c>
      <c r="G418">
        <v>368</v>
      </c>
      <c r="H418" s="15">
        <f t="shared" si="48"/>
        <v>3.3332641781285588E-2</v>
      </c>
      <c r="I418">
        <f t="shared" si="49"/>
        <v>116.77257644846364</v>
      </c>
      <c r="J418">
        <f t="shared" si="44"/>
        <v>464.76864438685567</v>
      </c>
      <c r="K418" s="30">
        <f t="shared" si="45"/>
        <v>7200.8102906100785</v>
      </c>
    </row>
    <row r="419" spans="1:11" x14ac:dyDescent="0.25">
      <c r="A419" s="29">
        <v>369</v>
      </c>
      <c r="B419" s="99">
        <f t="shared" si="46"/>
        <v>0</v>
      </c>
      <c r="C419" s="75">
        <f t="shared" si="50"/>
        <v>104.50616427295054</v>
      </c>
      <c r="D419" s="100">
        <f t="shared" si="47"/>
        <v>445.77777777777789</v>
      </c>
      <c r="E419">
        <f t="shared" si="43"/>
        <v>0</v>
      </c>
      <c r="G419">
        <v>369</v>
      </c>
      <c r="H419" s="15">
        <f t="shared" si="48"/>
        <v>3.3332641781285588E-2</v>
      </c>
      <c r="I419">
        <f t="shared" si="49"/>
        <v>116.80590909024492</v>
      </c>
      <c r="J419">
        <f t="shared" si="44"/>
        <v>464.80930379201874</v>
      </c>
      <c r="K419" s="30">
        <f t="shared" si="45"/>
        <v>7202.0695162262991</v>
      </c>
    </row>
    <row r="420" spans="1:11" x14ac:dyDescent="0.25">
      <c r="A420" s="29">
        <v>370</v>
      </c>
      <c r="B420" s="99">
        <f t="shared" si="46"/>
        <v>0</v>
      </c>
      <c r="C420" s="75">
        <f t="shared" si="50"/>
        <v>104.50616427295054</v>
      </c>
      <c r="D420" s="100">
        <f t="shared" si="47"/>
        <v>445.77777777777789</v>
      </c>
      <c r="E420">
        <f t="shared" si="43"/>
        <v>0</v>
      </c>
      <c r="G420">
        <v>370</v>
      </c>
      <c r="H420" s="15">
        <f t="shared" si="48"/>
        <v>3.3332641781285588E-2</v>
      </c>
      <c r="I420">
        <f t="shared" si="49"/>
        <v>116.83924173202621</v>
      </c>
      <c r="J420">
        <f t="shared" si="44"/>
        <v>464.84991976819867</v>
      </c>
      <c r="K420" s="30">
        <f t="shared" si="45"/>
        <v>7203.32750732766</v>
      </c>
    </row>
    <row r="421" spans="1:11" x14ac:dyDescent="0.25">
      <c r="A421" s="29">
        <v>371</v>
      </c>
      <c r="B421" s="99">
        <f t="shared" si="46"/>
        <v>0</v>
      </c>
      <c r="C421" s="75">
        <f t="shared" si="50"/>
        <v>104.50616427295054</v>
      </c>
      <c r="D421" s="100">
        <f t="shared" si="47"/>
        <v>445.77777777777789</v>
      </c>
      <c r="E421">
        <f t="shared" si="43"/>
        <v>0</v>
      </c>
      <c r="G421">
        <v>371</v>
      </c>
      <c r="H421" s="15">
        <f t="shared" si="48"/>
        <v>3.3332641781285588E-2</v>
      </c>
      <c r="I421">
        <f t="shared" si="49"/>
        <v>116.8725743738075</v>
      </c>
      <c r="J421">
        <f t="shared" si="44"/>
        <v>464.89049239848055</v>
      </c>
      <c r="K421" s="30">
        <f t="shared" si="45"/>
        <v>7204.584266132355</v>
      </c>
    </row>
    <row r="422" spans="1:11" x14ac:dyDescent="0.25">
      <c r="A422" s="29">
        <v>372</v>
      </c>
      <c r="B422" s="99">
        <f t="shared" si="46"/>
        <v>0</v>
      </c>
      <c r="C422" s="75">
        <f t="shared" si="50"/>
        <v>104.50616427295054</v>
      </c>
      <c r="D422" s="100">
        <f t="shared" si="47"/>
        <v>445.77777777777789</v>
      </c>
      <c r="E422">
        <f t="shared" si="43"/>
        <v>0</v>
      </c>
      <c r="G422">
        <v>372</v>
      </c>
      <c r="H422" s="15">
        <f t="shared" si="48"/>
        <v>3.3332641781285588E-2</v>
      </c>
      <c r="I422">
        <f t="shared" si="49"/>
        <v>116.90590701558878</v>
      </c>
      <c r="J422">
        <f t="shared" si="44"/>
        <v>464.93102176564935</v>
      </c>
      <c r="K422" s="30">
        <f t="shared" si="45"/>
        <v>7205.8397948505653</v>
      </c>
    </row>
    <row r="423" spans="1:11" x14ac:dyDescent="0.25">
      <c r="A423" s="29">
        <v>373</v>
      </c>
      <c r="B423" s="99">
        <f t="shared" si="46"/>
        <v>0</v>
      </c>
      <c r="C423" s="75">
        <f t="shared" si="50"/>
        <v>104.50616427295054</v>
      </c>
      <c r="D423" s="100">
        <f t="shared" si="47"/>
        <v>445.77777777777789</v>
      </c>
      <c r="E423">
        <f t="shared" si="43"/>
        <v>0</v>
      </c>
      <c r="G423">
        <v>373</v>
      </c>
      <c r="H423" s="15">
        <f t="shared" si="48"/>
        <v>3.3332641781285588E-2</v>
      </c>
      <c r="I423">
        <f t="shared" si="49"/>
        <v>116.93923965737007</v>
      </c>
      <c r="J423">
        <f t="shared" si="44"/>
        <v>464.97150795219147</v>
      </c>
      <c r="K423" s="30">
        <f t="shared" si="45"/>
        <v>7207.0940956845079</v>
      </c>
    </row>
    <row r="424" spans="1:11" x14ac:dyDescent="0.25">
      <c r="A424" s="29">
        <v>374</v>
      </c>
      <c r="B424" s="99">
        <f t="shared" si="46"/>
        <v>0</v>
      </c>
      <c r="C424" s="75">
        <f t="shared" si="50"/>
        <v>104.50616427295054</v>
      </c>
      <c r="D424" s="100">
        <f t="shared" si="47"/>
        <v>445.77777777777789</v>
      </c>
      <c r="E424">
        <f t="shared" si="43"/>
        <v>0</v>
      </c>
      <c r="G424">
        <v>374</v>
      </c>
      <c r="H424" s="15">
        <f t="shared" si="48"/>
        <v>3.3332641781285588E-2</v>
      </c>
      <c r="I424">
        <f t="shared" si="49"/>
        <v>116.97257229915135</v>
      </c>
      <c r="J424">
        <f t="shared" si="44"/>
        <v>465.01195104029614</v>
      </c>
      <c r="K424" s="30">
        <f t="shared" si="45"/>
        <v>7208.3471708284715</v>
      </c>
    </row>
    <row r="425" spans="1:11" x14ac:dyDescent="0.25">
      <c r="A425" s="29">
        <v>375</v>
      </c>
      <c r="B425" s="99">
        <f t="shared" si="46"/>
        <v>0</v>
      </c>
      <c r="C425" s="75">
        <f t="shared" si="50"/>
        <v>104.50616427295054</v>
      </c>
      <c r="D425" s="100">
        <f t="shared" si="47"/>
        <v>445.77777777777789</v>
      </c>
      <c r="E425">
        <f t="shared" si="43"/>
        <v>0</v>
      </c>
      <c r="G425">
        <v>375</v>
      </c>
      <c r="H425" s="15">
        <f t="shared" si="48"/>
        <v>3.3332641781285588E-2</v>
      </c>
      <c r="I425">
        <f t="shared" si="49"/>
        <v>117.00590494093264</v>
      </c>
      <c r="J425">
        <f t="shared" si="44"/>
        <v>465.05235111185698</v>
      </c>
      <c r="K425" s="30">
        <f t="shared" si="45"/>
        <v>7209.5990224688612</v>
      </c>
    </row>
    <row r="426" spans="1:11" x14ac:dyDescent="0.25">
      <c r="A426" s="29">
        <v>376</v>
      </c>
      <c r="B426" s="99">
        <f t="shared" si="46"/>
        <v>0</v>
      </c>
      <c r="C426" s="75">
        <f t="shared" si="50"/>
        <v>104.50616427295054</v>
      </c>
      <c r="D426" s="100">
        <f t="shared" si="47"/>
        <v>445.77777777777789</v>
      </c>
      <c r="E426">
        <f t="shared" si="43"/>
        <v>0</v>
      </c>
      <c r="G426">
        <v>376</v>
      </c>
      <c r="H426" s="15">
        <f t="shared" si="48"/>
        <v>3.3332641781285588E-2</v>
      </c>
      <c r="I426">
        <f t="shared" si="49"/>
        <v>117.03923758271392</v>
      </c>
      <c r="J426">
        <f t="shared" si="44"/>
        <v>465.09270824847357</v>
      </c>
      <c r="K426" s="30">
        <f t="shared" si="45"/>
        <v>7210.8496527842353</v>
      </c>
    </row>
    <row r="427" spans="1:11" x14ac:dyDescent="0.25">
      <c r="A427" s="29">
        <v>377</v>
      </c>
      <c r="B427" s="99">
        <f t="shared" si="46"/>
        <v>0</v>
      </c>
      <c r="C427" s="75">
        <f t="shared" si="50"/>
        <v>104.50616427295054</v>
      </c>
      <c r="D427" s="100">
        <f t="shared" si="47"/>
        <v>445.77777777777789</v>
      </c>
      <c r="E427">
        <f t="shared" si="43"/>
        <v>0</v>
      </c>
      <c r="G427">
        <v>377</v>
      </c>
      <c r="H427" s="15">
        <f t="shared" si="48"/>
        <v>3.3332641781285588E-2</v>
      </c>
      <c r="I427">
        <f t="shared" si="49"/>
        <v>117.07257022449521</v>
      </c>
      <c r="J427">
        <f t="shared" si="44"/>
        <v>465.13302253145275</v>
      </c>
      <c r="K427" s="30">
        <f t="shared" si="45"/>
        <v>7212.0990639453375</v>
      </c>
    </row>
    <row r="428" spans="1:11" x14ac:dyDescent="0.25">
      <c r="A428" s="29">
        <v>378</v>
      </c>
      <c r="B428" s="99">
        <f t="shared" si="46"/>
        <v>0</v>
      </c>
      <c r="C428" s="75">
        <f t="shared" si="50"/>
        <v>104.50616427295054</v>
      </c>
      <c r="D428" s="100">
        <f t="shared" si="47"/>
        <v>445.77777777777789</v>
      </c>
      <c r="E428">
        <f t="shared" si="43"/>
        <v>0</v>
      </c>
      <c r="G428">
        <v>378</v>
      </c>
      <c r="H428" s="15">
        <f t="shared" si="48"/>
        <v>3.3332641781285588E-2</v>
      </c>
      <c r="I428">
        <f t="shared" si="49"/>
        <v>117.10590286627649</v>
      </c>
      <c r="J428">
        <f t="shared" si="44"/>
        <v>465.17329404181021</v>
      </c>
      <c r="K428" s="30">
        <f t="shared" si="45"/>
        <v>7213.3472581151545</v>
      </c>
    </row>
    <row r="429" spans="1:11" x14ac:dyDescent="0.25">
      <c r="A429" s="29">
        <v>379</v>
      </c>
      <c r="B429" s="99">
        <f t="shared" si="46"/>
        <v>0</v>
      </c>
      <c r="C429" s="75">
        <f t="shared" si="50"/>
        <v>104.50616427295054</v>
      </c>
      <c r="D429" s="100">
        <f t="shared" si="47"/>
        <v>445.77777777777789</v>
      </c>
      <c r="E429">
        <f t="shared" si="43"/>
        <v>0</v>
      </c>
      <c r="G429">
        <v>379</v>
      </c>
      <c r="H429" s="15">
        <f t="shared" si="48"/>
        <v>3.3332641781285588E-2</v>
      </c>
      <c r="I429">
        <f t="shared" si="49"/>
        <v>117.13923550805778</v>
      </c>
      <c r="J429">
        <f t="shared" si="44"/>
        <v>465.21352286027195</v>
      </c>
      <c r="K429" s="30">
        <f t="shared" si="45"/>
        <v>7214.5942374489341</v>
      </c>
    </row>
    <row r="430" spans="1:11" x14ac:dyDescent="0.25">
      <c r="A430" s="29">
        <v>380</v>
      </c>
      <c r="B430" s="99">
        <f t="shared" si="46"/>
        <v>0</v>
      </c>
      <c r="C430" s="75">
        <f t="shared" si="50"/>
        <v>104.50616427295054</v>
      </c>
      <c r="D430" s="100">
        <f t="shared" si="47"/>
        <v>445.77777777777789</v>
      </c>
      <c r="E430">
        <f t="shared" si="43"/>
        <v>0</v>
      </c>
      <c r="G430">
        <v>380</v>
      </c>
      <c r="H430" s="15">
        <f t="shared" si="48"/>
        <v>3.3332641781285588E-2</v>
      </c>
      <c r="I430">
        <f t="shared" si="49"/>
        <v>117.17256814983907</v>
      </c>
      <c r="J430">
        <f t="shared" si="44"/>
        <v>465.25370906727568</v>
      </c>
      <c r="K430" s="30">
        <f t="shared" si="45"/>
        <v>7215.8400040942388</v>
      </c>
    </row>
    <row r="431" spans="1:11" x14ac:dyDescent="0.25">
      <c r="A431" s="29">
        <v>381</v>
      </c>
      <c r="B431" s="99">
        <f t="shared" si="46"/>
        <v>0</v>
      </c>
      <c r="C431" s="75">
        <f t="shared" si="50"/>
        <v>104.50616427295054</v>
      </c>
      <c r="D431" s="100">
        <f t="shared" si="47"/>
        <v>445.77777777777789</v>
      </c>
      <c r="E431">
        <f t="shared" si="43"/>
        <v>0</v>
      </c>
      <c r="G431">
        <v>381</v>
      </c>
      <c r="H431" s="15">
        <f t="shared" si="48"/>
        <v>3.3332641781285588E-2</v>
      </c>
      <c r="I431">
        <f t="shared" si="49"/>
        <v>117.20590079162035</v>
      </c>
      <c r="J431">
        <f t="shared" si="44"/>
        <v>465.29385274297226</v>
      </c>
      <c r="K431" s="30">
        <f t="shared" si="45"/>
        <v>7217.0845601909723</v>
      </c>
    </row>
    <row r="432" spans="1:11" x14ac:dyDescent="0.25">
      <c r="A432" s="29">
        <v>382</v>
      </c>
      <c r="B432" s="99">
        <f t="shared" si="46"/>
        <v>0</v>
      </c>
      <c r="C432" s="75">
        <f t="shared" si="50"/>
        <v>104.50616427295054</v>
      </c>
      <c r="D432" s="100">
        <f t="shared" si="47"/>
        <v>445.77777777777789</v>
      </c>
      <c r="E432">
        <f t="shared" si="43"/>
        <v>0</v>
      </c>
      <c r="G432">
        <v>382</v>
      </c>
      <c r="H432" s="15">
        <f t="shared" si="48"/>
        <v>3.3332641781285588E-2</v>
      </c>
      <c r="I432">
        <f t="shared" si="49"/>
        <v>117.23923343340164</v>
      </c>
      <c r="J432">
        <f t="shared" si="44"/>
        <v>465.33395396722722</v>
      </c>
      <c r="K432" s="30">
        <f t="shared" si="45"/>
        <v>7218.3279078714331</v>
      </c>
    </row>
    <row r="433" spans="1:11" x14ac:dyDescent="0.25">
      <c r="A433" s="29">
        <v>383</v>
      </c>
      <c r="B433" s="99">
        <f t="shared" si="46"/>
        <v>0</v>
      </c>
      <c r="C433" s="75">
        <f t="shared" si="50"/>
        <v>104.50616427295054</v>
      </c>
      <c r="D433" s="100">
        <f t="shared" si="47"/>
        <v>445.77777777777789</v>
      </c>
      <c r="E433">
        <f t="shared" si="43"/>
        <v>0</v>
      </c>
      <c r="G433">
        <v>383</v>
      </c>
      <c r="H433" s="15">
        <f t="shared" si="48"/>
        <v>3.3332641781285588E-2</v>
      </c>
      <c r="I433">
        <f t="shared" si="49"/>
        <v>117.27256607518292</v>
      </c>
      <c r="J433">
        <f t="shared" si="44"/>
        <v>465.37401281962195</v>
      </c>
      <c r="K433" s="30">
        <f t="shared" si="45"/>
        <v>7219.5700492603355</v>
      </c>
    </row>
    <row r="434" spans="1:11" x14ac:dyDescent="0.25">
      <c r="A434" s="29">
        <v>384</v>
      </c>
      <c r="B434" s="99">
        <f t="shared" si="46"/>
        <v>0</v>
      </c>
      <c r="C434" s="75">
        <f t="shared" si="50"/>
        <v>104.50616427295054</v>
      </c>
      <c r="D434" s="100">
        <f t="shared" si="47"/>
        <v>445.77777777777789</v>
      </c>
      <c r="E434">
        <f t="shared" si="43"/>
        <v>0</v>
      </c>
      <c r="G434">
        <v>384</v>
      </c>
      <c r="H434" s="15">
        <f t="shared" si="48"/>
        <v>3.3332641781285588E-2</v>
      </c>
      <c r="I434">
        <f t="shared" si="49"/>
        <v>117.30589871696421</v>
      </c>
      <c r="J434">
        <f t="shared" si="44"/>
        <v>465.41402937945543</v>
      </c>
      <c r="K434" s="30">
        <f t="shared" si="45"/>
        <v>7220.8109864748585</v>
      </c>
    </row>
    <row r="435" spans="1:11" x14ac:dyDescent="0.25">
      <c r="A435" s="29">
        <v>385</v>
      </c>
      <c r="B435" s="99">
        <f t="shared" si="46"/>
        <v>0</v>
      </c>
      <c r="C435" s="75">
        <f t="shared" si="50"/>
        <v>104.50616427295054</v>
      </c>
      <c r="D435" s="100">
        <f t="shared" si="47"/>
        <v>445.77777777777789</v>
      </c>
      <c r="E435">
        <f t="shared" ref="E435:E498" si="51">((D435^2)+(D435*D436)+(D436^2))*B436/3</f>
        <v>0</v>
      </c>
      <c r="G435">
        <v>385</v>
      </c>
      <c r="H435" s="15">
        <f t="shared" si="48"/>
        <v>3.3332641781285588E-2</v>
      </c>
      <c r="I435">
        <f t="shared" si="49"/>
        <v>117.33923135874549</v>
      </c>
      <c r="J435">
        <f t="shared" ref="J435:J498" si="52">IF($G$28&lt;$C$14,0,((($C$11^2)-((I435-$C$13)^2))^0.5)+$C$16)</f>
        <v>465.45400372574557</v>
      </c>
      <c r="K435" s="30">
        <f t="shared" ref="K435:K498" si="53">((J435^2)+(J435*J436)+(J436^2))*H436/3</f>
        <v>7222.0507216246806</v>
      </c>
    </row>
    <row r="436" spans="1:11" x14ac:dyDescent="0.25">
      <c r="A436" s="29">
        <v>386</v>
      </c>
      <c r="B436" s="99">
        <f t="shared" ref="B436:B499" si="54">C436-C435</f>
        <v>0</v>
      </c>
      <c r="C436" s="75">
        <f t="shared" si="50"/>
        <v>104.50616427295054</v>
      </c>
      <c r="D436" s="100">
        <f t="shared" ref="D436:D499" si="55">IF($G$28&lt;$C$14,0,((($C$11^2)-((C436-$C$13)^2))^0.5)+$C$16)</f>
        <v>445.77777777777789</v>
      </c>
      <c r="E436">
        <f t="shared" si="51"/>
        <v>0</v>
      </c>
      <c r="G436">
        <v>386</v>
      </c>
      <c r="H436" s="15">
        <f t="shared" ref="H436:H499" si="56">I436-I435</f>
        <v>3.3332641781285588E-2</v>
      </c>
      <c r="I436">
        <f t="shared" ref="I436:I499" si="57">($G$27-$C$14)/2000+I435</f>
        <v>117.37256400052678</v>
      </c>
      <c r="J436">
        <f t="shared" si="52"/>
        <v>465.49393593723016</v>
      </c>
      <c r="K436" s="30">
        <f t="shared" si="53"/>
        <v>7223.2892568120142</v>
      </c>
    </row>
    <row r="437" spans="1:11" x14ac:dyDescent="0.25">
      <c r="A437" s="29">
        <v>387</v>
      </c>
      <c r="B437" s="99">
        <f t="shared" si="54"/>
        <v>0</v>
      </c>
      <c r="C437" s="75">
        <f t="shared" si="50"/>
        <v>104.50616427295054</v>
      </c>
      <c r="D437" s="100">
        <f t="shared" si="55"/>
        <v>445.77777777777789</v>
      </c>
      <c r="E437">
        <f t="shared" si="51"/>
        <v>0</v>
      </c>
      <c r="G437">
        <v>387</v>
      </c>
      <c r="H437" s="15">
        <f t="shared" si="56"/>
        <v>3.3332641781285588E-2</v>
      </c>
      <c r="I437">
        <f t="shared" si="57"/>
        <v>117.40589664230806</v>
      </c>
      <c r="J437">
        <f t="shared" si="52"/>
        <v>465.533826092369</v>
      </c>
      <c r="K437" s="30">
        <f t="shared" si="53"/>
        <v>7224.5265941316429</v>
      </c>
    </row>
    <row r="438" spans="1:11" x14ac:dyDescent="0.25">
      <c r="A438" s="29">
        <v>388</v>
      </c>
      <c r="B438" s="99">
        <f t="shared" si="54"/>
        <v>0</v>
      </c>
      <c r="C438" s="75">
        <f t="shared" si="50"/>
        <v>104.50616427295054</v>
      </c>
      <c r="D438" s="100">
        <f t="shared" si="55"/>
        <v>445.77777777777789</v>
      </c>
      <c r="E438">
        <f t="shared" si="51"/>
        <v>0</v>
      </c>
      <c r="G438">
        <v>388</v>
      </c>
      <c r="H438" s="15">
        <f t="shared" si="56"/>
        <v>3.3332641781285588E-2</v>
      </c>
      <c r="I438">
        <f t="shared" si="57"/>
        <v>117.43922928408935</v>
      </c>
      <c r="J438">
        <f t="shared" si="52"/>
        <v>465.57367426934462</v>
      </c>
      <c r="K438" s="30">
        <f t="shared" si="53"/>
        <v>7225.7627356709627</v>
      </c>
    </row>
    <row r="439" spans="1:11" x14ac:dyDescent="0.25">
      <c r="A439" s="29">
        <v>389</v>
      </c>
      <c r="B439" s="99">
        <f t="shared" si="54"/>
        <v>0</v>
      </c>
      <c r="C439" s="75">
        <f t="shared" si="50"/>
        <v>104.50616427295054</v>
      </c>
      <c r="D439" s="100">
        <f t="shared" si="55"/>
        <v>445.77777777777789</v>
      </c>
      <c r="E439">
        <f t="shared" si="51"/>
        <v>0</v>
      </c>
      <c r="G439">
        <v>389</v>
      </c>
      <c r="H439" s="15">
        <f t="shared" si="56"/>
        <v>3.3332641781285588E-2</v>
      </c>
      <c r="I439">
        <f t="shared" si="57"/>
        <v>117.47256192587064</v>
      </c>
      <c r="J439">
        <f t="shared" si="52"/>
        <v>465.61348054606401</v>
      </c>
      <c r="K439" s="30">
        <f t="shared" si="53"/>
        <v>7226.9976835100179</v>
      </c>
    </row>
    <row r="440" spans="1:11" x14ac:dyDescent="0.25">
      <c r="A440" s="29">
        <v>390</v>
      </c>
      <c r="B440" s="99">
        <f t="shared" si="54"/>
        <v>0</v>
      </c>
      <c r="C440" s="75">
        <f t="shared" si="50"/>
        <v>104.50616427295054</v>
      </c>
      <c r="D440" s="100">
        <f t="shared" si="55"/>
        <v>445.77777777777789</v>
      </c>
      <c r="E440">
        <f t="shared" si="51"/>
        <v>0</v>
      </c>
      <c r="G440">
        <v>390</v>
      </c>
      <c r="H440" s="15">
        <f t="shared" si="56"/>
        <v>3.3332641781285588E-2</v>
      </c>
      <c r="I440">
        <f t="shared" si="57"/>
        <v>117.50589456765192</v>
      </c>
      <c r="J440">
        <f t="shared" si="52"/>
        <v>465.65324500015993</v>
      </c>
      <c r="K440" s="30">
        <f t="shared" si="53"/>
        <v>7228.2314397215296</v>
      </c>
    </row>
    <row r="441" spans="1:11" x14ac:dyDescent="0.25">
      <c r="A441" s="29">
        <v>391</v>
      </c>
      <c r="B441" s="99">
        <f t="shared" si="54"/>
        <v>0</v>
      </c>
      <c r="C441" s="75">
        <f t="shared" si="50"/>
        <v>104.50616427295054</v>
      </c>
      <c r="D441" s="100">
        <f t="shared" si="55"/>
        <v>445.77777777777789</v>
      </c>
      <c r="E441">
        <f t="shared" si="51"/>
        <v>0</v>
      </c>
      <c r="G441">
        <v>391</v>
      </c>
      <c r="H441" s="15">
        <f t="shared" si="56"/>
        <v>3.3332641781285588E-2</v>
      </c>
      <c r="I441">
        <f t="shared" si="57"/>
        <v>117.53922720943321</v>
      </c>
      <c r="J441">
        <f t="shared" si="52"/>
        <v>465.69296770899211</v>
      </c>
      <c r="K441" s="30">
        <f t="shared" si="53"/>
        <v>7229.4640063709403</v>
      </c>
    </row>
    <row r="442" spans="1:11" x14ac:dyDescent="0.25">
      <c r="A442" s="29">
        <v>392</v>
      </c>
      <c r="B442" s="99">
        <f t="shared" si="54"/>
        <v>0</v>
      </c>
      <c r="C442" s="75">
        <f t="shared" si="50"/>
        <v>104.50616427295054</v>
      </c>
      <c r="D442" s="100">
        <f t="shared" si="55"/>
        <v>445.77777777777789</v>
      </c>
      <c r="E442">
        <f t="shared" si="51"/>
        <v>0</v>
      </c>
      <c r="G442">
        <v>392</v>
      </c>
      <c r="H442" s="15">
        <f t="shared" si="56"/>
        <v>3.3332641781285588E-2</v>
      </c>
      <c r="I442">
        <f t="shared" si="57"/>
        <v>117.57255985121449</v>
      </c>
      <c r="J442">
        <f t="shared" si="52"/>
        <v>465.73264874964872</v>
      </c>
      <c r="K442" s="30">
        <f t="shared" si="53"/>
        <v>7230.695385516442</v>
      </c>
    </row>
    <row r="443" spans="1:11" x14ac:dyDescent="0.25">
      <c r="A443" s="29">
        <v>393</v>
      </c>
      <c r="B443" s="99">
        <f t="shared" si="54"/>
        <v>0</v>
      </c>
      <c r="C443" s="75">
        <f t="shared" si="50"/>
        <v>104.50616427295054</v>
      </c>
      <c r="D443" s="100">
        <f t="shared" si="55"/>
        <v>445.77777777777789</v>
      </c>
      <c r="E443">
        <f t="shared" si="51"/>
        <v>0</v>
      </c>
      <c r="G443">
        <v>393</v>
      </c>
      <c r="H443" s="15">
        <f t="shared" si="56"/>
        <v>3.3332641781285588E-2</v>
      </c>
      <c r="I443">
        <f t="shared" si="57"/>
        <v>117.60589249299578</v>
      </c>
      <c r="J443">
        <f t="shared" si="52"/>
        <v>465.77228819894771</v>
      </c>
      <c r="K443" s="30">
        <f t="shared" si="53"/>
        <v>7231.9255792090216</v>
      </c>
    </row>
    <row r="444" spans="1:11" x14ac:dyDescent="0.25">
      <c r="A444" s="29">
        <v>394</v>
      </c>
      <c r="B444" s="99">
        <f t="shared" si="54"/>
        <v>0</v>
      </c>
      <c r="C444" s="75">
        <f t="shared" si="50"/>
        <v>104.50616427295054</v>
      </c>
      <c r="D444" s="100">
        <f t="shared" si="55"/>
        <v>445.77777777777789</v>
      </c>
      <c r="E444">
        <f t="shared" si="51"/>
        <v>0</v>
      </c>
      <c r="G444">
        <v>394</v>
      </c>
      <c r="H444" s="15">
        <f t="shared" si="56"/>
        <v>3.3332641781285588E-2</v>
      </c>
      <c r="I444">
        <f t="shared" si="57"/>
        <v>117.63922513477706</v>
      </c>
      <c r="J444">
        <f t="shared" si="52"/>
        <v>465.81188613343807</v>
      </c>
      <c r="K444" s="30">
        <f t="shared" si="53"/>
        <v>7233.1545894924884</v>
      </c>
    </row>
    <row r="445" spans="1:11" x14ac:dyDescent="0.25">
      <c r="A445" s="29">
        <v>395</v>
      </c>
      <c r="B445" s="99">
        <f t="shared" si="54"/>
        <v>0</v>
      </c>
      <c r="C445" s="75">
        <f t="shared" si="50"/>
        <v>104.50616427295054</v>
      </c>
      <c r="D445" s="100">
        <f t="shared" si="55"/>
        <v>445.77777777777789</v>
      </c>
      <c r="E445">
        <f t="shared" si="51"/>
        <v>0</v>
      </c>
      <c r="G445">
        <v>395</v>
      </c>
      <c r="H445" s="15">
        <f t="shared" si="56"/>
        <v>3.3332641781285588E-2</v>
      </c>
      <c r="I445">
        <f t="shared" si="57"/>
        <v>117.67255777655835</v>
      </c>
      <c r="J445">
        <f t="shared" si="52"/>
        <v>465.85144262940122</v>
      </c>
      <c r="K445" s="30">
        <f t="shared" si="53"/>
        <v>7234.3824184035147</v>
      </c>
    </row>
    <row r="446" spans="1:11" x14ac:dyDescent="0.25">
      <c r="A446" s="29">
        <v>396</v>
      </c>
      <c r="B446" s="99">
        <f t="shared" si="54"/>
        <v>0</v>
      </c>
      <c r="C446" s="75">
        <f t="shared" si="50"/>
        <v>104.50616427295054</v>
      </c>
      <c r="D446" s="100">
        <f t="shared" si="55"/>
        <v>445.77777777777789</v>
      </c>
      <c r="E446">
        <f t="shared" si="51"/>
        <v>0</v>
      </c>
      <c r="G446">
        <v>396</v>
      </c>
      <c r="H446" s="15">
        <f t="shared" si="56"/>
        <v>3.3332641781285588E-2</v>
      </c>
      <c r="I446">
        <f t="shared" si="57"/>
        <v>117.70589041833964</v>
      </c>
      <c r="J446">
        <f t="shared" si="52"/>
        <v>465.89095776285222</v>
      </c>
      <c r="K446" s="30">
        <f t="shared" si="53"/>
        <v>7235.6090679716608</v>
      </c>
    </row>
    <row r="447" spans="1:11" x14ac:dyDescent="0.25">
      <c r="A447" s="29">
        <v>397</v>
      </c>
      <c r="B447" s="99">
        <f t="shared" si="54"/>
        <v>0</v>
      </c>
      <c r="C447" s="75">
        <f t="shared" si="50"/>
        <v>104.50616427295054</v>
      </c>
      <c r="D447" s="100">
        <f t="shared" si="55"/>
        <v>445.77777777777789</v>
      </c>
      <c r="E447">
        <f t="shared" si="51"/>
        <v>0</v>
      </c>
      <c r="G447">
        <v>397</v>
      </c>
      <c r="H447" s="15">
        <f t="shared" si="56"/>
        <v>3.3332641781285588E-2</v>
      </c>
      <c r="I447">
        <f t="shared" si="57"/>
        <v>117.73922306012092</v>
      </c>
      <c r="J447">
        <f t="shared" si="52"/>
        <v>465.93043160954119</v>
      </c>
      <c r="K447" s="30">
        <f t="shared" si="53"/>
        <v>7236.8345402194218</v>
      </c>
    </row>
    <row r="448" spans="1:11" x14ac:dyDescent="0.25">
      <c r="A448" s="29">
        <v>398</v>
      </c>
      <c r="B448" s="99">
        <f t="shared" si="54"/>
        <v>0</v>
      </c>
      <c r="C448" s="75">
        <f t="shared" si="50"/>
        <v>104.50616427295054</v>
      </c>
      <c r="D448" s="100">
        <f t="shared" si="55"/>
        <v>445.77777777777789</v>
      </c>
      <c r="E448">
        <f t="shared" si="51"/>
        <v>0</v>
      </c>
      <c r="G448">
        <v>398</v>
      </c>
      <c r="H448" s="15">
        <f t="shared" si="56"/>
        <v>3.3332641781285588E-2</v>
      </c>
      <c r="I448">
        <f t="shared" si="57"/>
        <v>117.77255570190221</v>
      </c>
      <c r="J448">
        <f t="shared" si="52"/>
        <v>465.96986424495446</v>
      </c>
      <c r="K448" s="30">
        <f t="shared" si="53"/>
        <v>7238.0588371622571</v>
      </c>
    </row>
    <row r="449" spans="1:11" x14ac:dyDescent="0.25">
      <c r="A449" s="29">
        <v>399</v>
      </c>
      <c r="B449" s="99">
        <f t="shared" si="54"/>
        <v>0</v>
      </c>
      <c r="C449" s="75">
        <f t="shared" si="50"/>
        <v>104.50616427295054</v>
      </c>
      <c r="D449" s="100">
        <f t="shared" si="55"/>
        <v>445.77777777777789</v>
      </c>
      <c r="E449">
        <f t="shared" si="51"/>
        <v>0</v>
      </c>
      <c r="G449">
        <v>399</v>
      </c>
      <c r="H449" s="15">
        <f t="shared" si="56"/>
        <v>3.3332641781285588E-2</v>
      </c>
      <c r="I449">
        <f t="shared" si="57"/>
        <v>117.80588834368349</v>
      </c>
      <c r="J449">
        <f t="shared" si="52"/>
        <v>466.00925574431596</v>
      </c>
      <c r="K449" s="30">
        <f t="shared" si="53"/>
        <v>7239.2819608086202</v>
      </c>
    </row>
    <row r="450" spans="1:11" x14ac:dyDescent="0.25">
      <c r="A450" s="29">
        <v>400</v>
      </c>
      <c r="B450" s="99">
        <f t="shared" si="54"/>
        <v>0</v>
      </c>
      <c r="C450" s="75">
        <f t="shared" si="50"/>
        <v>104.50616427295054</v>
      </c>
      <c r="D450" s="100">
        <f t="shared" si="55"/>
        <v>445.77777777777789</v>
      </c>
      <c r="E450">
        <f t="shared" si="51"/>
        <v>0</v>
      </c>
      <c r="G450">
        <v>400</v>
      </c>
      <c r="H450" s="15">
        <f t="shared" si="56"/>
        <v>3.3332641781285588E-2</v>
      </c>
      <c r="I450">
        <f t="shared" si="57"/>
        <v>117.83922098546478</v>
      </c>
      <c r="J450">
        <f t="shared" si="52"/>
        <v>466.04860618258857</v>
      </c>
      <c r="K450" s="30">
        <f t="shared" si="53"/>
        <v>7240.5039131600024</v>
      </c>
    </row>
    <row r="451" spans="1:11" x14ac:dyDescent="0.25">
      <c r="A451" s="29">
        <v>401</v>
      </c>
      <c r="B451" s="99">
        <f t="shared" si="54"/>
        <v>0</v>
      </c>
      <c r="C451" s="75">
        <f t="shared" si="50"/>
        <v>104.50616427295054</v>
      </c>
      <c r="D451" s="100">
        <f t="shared" si="55"/>
        <v>445.77777777777789</v>
      </c>
      <c r="E451">
        <f t="shared" si="51"/>
        <v>0</v>
      </c>
      <c r="G451">
        <v>401</v>
      </c>
      <c r="H451" s="15">
        <f t="shared" si="56"/>
        <v>3.3332641781285588E-2</v>
      </c>
      <c r="I451">
        <f t="shared" si="57"/>
        <v>117.87255362724606</v>
      </c>
      <c r="J451">
        <f t="shared" si="52"/>
        <v>466.08791563447511</v>
      </c>
      <c r="K451" s="30">
        <f t="shared" si="53"/>
        <v>7241.7246962109502</v>
      </c>
    </row>
    <row r="452" spans="1:11" x14ac:dyDescent="0.25">
      <c r="A452" s="29">
        <v>402</v>
      </c>
      <c r="B452" s="99">
        <f t="shared" si="54"/>
        <v>0</v>
      </c>
      <c r="C452" s="75">
        <f t="shared" si="50"/>
        <v>104.50616427295054</v>
      </c>
      <c r="D452" s="100">
        <f t="shared" si="55"/>
        <v>445.77777777777789</v>
      </c>
      <c r="E452">
        <f t="shared" si="51"/>
        <v>0</v>
      </c>
      <c r="G452">
        <v>402</v>
      </c>
      <c r="H452" s="15">
        <f t="shared" si="56"/>
        <v>3.3332641781285588E-2</v>
      </c>
      <c r="I452">
        <f t="shared" si="57"/>
        <v>117.90588626902735</v>
      </c>
      <c r="J452">
        <f t="shared" si="52"/>
        <v>466.12718417441982</v>
      </c>
      <c r="K452" s="30">
        <f t="shared" si="53"/>
        <v>7242.9443119491234</v>
      </c>
    </row>
    <row r="453" spans="1:11" x14ac:dyDescent="0.25">
      <c r="A453" s="29">
        <v>403</v>
      </c>
      <c r="B453" s="99">
        <f t="shared" si="54"/>
        <v>0</v>
      </c>
      <c r="C453" s="75">
        <f t="shared" si="50"/>
        <v>104.50616427295054</v>
      </c>
      <c r="D453" s="100">
        <f t="shared" si="55"/>
        <v>445.77777777777789</v>
      </c>
      <c r="E453">
        <f t="shared" si="51"/>
        <v>0</v>
      </c>
      <c r="G453">
        <v>403</v>
      </c>
      <c r="H453" s="15">
        <f t="shared" si="56"/>
        <v>3.3332641781285588E-2</v>
      </c>
      <c r="I453">
        <f t="shared" si="57"/>
        <v>117.93921891080863</v>
      </c>
      <c r="J453">
        <f t="shared" si="52"/>
        <v>466.16641187660969</v>
      </c>
      <c r="K453" s="30">
        <f t="shared" si="53"/>
        <v>7244.1627623553077</v>
      </c>
    </row>
    <row r="454" spans="1:11" x14ac:dyDescent="0.25">
      <c r="A454" s="29">
        <v>404</v>
      </c>
      <c r="B454" s="99">
        <f t="shared" si="54"/>
        <v>0</v>
      </c>
      <c r="C454" s="75">
        <f t="shared" si="50"/>
        <v>104.50616427295054</v>
      </c>
      <c r="D454" s="100">
        <f t="shared" si="55"/>
        <v>445.77777777777789</v>
      </c>
      <c r="E454">
        <f t="shared" si="51"/>
        <v>0</v>
      </c>
      <c r="G454">
        <v>404</v>
      </c>
      <c r="H454" s="15">
        <f t="shared" si="56"/>
        <v>3.3332641781285588E-2</v>
      </c>
      <c r="I454">
        <f t="shared" si="57"/>
        <v>117.97255155258992</v>
      </c>
      <c r="J454">
        <f t="shared" si="52"/>
        <v>466.20559881497547</v>
      </c>
      <c r="K454" s="30">
        <f t="shared" si="53"/>
        <v>7245.3800494034522</v>
      </c>
    </row>
    <row r="455" spans="1:11" x14ac:dyDescent="0.25">
      <c r="A455" s="29">
        <v>405</v>
      </c>
      <c r="B455" s="99">
        <f t="shared" si="54"/>
        <v>0</v>
      </c>
      <c r="C455" s="75">
        <f t="shared" si="50"/>
        <v>104.50616427295054</v>
      </c>
      <c r="D455" s="100">
        <f t="shared" si="55"/>
        <v>445.77777777777789</v>
      </c>
      <c r="E455">
        <f t="shared" si="51"/>
        <v>0</v>
      </c>
      <c r="G455">
        <v>405</v>
      </c>
      <c r="H455" s="15">
        <f t="shared" si="56"/>
        <v>3.3332641781285588E-2</v>
      </c>
      <c r="I455">
        <f t="shared" si="57"/>
        <v>118.00588419437121</v>
      </c>
      <c r="J455">
        <f t="shared" si="52"/>
        <v>466.24474506319297</v>
      </c>
      <c r="K455" s="30">
        <f t="shared" si="53"/>
        <v>7246.5961750607094</v>
      </c>
    </row>
    <row r="456" spans="1:11" x14ac:dyDescent="0.25">
      <c r="A456" s="29">
        <v>406</v>
      </c>
      <c r="B456" s="99">
        <f t="shared" si="54"/>
        <v>0</v>
      </c>
      <c r="C456" s="75">
        <f t="shared" si="50"/>
        <v>104.50616427295054</v>
      </c>
      <c r="D456" s="100">
        <f t="shared" si="55"/>
        <v>445.77777777777789</v>
      </c>
      <c r="E456">
        <f t="shared" si="51"/>
        <v>0</v>
      </c>
      <c r="G456">
        <v>406</v>
      </c>
      <c r="H456" s="15">
        <f t="shared" si="56"/>
        <v>3.3332641781285588E-2</v>
      </c>
      <c r="I456">
        <f t="shared" si="57"/>
        <v>118.03921683615249</v>
      </c>
      <c r="J456">
        <f t="shared" si="52"/>
        <v>466.28385069468447</v>
      </c>
      <c r="K456" s="30">
        <f t="shared" si="53"/>
        <v>7247.8111412874632</v>
      </c>
    </row>
    <row r="457" spans="1:11" x14ac:dyDescent="0.25">
      <c r="A457" s="29">
        <v>407</v>
      </c>
      <c r="B457" s="99">
        <f t="shared" si="54"/>
        <v>0</v>
      </c>
      <c r="C457" s="75">
        <f t="shared" si="50"/>
        <v>104.50616427295054</v>
      </c>
      <c r="D457" s="100">
        <f t="shared" si="55"/>
        <v>445.77777777777789</v>
      </c>
      <c r="E457">
        <f t="shared" si="51"/>
        <v>0</v>
      </c>
      <c r="G457">
        <v>407</v>
      </c>
      <c r="H457" s="15">
        <f t="shared" si="56"/>
        <v>3.3332641781285588E-2</v>
      </c>
      <c r="I457">
        <f t="shared" si="57"/>
        <v>118.07254947793378</v>
      </c>
      <c r="J457">
        <f t="shared" si="52"/>
        <v>466.32291578261965</v>
      </c>
      <c r="K457" s="30">
        <f t="shared" si="53"/>
        <v>7249.0249500373566</v>
      </c>
    </row>
    <row r="458" spans="1:11" x14ac:dyDescent="0.25">
      <c r="A458" s="29">
        <v>408</v>
      </c>
      <c r="B458" s="99">
        <f t="shared" si="54"/>
        <v>0</v>
      </c>
      <c r="C458" s="75">
        <f t="shared" si="50"/>
        <v>104.50616427295054</v>
      </c>
      <c r="D458" s="100">
        <f t="shared" si="55"/>
        <v>445.77777777777789</v>
      </c>
      <c r="E458">
        <f t="shared" si="51"/>
        <v>0</v>
      </c>
      <c r="G458">
        <v>408</v>
      </c>
      <c r="H458" s="15">
        <f t="shared" si="56"/>
        <v>3.3332641781285588E-2</v>
      </c>
      <c r="I458">
        <f t="shared" si="57"/>
        <v>118.10588211971506</v>
      </c>
      <c r="J458">
        <f t="shared" si="52"/>
        <v>466.3619403999171</v>
      </c>
      <c r="K458" s="30">
        <f t="shared" si="53"/>
        <v>7250.2376032573375</v>
      </c>
    </row>
    <row r="459" spans="1:11" x14ac:dyDescent="0.25">
      <c r="A459" s="29">
        <v>409</v>
      </c>
      <c r="B459" s="99">
        <f t="shared" si="54"/>
        <v>0</v>
      </c>
      <c r="C459" s="75">
        <f t="shared" si="50"/>
        <v>104.50616427295054</v>
      </c>
      <c r="D459" s="100">
        <f t="shared" si="55"/>
        <v>445.77777777777789</v>
      </c>
      <c r="E459">
        <f t="shared" si="51"/>
        <v>0</v>
      </c>
      <c r="G459">
        <v>409</v>
      </c>
      <c r="H459" s="15">
        <f t="shared" si="56"/>
        <v>3.3332641781285588E-2</v>
      </c>
      <c r="I459">
        <f t="shared" si="57"/>
        <v>118.13921476149635</v>
      </c>
      <c r="J459">
        <f t="shared" si="52"/>
        <v>466.40092461924536</v>
      </c>
      <c r="K459" s="30">
        <f t="shared" si="53"/>
        <v>7251.4491028876791</v>
      </c>
    </row>
    <row r="460" spans="1:11" x14ac:dyDescent="0.25">
      <c r="A460" s="29">
        <v>410</v>
      </c>
      <c r="B460" s="99">
        <f t="shared" si="54"/>
        <v>0</v>
      </c>
      <c r="C460" s="75">
        <f t="shared" si="50"/>
        <v>104.50616427295054</v>
      </c>
      <c r="D460" s="100">
        <f t="shared" si="55"/>
        <v>445.77777777777789</v>
      </c>
      <c r="E460">
        <f t="shared" si="51"/>
        <v>0</v>
      </c>
      <c r="G460">
        <v>410</v>
      </c>
      <c r="H460" s="15">
        <f t="shared" si="56"/>
        <v>3.3332641781285588E-2</v>
      </c>
      <c r="I460">
        <f t="shared" si="57"/>
        <v>118.17254740327763</v>
      </c>
      <c r="J460">
        <f t="shared" si="52"/>
        <v>466.43986851302401</v>
      </c>
      <c r="K460" s="30">
        <f t="shared" si="53"/>
        <v>7252.6594508620083</v>
      </c>
    </row>
    <row r="461" spans="1:11" x14ac:dyDescent="0.25">
      <c r="A461" s="29">
        <v>411</v>
      </c>
      <c r="B461" s="99">
        <f t="shared" si="54"/>
        <v>0</v>
      </c>
      <c r="C461" s="75">
        <f t="shared" si="50"/>
        <v>104.50616427295054</v>
      </c>
      <c r="D461" s="100">
        <f t="shared" si="55"/>
        <v>445.77777777777789</v>
      </c>
      <c r="E461">
        <f t="shared" si="51"/>
        <v>0</v>
      </c>
      <c r="G461">
        <v>411</v>
      </c>
      <c r="H461" s="15">
        <f t="shared" si="56"/>
        <v>3.3332641781285588E-2</v>
      </c>
      <c r="I461">
        <f t="shared" si="57"/>
        <v>118.20588004505892</v>
      </c>
      <c r="J461">
        <f t="shared" si="52"/>
        <v>466.4787721534251</v>
      </c>
      <c r="K461" s="30">
        <f t="shared" si="53"/>
        <v>7253.8686491073577</v>
      </c>
    </row>
    <row r="462" spans="1:11" x14ac:dyDescent="0.25">
      <c r="A462" s="29">
        <v>412</v>
      </c>
      <c r="B462" s="99">
        <f t="shared" si="54"/>
        <v>0</v>
      </c>
      <c r="C462" s="75">
        <f t="shared" si="50"/>
        <v>104.50616427295054</v>
      </c>
      <c r="D462" s="100">
        <f t="shared" si="55"/>
        <v>445.77777777777789</v>
      </c>
      <c r="E462">
        <f t="shared" si="51"/>
        <v>0</v>
      </c>
      <c r="G462">
        <v>412</v>
      </c>
      <c r="H462" s="15">
        <f t="shared" si="56"/>
        <v>3.3332641781285588E-2</v>
      </c>
      <c r="I462">
        <f t="shared" si="57"/>
        <v>118.2392126868402</v>
      </c>
      <c r="J462">
        <f t="shared" si="52"/>
        <v>466.51763561237431</v>
      </c>
      <c r="K462" s="30">
        <f t="shared" si="53"/>
        <v>7255.0766995441745</v>
      </c>
    </row>
    <row r="463" spans="1:11" x14ac:dyDescent="0.25">
      <c r="A463" s="29">
        <v>413</v>
      </c>
      <c r="B463" s="99">
        <f t="shared" si="54"/>
        <v>0</v>
      </c>
      <c r="C463" s="75">
        <f t="shared" si="50"/>
        <v>104.50616427295054</v>
      </c>
      <c r="D463" s="100">
        <f t="shared" si="55"/>
        <v>445.77777777777789</v>
      </c>
      <c r="E463">
        <f t="shared" si="51"/>
        <v>0</v>
      </c>
      <c r="G463">
        <v>413</v>
      </c>
      <c r="H463" s="15">
        <f t="shared" si="56"/>
        <v>3.3332641781285588E-2</v>
      </c>
      <c r="I463">
        <f t="shared" si="57"/>
        <v>118.27254532862149</v>
      </c>
      <c r="J463">
        <f t="shared" si="52"/>
        <v>466.55645896155181</v>
      </c>
      <c r="K463" s="30">
        <f t="shared" si="53"/>
        <v>7256.2836040863631</v>
      </c>
    </row>
    <row r="464" spans="1:11" x14ac:dyDescent="0.25">
      <c r="A464" s="29">
        <v>414</v>
      </c>
      <c r="B464" s="99">
        <f t="shared" si="54"/>
        <v>0</v>
      </c>
      <c r="C464" s="75">
        <f t="shared" ref="C464:C527" si="58">($C$37-$C$36)/2000+C463</f>
        <v>104.50616427295054</v>
      </c>
      <c r="D464" s="100">
        <f t="shared" si="55"/>
        <v>445.77777777777789</v>
      </c>
      <c r="E464">
        <f t="shared" si="51"/>
        <v>0</v>
      </c>
      <c r="G464">
        <v>414</v>
      </c>
      <c r="H464" s="15">
        <f t="shared" si="56"/>
        <v>3.3332641781285588E-2</v>
      </c>
      <c r="I464">
        <f t="shared" si="57"/>
        <v>118.30587797040278</v>
      </c>
      <c r="J464">
        <f t="shared" si="52"/>
        <v>466.59524227239382</v>
      </c>
      <c r="K464" s="30">
        <f t="shared" si="53"/>
        <v>7257.4893646413138</v>
      </c>
    </row>
    <row r="465" spans="1:11" x14ac:dyDescent="0.25">
      <c r="A465" s="29">
        <v>415</v>
      </c>
      <c r="B465" s="99">
        <f t="shared" si="54"/>
        <v>0</v>
      </c>
      <c r="C465" s="75">
        <f t="shared" si="58"/>
        <v>104.50616427295054</v>
      </c>
      <c r="D465" s="100">
        <f t="shared" si="55"/>
        <v>445.77777777777789</v>
      </c>
      <c r="E465">
        <f t="shared" si="51"/>
        <v>0</v>
      </c>
      <c r="G465">
        <v>415</v>
      </c>
      <c r="H465" s="15">
        <f t="shared" si="56"/>
        <v>3.3332641781285588E-2</v>
      </c>
      <c r="I465">
        <f t="shared" si="57"/>
        <v>118.33921061218406</v>
      </c>
      <c r="J465">
        <f t="shared" si="52"/>
        <v>466.63398561609364</v>
      </c>
      <c r="K465" s="30">
        <f t="shared" si="53"/>
        <v>7258.6939831099398</v>
      </c>
    </row>
    <row r="466" spans="1:11" x14ac:dyDescent="0.25">
      <c r="A466" s="29">
        <v>416</v>
      </c>
      <c r="B466" s="99">
        <f t="shared" si="54"/>
        <v>0</v>
      </c>
      <c r="C466" s="75">
        <f t="shared" si="58"/>
        <v>104.50616427295054</v>
      </c>
      <c r="D466" s="100">
        <f t="shared" si="55"/>
        <v>445.77777777777789</v>
      </c>
      <c r="E466">
        <f t="shared" si="51"/>
        <v>0</v>
      </c>
      <c r="G466">
        <v>416</v>
      </c>
      <c r="H466" s="15">
        <f t="shared" si="56"/>
        <v>3.3332641781285588E-2</v>
      </c>
      <c r="I466">
        <f t="shared" si="57"/>
        <v>118.37254325396535</v>
      </c>
      <c r="J466">
        <f t="shared" si="52"/>
        <v>466.67268906360272</v>
      </c>
      <c r="K466" s="30">
        <f t="shared" si="53"/>
        <v>7259.8974613866931</v>
      </c>
    </row>
    <row r="467" spans="1:11" x14ac:dyDescent="0.25">
      <c r="A467" s="29">
        <v>417</v>
      </c>
      <c r="B467" s="99">
        <f t="shared" si="54"/>
        <v>0</v>
      </c>
      <c r="C467" s="75">
        <f t="shared" si="58"/>
        <v>104.50616427295054</v>
      </c>
      <c r="D467" s="100">
        <f t="shared" si="55"/>
        <v>445.77777777777789</v>
      </c>
      <c r="E467">
        <f t="shared" si="51"/>
        <v>0</v>
      </c>
      <c r="G467">
        <v>417</v>
      </c>
      <c r="H467" s="15">
        <f t="shared" si="56"/>
        <v>3.3332641781285588E-2</v>
      </c>
      <c r="I467">
        <f t="shared" si="57"/>
        <v>118.40587589574663</v>
      </c>
      <c r="J467">
        <f t="shared" si="52"/>
        <v>466.71135268563177</v>
      </c>
      <c r="K467" s="30">
        <f t="shared" si="53"/>
        <v>7261.0998013596154</v>
      </c>
    </row>
    <row r="468" spans="1:11" x14ac:dyDescent="0.25">
      <c r="A468" s="29">
        <v>418</v>
      </c>
      <c r="B468" s="99">
        <f t="shared" si="54"/>
        <v>0</v>
      </c>
      <c r="C468" s="75">
        <f t="shared" si="58"/>
        <v>104.50616427295054</v>
      </c>
      <c r="D468" s="100">
        <f t="shared" si="55"/>
        <v>445.77777777777789</v>
      </c>
      <c r="E468">
        <f t="shared" si="51"/>
        <v>0</v>
      </c>
      <c r="G468">
        <v>418</v>
      </c>
      <c r="H468" s="15">
        <f t="shared" si="56"/>
        <v>3.3332641781285588E-2</v>
      </c>
      <c r="I468">
        <f t="shared" si="57"/>
        <v>118.43920853752792</v>
      </c>
      <c r="J468">
        <f t="shared" si="52"/>
        <v>466.74997655265219</v>
      </c>
      <c r="K468" s="30">
        <f t="shared" si="53"/>
        <v>7262.3010049103495</v>
      </c>
    </row>
    <row r="469" spans="1:11" x14ac:dyDescent="0.25">
      <c r="A469" s="29">
        <v>419</v>
      </c>
      <c r="B469" s="99">
        <f t="shared" si="54"/>
        <v>0</v>
      </c>
      <c r="C469" s="75">
        <f t="shared" si="58"/>
        <v>104.50616427295054</v>
      </c>
      <c r="D469" s="100">
        <f t="shared" si="55"/>
        <v>445.77777777777789</v>
      </c>
      <c r="E469">
        <f t="shared" si="51"/>
        <v>0</v>
      </c>
      <c r="G469">
        <v>419</v>
      </c>
      <c r="H469" s="15">
        <f t="shared" si="56"/>
        <v>3.3332641781285588E-2</v>
      </c>
      <c r="I469">
        <f t="shared" si="57"/>
        <v>118.4725411793092</v>
      </c>
      <c r="J469">
        <f t="shared" si="52"/>
        <v>466.78856073489681</v>
      </c>
      <c r="K469" s="30">
        <f t="shared" si="53"/>
        <v>7263.5010739141799</v>
      </c>
    </row>
    <row r="470" spans="1:11" x14ac:dyDescent="0.25">
      <c r="A470" s="29">
        <v>420</v>
      </c>
      <c r="B470" s="99">
        <f t="shared" si="54"/>
        <v>0</v>
      </c>
      <c r="C470" s="75">
        <f t="shared" si="58"/>
        <v>104.50616427295054</v>
      </c>
      <c r="D470" s="100">
        <f t="shared" si="55"/>
        <v>445.77777777777789</v>
      </c>
      <c r="E470">
        <f t="shared" si="51"/>
        <v>0</v>
      </c>
      <c r="G470">
        <v>420</v>
      </c>
      <c r="H470" s="15">
        <f t="shared" si="56"/>
        <v>3.3332641781285588E-2</v>
      </c>
      <c r="I470">
        <f t="shared" si="57"/>
        <v>118.50587382109049</v>
      </c>
      <c r="J470">
        <f t="shared" si="52"/>
        <v>466.82710530236142</v>
      </c>
      <c r="K470" s="30">
        <f t="shared" si="53"/>
        <v>7264.7000102400625</v>
      </c>
    </row>
    <row r="471" spans="1:11" x14ac:dyDescent="0.25">
      <c r="A471" s="29">
        <v>421</v>
      </c>
      <c r="B471" s="99">
        <f t="shared" si="54"/>
        <v>0</v>
      </c>
      <c r="C471" s="75">
        <f t="shared" si="58"/>
        <v>104.50616427295054</v>
      </c>
      <c r="D471" s="100">
        <f t="shared" si="55"/>
        <v>445.77777777777789</v>
      </c>
      <c r="E471">
        <f t="shared" si="51"/>
        <v>0</v>
      </c>
      <c r="G471">
        <v>421</v>
      </c>
      <c r="H471" s="15">
        <f t="shared" si="56"/>
        <v>3.3332641781285588E-2</v>
      </c>
      <c r="I471">
        <f t="shared" si="57"/>
        <v>118.53920646287177</v>
      </c>
      <c r="J471">
        <f t="shared" si="52"/>
        <v>466.86561032480552</v>
      </c>
      <c r="K471" s="30">
        <f t="shared" si="53"/>
        <v>7265.8978157506526</v>
      </c>
    </row>
    <row r="472" spans="1:11" x14ac:dyDescent="0.25">
      <c r="A472" s="29">
        <v>422</v>
      </c>
      <c r="B472" s="99">
        <f t="shared" si="54"/>
        <v>0</v>
      </c>
      <c r="C472" s="75">
        <f t="shared" si="58"/>
        <v>104.50616427295054</v>
      </c>
      <c r="D472" s="100">
        <f t="shared" si="55"/>
        <v>445.77777777777789</v>
      </c>
      <c r="E472">
        <f t="shared" si="51"/>
        <v>0</v>
      </c>
      <c r="G472">
        <v>422</v>
      </c>
      <c r="H472" s="15">
        <f t="shared" si="56"/>
        <v>3.3332641781285588E-2</v>
      </c>
      <c r="I472">
        <f t="shared" si="57"/>
        <v>118.57253910465306</v>
      </c>
      <c r="J472">
        <f t="shared" si="52"/>
        <v>466.90407587175361</v>
      </c>
      <c r="K472" s="30">
        <f t="shared" si="53"/>
        <v>7267.0944923023317</v>
      </c>
    </row>
    <row r="473" spans="1:11" x14ac:dyDescent="0.25">
      <c r="A473" s="29">
        <v>423</v>
      </c>
      <c r="B473" s="99">
        <f t="shared" si="54"/>
        <v>0</v>
      </c>
      <c r="C473" s="75">
        <f t="shared" si="58"/>
        <v>104.50616427295054</v>
      </c>
      <c r="D473" s="100">
        <f t="shared" si="55"/>
        <v>445.77777777777789</v>
      </c>
      <c r="E473">
        <f t="shared" si="51"/>
        <v>0</v>
      </c>
      <c r="G473">
        <v>423</v>
      </c>
      <c r="H473" s="15">
        <f t="shared" si="56"/>
        <v>3.3332641781285588E-2</v>
      </c>
      <c r="I473">
        <f t="shared" si="57"/>
        <v>118.60587174643435</v>
      </c>
      <c r="J473">
        <f t="shared" si="52"/>
        <v>466.94250201249639</v>
      </c>
      <c r="K473" s="30">
        <f t="shared" si="53"/>
        <v>7268.2900417452411</v>
      </c>
    </row>
    <row r="474" spans="1:11" x14ac:dyDescent="0.25">
      <c r="A474" s="29">
        <v>424</v>
      </c>
      <c r="B474" s="99">
        <f t="shared" si="54"/>
        <v>0</v>
      </c>
      <c r="C474" s="75">
        <f t="shared" si="58"/>
        <v>104.50616427295054</v>
      </c>
      <c r="D474" s="100">
        <f t="shared" si="55"/>
        <v>445.77777777777789</v>
      </c>
      <c r="E474">
        <f t="shared" si="51"/>
        <v>0</v>
      </c>
      <c r="G474">
        <v>424</v>
      </c>
      <c r="H474" s="15">
        <f t="shared" si="56"/>
        <v>3.3332641781285588E-2</v>
      </c>
      <c r="I474">
        <f t="shared" si="57"/>
        <v>118.63920438821563</v>
      </c>
      <c r="J474">
        <f t="shared" si="52"/>
        <v>466.98088881609164</v>
      </c>
      <c r="K474" s="30">
        <f t="shared" si="53"/>
        <v>7269.4844659233131</v>
      </c>
    </row>
    <row r="475" spans="1:11" x14ac:dyDescent="0.25">
      <c r="A475" s="29">
        <v>425</v>
      </c>
      <c r="B475" s="99">
        <f t="shared" si="54"/>
        <v>0</v>
      </c>
      <c r="C475" s="75">
        <f t="shared" si="58"/>
        <v>104.50616427295054</v>
      </c>
      <c r="D475" s="100">
        <f t="shared" si="55"/>
        <v>445.77777777777789</v>
      </c>
      <c r="E475">
        <f t="shared" si="51"/>
        <v>0</v>
      </c>
      <c r="G475">
        <v>425</v>
      </c>
      <c r="H475" s="15">
        <f t="shared" si="56"/>
        <v>3.3332641781285588E-2</v>
      </c>
      <c r="I475">
        <f t="shared" si="57"/>
        <v>118.67253702999692</v>
      </c>
      <c r="J475">
        <f t="shared" si="52"/>
        <v>467.01923635136552</v>
      </c>
      <c r="K475" s="30">
        <f t="shared" si="53"/>
        <v>7270.6777666742928</v>
      </c>
    </row>
    <row r="476" spans="1:11" x14ac:dyDescent="0.25">
      <c r="A476" s="29">
        <v>426</v>
      </c>
      <c r="B476" s="99">
        <f t="shared" si="54"/>
        <v>0</v>
      </c>
      <c r="C476" s="75">
        <f t="shared" si="58"/>
        <v>104.50616427295054</v>
      </c>
      <c r="D476" s="100">
        <f t="shared" si="55"/>
        <v>445.77777777777789</v>
      </c>
      <c r="E476">
        <f t="shared" si="51"/>
        <v>0</v>
      </c>
      <c r="G476">
        <v>426</v>
      </c>
      <c r="H476" s="15">
        <f t="shared" si="56"/>
        <v>3.3332641781285588E-2</v>
      </c>
      <c r="I476">
        <f t="shared" si="57"/>
        <v>118.7058696717782</v>
      </c>
      <c r="J476">
        <f t="shared" si="52"/>
        <v>467.05754468691345</v>
      </c>
      <c r="K476" s="30">
        <f t="shared" si="53"/>
        <v>7271.8699458297733</v>
      </c>
    </row>
    <row r="477" spans="1:11" x14ac:dyDescent="0.25">
      <c r="A477" s="29">
        <v>427</v>
      </c>
      <c r="B477" s="99">
        <f t="shared" si="54"/>
        <v>0</v>
      </c>
      <c r="C477" s="75">
        <f t="shared" si="58"/>
        <v>104.50616427295054</v>
      </c>
      <c r="D477" s="100">
        <f t="shared" si="55"/>
        <v>445.77777777777789</v>
      </c>
      <c r="E477">
        <f t="shared" si="51"/>
        <v>0</v>
      </c>
      <c r="G477">
        <v>427</v>
      </c>
      <c r="H477" s="15">
        <f t="shared" si="56"/>
        <v>3.3332641781285588E-2</v>
      </c>
      <c r="I477">
        <f t="shared" si="57"/>
        <v>118.73920231355949</v>
      </c>
      <c r="J477">
        <f t="shared" si="52"/>
        <v>467.09581389110139</v>
      </c>
      <c r="K477" s="30">
        <f t="shared" si="53"/>
        <v>7273.0610052152224</v>
      </c>
    </row>
    <row r="478" spans="1:11" x14ac:dyDescent="0.25">
      <c r="A478" s="29">
        <v>428</v>
      </c>
      <c r="B478" s="99">
        <f t="shared" si="54"/>
        <v>0</v>
      </c>
      <c r="C478" s="75">
        <f t="shared" si="58"/>
        <v>104.50616427295054</v>
      </c>
      <c r="D478" s="100">
        <f t="shared" si="55"/>
        <v>445.77777777777789</v>
      </c>
      <c r="E478">
        <f t="shared" si="51"/>
        <v>0</v>
      </c>
      <c r="G478">
        <v>428</v>
      </c>
      <c r="H478" s="15">
        <f t="shared" si="56"/>
        <v>3.3332641781285588E-2</v>
      </c>
      <c r="I478">
        <f t="shared" si="57"/>
        <v>118.77253495534077</v>
      </c>
      <c r="J478">
        <f t="shared" si="52"/>
        <v>467.13404403206681</v>
      </c>
      <c r="K478" s="30">
        <f t="shared" si="53"/>
        <v>7274.2509466500096</v>
      </c>
    </row>
    <row r="479" spans="1:11" x14ac:dyDescent="0.25">
      <c r="A479" s="29">
        <v>429</v>
      </c>
      <c r="B479" s="99">
        <f t="shared" si="54"/>
        <v>0</v>
      </c>
      <c r="C479" s="75">
        <f t="shared" si="58"/>
        <v>104.50616427295054</v>
      </c>
      <c r="D479" s="100">
        <f t="shared" si="55"/>
        <v>445.77777777777789</v>
      </c>
      <c r="E479">
        <f t="shared" si="51"/>
        <v>0</v>
      </c>
      <c r="G479">
        <v>429</v>
      </c>
      <c r="H479" s="15">
        <f t="shared" si="56"/>
        <v>3.3332641781285588E-2</v>
      </c>
      <c r="I479">
        <f t="shared" si="57"/>
        <v>118.80586759712206</v>
      </c>
      <c r="J479">
        <f t="shared" si="52"/>
        <v>467.17223517771976</v>
      </c>
      <c r="K479" s="30">
        <f t="shared" si="53"/>
        <v>7275.4397719474409</v>
      </c>
    </row>
    <row r="480" spans="1:11" x14ac:dyDescent="0.25">
      <c r="A480" s="29">
        <v>430</v>
      </c>
      <c r="B480" s="99">
        <f t="shared" si="54"/>
        <v>0</v>
      </c>
      <c r="C480" s="75">
        <f t="shared" si="58"/>
        <v>104.50616427295054</v>
      </c>
      <c r="D480" s="100">
        <f t="shared" si="55"/>
        <v>445.77777777777789</v>
      </c>
      <c r="E480">
        <f t="shared" si="51"/>
        <v>0</v>
      </c>
      <c r="G480">
        <v>430</v>
      </c>
      <c r="H480" s="15">
        <f t="shared" si="56"/>
        <v>3.3332641781285588E-2</v>
      </c>
      <c r="I480">
        <f t="shared" si="57"/>
        <v>118.83920023890335</v>
      </c>
      <c r="J480">
        <f t="shared" si="52"/>
        <v>467.21038739574391</v>
      </c>
      <c r="K480" s="30">
        <f t="shared" si="53"/>
        <v>7276.6274829147778</v>
      </c>
    </row>
    <row r="481" spans="1:11" x14ac:dyDescent="0.25">
      <c r="A481" s="29">
        <v>431</v>
      </c>
      <c r="B481" s="99">
        <f t="shared" si="54"/>
        <v>0</v>
      </c>
      <c r="C481" s="75">
        <f t="shared" si="58"/>
        <v>104.50616427295054</v>
      </c>
      <c r="D481" s="100">
        <f t="shared" si="55"/>
        <v>445.77777777777789</v>
      </c>
      <c r="E481">
        <f t="shared" si="51"/>
        <v>0</v>
      </c>
      <c r="G481">
        <v>431</v>
      </c>
      <c r="H481" s="15">
        <f t="shared" si="56"/>
        <v>3.3332641781285588E-2</v>
      </c>
      <c r="I481">
        <f t="shared" si="57"/>
        <v>118.87253288068463</v>
      </c>
      <c r="J481">
        <f t="shared" si="52"/>
        <v>467.24850075359768</v>
      </c>
      <c r="K481" s="30">
        <f t="shared" si="53"/>
        <v>7277.8140813532709</v>
      </c>
    </row>
    <row r="482" spans="1:11" x14ac:dyDescent="0.25">
      <c r="A482" s="29">
        <v>432</v>
      </c>
      <c r="B482" s="99">
        <f t="shared" si="54"/>
        <v>0</v>
      </c>
      <c r="C482" s="75">
        <f t="shared" si="58"/>
        <v>104.50616427295054</v>
      </c>
      <c r="D482" s="100">
        <f t="shared" si="55"/>
        <v>445.77777777777789</v>
      </c>
      <c r="E482">
        <f t="shared" si="51"/>
        <v>0</v>
      </c>
      <c r="G482">
        <v>432</v>
      </c>
      <c r="H482" s="15">
        <f t="shared" si="56"/>
        <v>3.3332641781285588E-2</v>
      </c>
      <c r="I482">
        <f t="shared" si="57"/>
        <v>118.90586552246592</v>
      </c>
      <c r="J482">
        <f t="shared" si="52"/>
        <v>467.28657531851519</v>
      </c>
      <c r="K482" s="30">
        <f t="shared" si="53"/>
        <v>7278.9995690581882</v>
      </c>
    </row>
    <row r="483" spans="1:11" x14ac:dyDescent="0.25">
      <c r="A483" s="29">
        <v>433</v>
      </c>
      <c r="B483" s="99">
        <f t="shared" si="54"/>
        <v>0</v>
      </c>
      <c r="C483" s="75">
        <f t="shared" si="58"/>
        <v>104.50616427295054</v>
      </c>
      <c r="D483" s="100">
        <f t="shared" si="55"/>
        <v>445.77777777777789</v>
      </c>
      <c r="E483">
        <f t="shared" si="51"/>
        <v>0</v>
      </c>
      <c r="G483">
        <v>433</v>
      </c>
      <c r="H483" s="15">
        <f t="shared" si="56"/>
        <v>3.3332641781285588E-2</v>
      </c>
      <c r="I483">
        <f t="shared" si="57"/>
        <v>118.9391981642472</v>
      </c>
      <c r="J483">
        <f t="shared" si="52"/>
        <v>467.32461115750743</v>
      </c>
      <c r="K483" s="30">
        <f t="shared" si="53"/>
        <v>7280.1839478188404</v>
      </c>
    </row>
    <row r="484" spans="1:11" x14ac:dyDescent="0.25">
      <c r="A484" s="29">
        <v>434</v>
      </c>
      <c r="B484" s="99">
        <f t="shared" si="54"/>
        <v>0</v>
      </c>
      <c r="C484" s="75">
        <f t="shared" si="58"/>
        <v>104.50616427295054</v>
      </c>
      <c r="D484" s="100">
        <f t="shared" si="55"/>
        <v>445.77777777777789</v>
      </c>
      <c r="E484">
        <f t="shared" si="51"/>
        <v>0</v>
      </c>
      <c r="G484">
        <v>434</v>
      </c>
      <c r="H484" s="15">
        <f t="shared" si="56"/>
        <v>3.3332641781285588E-2</v>
      </c>
      <c r="I484">
        <f t="shared" si="57"/>
        <v>118.97253080602849</v>
      </c>
      <c r="J484">
        <f t="shared" si="52"/>
        <v>467.3626083373631</v>
      </c>
      <c r="K484" s="30">
        <f t="shared" si="53"/>
        <v>7281.3672194186083</v>
      </c>
    </row>
    <row r="485" spans="1:11" x14ac:dyDescent="0.25">
      <c r="A485" s="29">
        <v>435</v>
      </c>
      <c r="B485" s="99">
        <f t="shared" si="54"/>
        <v>0</v>
      </c>
      <c r="C485" s="75">
        <f t="shared" si="58"/>
        <v>104.50616427295054</v>
      </c>
      <c r="D485" s="100">
        <f t="shared" si="55"/>
        <v>445.77777777777789</v>
      </c>
      <c r="E485">
        <f t="shared" si="51"/>
        <v>0</v>
      </c>
      <c r="G485">
        <v>435</v>
      </c>
      <c r="H485" s="15">
        <f t="shared" si="56"/>
        <v>3.3332641781285588E-2</v>
      </c>
      <c r="I485">
        <f t="shared" si="57"/>
        <v>119.00586344780977</v>
      </c>
      <c r="J485">
        <f t="shared" si="52"/>
        <v>467.40056692464992</v>
      </c>
      <c r="K485" s="30">
        <f t="shared" si="53"/>
        <v>7282.5493856349785</v>
      </c>
    </row>
    <row r="486" spans="1:11" x14ac:dyDescent="0.25">
      <c r="A486" s="29">
        <v>436</v>
      </c>
      <c r="B486" s="99">
        <f t="shared" si="54"/>
        <v>0</v>
      </c>
      <c r="C486" s="75">
        <f t="shared" si="58"/>
        <v>104.50616427295054</v>
      </c>
      <c r="D486" s="100">
        <f t="shared" si="55"/>
        <v>445.77777777777789</v>
      </c>
      <c r="E486">
        <f t="shared" si="51"/>
        <v>0</v>
      </c>
      <c r="G486">
        <v>436</v>
      </c>
      <c r="H486" s="15">
        <f t="shared" si="56"/>
        <v>3.3332641781285588E-2</v>
      </c>
      <c r="I486">
        <f t="shared" si="57"/>
        <v>119.03919608959106</v>
      </c>
      <c r="J486">
        <f t="shared" si="52"/>
        <v>467.43848698571531</v>
      </c>
      <c r="K486" s="30">
        <f t="shared" si="53"/>
        <v>7283.730448239553</v>
      </c>
    </row>
    <row r="487" spans="1:11" x14ac:dyDescent="0.25">
      <c r="A487" s="29">
        <v>437</v>
      </c>
      <c r="B487" s="99">
        <f t="shared" si="54"/>
        <v>0</v>
      </c>
      <c r="C487" s="75">
        <f t="shared" si="58"/>
        <v>104.50616427295054</v>
      </c>
      <c r="D487" s="100">
        <f t="shared" si="55"/>
        <v>445.77777777777789</v>
      </c>
      <c r="E487">
        <f t="shared" si="51"/>
        <v>0</v>
      </c>
      <c r="G487">
        <v>437</v>
      </c>
      <c r="H487" s="15">
        <f t="shared" si="56"/>
        <v>3.3332641781285588E-2</v>
      </c>
      <c r="I487">
        <f t="shared" si="57"/>
        <v>119.07252873137234</v>
      </c>
      <c r="J487">
        <f t="shared" si="52"/>
        <v>467.47636858668773</v>
      </c>
      <c r="K487" s="30">
        <f t="shared" si="53"/>
        <v>7284.9104089980974</v>
      </c>
    </row>
    <row r="488" spans="1:11" x14ac:dyDescent="0.25">
      <c r="A488" s="29">
        <v>438</v>
      </c>
      <c r="B488" s="99">
        <f t="shared" si="54"/>
        <v>0</v>
      </c>
      <c r="C488" s="75">
        <f t="shared" si="58"/>
        <v>104.50616427295054</v>
      </c>
      <c r="D488" s="100">
        <f t="shared" si="55"/>
        <v>445.77777777777789</v>
      </c>
      <c r="E488">
        <f t="shared" si="51"/>
        <v>0</v>
      </c>
      <c r="G488">
        <v>438</v>
      </c>
      <c r="H488" s="15">
        <f t="shared" si="56"/>
        <v>3.3332641781285588E-2</v>
      </c>
      <c r="I488">
        <f t="shared" si="57"/>
        <v>119.10586137315363</v>
      </c>
      <c r="J488">
        <f t="shared" si="52"/>
        <v>467.51421179347739</v>
      </c>
      <c r="K488" s="30">
        <f t="shared" si="53"/>
        <v>7286.0892696705514</v>
      </c>
    </row>
    <row r="489" spans="1:11" x14ac:dyDescent="0.25">
      <c r="A489" s="29">
        <v>439</v>
      </c>
      <c r="B489" s="99">
        <f t="shared" si="54"/>
        <v>0</v>
      </c>
      <c r="C489" s="75">
        <f t="shared" si="58"/>
        <v>104.50616427295054</v>
      </c>
      <c r="D489" s="100">
        <f t="shared" si="55"/>
        <v>445.77777777777789</v>
      </c>
      <c r="E489">
        <f t="shared" si="51"/>
        <v>0</v>
      </c>
      <c r="G489">
        <v>439</v>
      </c>
      <c r="H489" s="15">
        <f t="shared" si="56"/>
        <v>3.3332641781285588E-2</v>
      </c>
      <c r="I489">
        <f t="shared" si="57"/>
        <v>119.13919401493492</v>
      </c>
      <c r="J489">
        <f t="shared" si="52"/>
        <v>467.55201667177761</v>
      </c>
      <c r="K489" s="30">
        <f t="shared" si="53"/>
        <v>7287.2670320110628</v>
      </c>
    </row>
    <row r="490" spans="1:11" x14ac:dyDescent="0.25">
      <c r="A490" s="29">
        <v>440</v>
      </c>
      <c r="B490" s="99">
        <f t="shared" si="54"/>
        <v>0</v>
      </c>
      <c r="C490" s="75">
        <f t="shared" si="58"/>
        <v>104.50616427295054</v>
      </c>
      <c r="D490" s="100">
        <f t="shared" si="55"/>
        <v>445.77777777777789</v>
      </c>
      <c r="E490">
        <f t="shared" si="51"/>
        <v>0</v>
      </c>
      <c r="G490">
        <v>440</v>
      </c>
      <c r="H490" s="15">
        <f t="shared" si="56"/>
        <v>3.3332641781285588E-2</v>
      </c>
      <c r="I490">
        <f t="shared" si="57"/>
        <v>119.1725266567162</v>
      </c>
      <c r="J490">
        <f t="shared" si="52"/>
        <v>467.58978328706542</v>
      </c>
      <c r="K490" s="30">
        <f t="shared" si="53"/>
        <v>7288.4436977680134</v>
      </c>
    </row>
    <row r="491" spans="1:11" x14ac:dyDescent="0.25">
      <c r="A491" s="29">
        <v>441</v>
      </c>
      <c r="B491" s="99">
        <f t="shared" si="54"/>
        <v>0</v>
      </c>
      <c r="C491" s="75">
        <f t="shared" si="58"/>
        <v>104.50616427295054</v>
      </c>
      <c r="D491" s="100">
        <f t="shared" si="55"/>
        <v>445.77777777777789</v>
      </c>
      <c r="E491">
        <f t="shared" si="51"/>
        <v>0</v>
      </c>
      <c r="G491">
        <v>441</v>
      </c>
      <c r="H491" s="15">
        <f t="shared" si="56"/>
        <v>3.3332641781285588E-2</v>
      </c>
      <c r="I491">
        <f t="shared" si="57"/>
        <v>119.20585929849749</v>
      </c>
      <c r="J491">
        <f t="shared" si="52"/>
        <v>467.62751170460291</v>
      </c>
      <c r="K491" s="30">
        <f t="shared" si="53"/>
        <v>7289.6192686840486</v>
      </c>
    </row>
    <row r="492" spans="1:11" x14ac:dyDescent="0.25">
      <c r="A492" s="29">
        <v>442</v>
      </c>
      <c r="B492" s="99">
        <f t="shared" si="54"/>
        <v>0</v>
      </c>
      <c r="C492" s="75">
        <f t="shared" si="58"/>
        <v>104.50616427295054</v>
      </c>
      <c r="D492" s="100">
        <f t="shared" si="55"/>
        <v>445.77777777777789</v>
      </c>
      <c r="E492">
        <f t="shared" si="51"/>
        <v>0</v>
      </c>
      <c r="G492">
        <v>442</v>
      </c>
      <c r="H492" s="15">
        <f t="shared" si="56"/>
        <v>3.3332641781285588E-2</v>
      </c>
      <c r="I492">
        <f t="shared" si="57"/>
        <v>119.23919194027877</v>
      </c>
      <c r="J492">
        <f t="shared" si="52"/>
        <v>467.66520198943795</v>
      </c>
      <c r="K492" s="30">
        <f t="shared" si="53"/>
        <v>7290.7937464960914</v>
      </c>
    </row>
    <row r="493" spans="1:11" x14ac:dyDescent="0.25">
      <c r="A493" s="29">
        <v>443</v>
      </c>
      <c r="B493" s="99">
        <f t="shared" si="54"/>
        <v>0</v>
      </c>
      <c r="C493" s="75">
        <f t="shared" si="58"/>
        <v>104.50616427295054</v>
      </c>
      <c r="D493" s="100">
        <f t="shared" si="55"/>
        <v>445.77777777777789</v>
      </c>
      <c r="E493">
        <f t="shared" si="51"/>
        <v>0</v>
      </c>
      <c r="G493">
        <v>443</v>
      </c>
      <c r="H493" s="15">
        <f t="shared" si="56"/>
        <v>3.3332641781285588E-2</v>
      </c>
      <c r="I493">
        <f t="shared" si="57"/>
        <v>119.27252458206006</v>
      </c>
      <c r="J493">
        <f t="shared" si="52"/>
        <v>467.70285420640528</v>
      </c>
      <c r="K493" s="30">
        <f t="shared" si="53"/>
        <v>7291.9671329353851</v>
      </c>
    </row>
    <row r="494" spans="1:11" x14ac:dyDescent="0.25">
      <c r="A494" s="29">
        <v>444</v>
      </c>
      <c r="B494" s="99">
        <f t="shared" si="54"/>
        <v>0</v>
      </c>
      <c r="C494" s="75">
        <f t="shared" si="58"/>
        <v>104.50616427295054</v>
      </c>
      <c r="D494" s="100">
        <f t="shared" si="55"/>
        <v>445.77777777777789</v>
      </c>
      <c r="E494">
        <f t="shared" si="51"/>
        <v>0</v>
      </c>
      <c r="G494">
        <v>444</v>
      </c>
      <c r="H494" s="15">
        <f t="shared" si="56"/>
        <v>3.3332641781285588E-2</v>
      </c>
      <c r="I494">
        <f t="shared" si="57"/>
        <v>119.30585722384134</v>
      </c>
      <c r="J494">
        <f t="shared" si="52"/>
        <v>467.74046842012751</v>
      </c>
      <c r="K494" s="30">
        <f t="shared" si="53"/>
        <v>7293.1394297275083</v>
      </c>
    </row>
    <row r="495" spans="1:11" x14ac:dyDescent="0.25">
      <c r="A495" s="29">
        <v>445</v>
      </c>
      <c r="B495" s="99">
        <f t="shared" si="54"/>
        <v>0</v>
      </c>
      <c r="C495" s="75">
        <f t="shared" si="58"/>
        <v>104.50616427295054</v>
      </c>
      <c r="D495" s="100">
        <f t="shared" si="55"/>
        <v>445.77777777777789</v>
      </c>
      <c r="E495">
        <f t="shared" si="51"/>
        <v>0</v>
      </c>
      <c r="G495">
        <v>445</v>
      </c>
      <c r="H495" s="15">
        <f t="shared" si="56"/>
        <v>3.3332641781285588E-2</v>
      </c>
      <c r="I495">
        <f t="shared" si="57"/>
        <v>119.33918986562263</v>
      </c>
      <c r="J495">
        <f t="shared" si="52"/>
        <v>467.77804469501615</v>
      </c>
      <c r="K495" s="30">
        <f t="shared" si="53"/>
        <v>7294.3106385924102</v>
      </c>
    </row>
    <row r="496" spans="1:11" x14ac:dyDescent="0.25">
      <c r="A496" s="29">
        <v>446</v>
      </c>
      <c r="B496" s="99">
        <f t="shared" si="54"/>
        <v>0</v>
      </c>
      <c r="C496" s="75">
        <f t="shared" si="58"/>
        <v>104.50616427295054</v>
      </c>
      <c r="D496" s="100">
        <f t="shared" si="55"/>
        <v>445.77777777777789</v>
      </c>
      <c r="E496">
        <f t="shared" si="51"/>
        <v>0</v>
      </c>
      <c r="G496">
        <v>446</v>
      </c>
      <c r="H496" s="15">
        <f t="shared" si="56"/>
        <v>3.3332641781285588E-2</v>
      </c>
      <c r="I496">
        <f t="shared" si="57"/>
        <v>119.37252250740391</v>
      </c>
      <c r="J496">
        <f t="shared" si="52"/>
        <v>467.8155830952723</v>
      </c>
      <c r="K496" s="30">
        <f t="shared" si="53"/>
        <v>7295.4807612444165</v>
      </c>
    </row>
    <row r="497" spans="1:11" x14ac:dyDescent="0.25">
      <c r="A497" s="29">
        <v>447</v>
      </c>
      <c r="B497" s="99">
        <f t="shared" si="54"/>
        <v>0</v>
      </c>
      <c r="C497" s="75">
        <f t="shared" si="58"/>
        <v>104.50616427295054</v>
      </c>
      <c r="D497" s="100">
        <f t="shared" si="55"/>
        <v>445.77777777777789</v>
      </c>
      <c r="E497">
        <f t="shared" si="51"/>
        <v>0</v>
      </c>
      <c r="G497">
        <v>447</v>
      </c>
      <c r="H497" s="15">
        <f t="shared" si="56"/>
        <v>3.3332641781285588E-2</v>
      </c>
      <c r="I497">
        <f t="shared" si="57"/>
        <v>119.4058551491852</v>
      </c>
      <c r="J497">
        <f t="shared" si="52"/>
        <v>467.85308368488791</v>
      </c>
      <c r="K497" s="30">
        <f t="shared" si="53"/>
        <v>7296.6497993922831</v>
      </c>
    </row>
    <row r="498" spans="1:11" x14ac:dyDescent="0.25">
      <c r="A498" s="29">
        <v>448</v>
      </c>
      <c r="B498" s="99">
        <f t="shared" si="54"/>
        <v>0</v>
      </c>
      <c r="C498" s="75">
        <f t="shared" si="58"/>
        <v>104.50616427295054</v>
      </c>
      <c r="D498" s="100">
        <f t="shared" si="55"/>
        <v>445.77777777777789</v>
      </c>
      <c r="E498">
        <f t="shared" si="51"/>
        <v>0</v>
      </c>
      <c r="G498">
        <v>448</v>
      </c>
      <c r="H498" s="15">
        <f t="shared" si="56"/>
        <v>3.3332641781285588E-2</v>
      </c>
      <c r="I498">
        <f t="shared" si="57"/>
        <v>119.43918779096649</v>
      </c>
      <c r="J498">
        <f t="shared" si="52"/>
        <v>467.89054652764668</v>
      </c>
      <c r="K498" s="30">
        <f t="shared" si="53"/>
        <v>7297.8177547391997</v>
      </c>
    </row>
    <row r="499" spans="1:11" x14ac:dyDescent="0.25">
      <c r="A499" s="29">
        <v>449</v>
      </c>
      <c r="B499" s="99">
        <f t="shared" si="54"/>
        <v>0</v>
      </c>
      <c r="C499" s="75">
        <f t="shared" si="58"/>
        <v>104.50616427295054</v>
      </c>
      <c r="D499" s="100">
        <f t="shared" si="55"/>
        <v>445.77777777777789</v>
      </c>
      <c r="E499">
        <f t="shared" ref="E499:E562" si="59">((D499^2)+(D499*D500)+(D500^2))*B500/3</f>
        <v>0</v>
      </c>
      <c r="G499">
        <v>449</v>
      </c>
      <c r="H499" s="15">
        <f t="shared" si="56"/>
        <v>3.3332641781285588E-2</v>
      </c>
      <c r="I499">
        <f t="shared" si="57"/>
        <v>119.47252043274777</v>
      </c>
      <c r="J499">
        <f t="shared" ref="J499:J562" si="60">IF($G$28&lt;$C$14,0,((($C$11^2)-((I499-$C$13)^2))^0.5)+$C$16)</f>
        <v>467.92797168712468</v>
      </c>
      <c r="K499" s="30">
        <f t="shared" ref="K499:K562" si="61">((J499^2)+(J499*J500)+(J500^2))*H500/3</f>
        <v>7298.9846289828192</v>
      </c>
    </row>
    <row r="500" spans="1:11" x14ac:dyDescent="0.25">
      <c r="A500" s="29">
        <v>450</v>
      </c>
      <c r="B500" s="99">
        <f t="shared" ref="B500:B563" si="62">C500-C499</f>
        <v>0</v>
      </c>
      <c r="C500" s="75">
        <f t="shared" si="58"/>
        <v>104.50616427295054</v>
      </c>
      <c r="D500" s="100">
        <f t="shared" ref="D500:D563" si="63">IF($G$28&lt;$C$14,0,((($C$11^2)-((C500-$C$13)^2))^0.5)+$C$16)</f>
        <v>445.77777777777789</v>
      </c>
      <c r="E500">
        <f t="shared" si="59"/>
        <v>0</v>
      </c>
      <c r="G500">
        <v>450</v>
      </c>
      <c r="H500" s="15">
        <f t="shared" ref="H500:H563" si="64">I500-I499</f>
        <v>3.3332641781285588E-2</v>
      </c>
      <c r="I500">
        <f t="shared" ref="I500:I563" si="65">($G$27-$C$14)/2000+I499</f>
        <v>119.50585307452906</v>
      </c>
      <c r="J500">
        <f t="shared" si="60"/>
        <v>467.96535922669193</v>
      </c>
      <c r="K500" s="30">
        <f t="shared" si="61"/>
        <v>7300.1504238152947</v>
      </c>
    </row>
    <row r="501" spans="1:11" x14ac:dyDescent="0.25">
      <c r="A501" s="29">
        <v>451</v>
      </c>
      <c r="B501" s="99">
        <f t="shared" si="62"/>
        <v>0</v>
      </c>
      <c r="C501" s="75">
        <f t="shared" si="58"/>
        <v>104.50616427295054</v>
      </c>
      <c r="D501" s="100">
        <f t="shared" si="63"/>
        <v>445.77777777777789</v>
      </c>
      <c r="E501">
        <f t="shared" si="59"/>
        <v>0</v>
      </c>
      <c r="G501">
        <v>451</v>
      </c>
      <c r="H501" s="15">
        <f t="shared" si="64"/>
        <v>3.3332641781285588E-2</v>
      </c>
      <c r="I501">
        <f t="shared" si="65"/>
        <v>119.53918571631034</v>
      </c>
      <c r="J501">
        <f t="shared" si="60"/>
        <v>468.00270920951255</v>
      </c>
      <c r="K501" s="30">
        <f t="shared" si="61"/>
        <v>7301.3151409232878</v>
      </c>
    </row>
    <row r="502" spans="1:11" x14ac:dyDescent="0.25">
      <c r="A502" s="29">
        <v>452</v>
      </c>
      <c r="B502" s="99">
        <f t="shared" si="62"/>
        <v>0</v>
      </c>
      <c r="C502" s="75">
        <f t="shared" si="58"/>
        <v>104.50616427295054</v>
      </c>
      <c r="D502" s="100">
        <f t="shared" si="63"/>
        <v>445.77777777777789</v>
      </c>
      <c r="E502">
        <f t="shared" si="59"/>
        <v>0</v>
      </c>
      <c r="G502">
        <v>452</v>
      </c>
      <c r="H502" s="15">
        <f t="shared" si="64"/>
        <v>3.3332641781285588E-2</v>
      </c>
      <c r="I502">
        <f t="shared" si="65"/>
        <v>119.57251835809163</v>
      </c>
      <c r="J502">
        <f t="shared" si="60"/>
        <v>468.04002169854647</v>
      </c>
      <c r="K502" s="30">
        <f t="shared" si="61"/>
        <v>7302.4787819880048</v>
      </c>
    </row>
    <row r="503" spans="1:11" x14ac:dyDescent="0.25">
      <c r="A503" s="29">
        <v>453</v>
      </c>
      <c r="B503" s="99">
        <f t="shared" si="62"/>
        <v>0</v>
      </c>
      <c r="C503" s="75">
        <f t="shared" si="58"/>
        <v>104.50616427295054</v>
      </c>
      <c r="D503" s="100">
        <f t="shared" si="63"/>
        <v>445.77777777777789</v>
      </c>
      <c r="E503">
        <f t="shared" si="59"/>
        <v>0</v>
      </c>
      <c r="G503">
        <v>453</v>
      </c>
      <c r="H503" s="15">
        <f t="shared" si="64"/>
        <v>3.3332641781285588E-2</v>
      </c>
      <c r="I503">
        <f t="shared" si="65"/>
        <v>119.60585099987291</v>
      </c>
      <c r="J503">
        <f t="shared" si="60"/>
        <v>468.07729675654969</v>
      </c>
      <c r="K503" s="30">
        <f t="shared" si="61"/>
        <v>7303.6413486852152</v>
      </c>
    </row>
    <row r="504" spans="1:11" x14ac:dyDescent="0.25">
      <c r="A504" s="29">
        <v>454</v>
      </c>
      <c r="B504" s="99">
        <f t="shared" si="62"/>
        <v>0</v>
      </c>
      <c r="C504" s="75">
        <f t="shared" si="58"/>
        <v>104.50616427295054</v>
      </c>
      <c r="D504" s="100">
        <f t="shared" si="63"/>
        <v>445.77777777777789</v>
      </c>
      <c r="E504">
        <f t="shared" si="59"/>
        <v>0</v>
      </c>
      <c r="G504">
        <v>454</v>
      </c>
      <c r="H504" s="15">
        <f t="shared" si="64"/>
        <v>3.3332641781285588E-2</v>
      </c>
      <c r="I504">
        <f t="shared" si="65"/>
        <v>119.6391836416542</v>
      </c>
      <c r="J504">
        <f t="shared" si="60"/>
        <v>468.1145344460756</v>
      </c>
      <c r="K504" s="30">
        <f t="shared" si="61"/>
        <v>7304.8028426852834</v>
      </c>
    </row>
    <row r="505" spans="1:11" x14ac:dyDescent="0.25">
      <c r="A505" s="29">
        <v>455</v>
      </c>
      <c r="B505" s="99">
        <f t="shared" si="62"/>
        <v>0</v>
      </c>
      <c r="C505" s="75">
        <f t="shared" si="58"/>
        <v>104.50616427295054</v>
      </c>
      <c r="D505" s="100">
        <f t="shared" si="63"/>
        <v>445.77777777777789</v>
      </c>
      <c r="E505">
        <f t="shared" si="59"/>
        <v>0</v>
      </c>
      <c r="G505">
        <v>455</v>
      </c>
      <c r="H505" s="15">
        <f t="shared" si="64"/>
        <v>3.3332641781285588E-2</v>
      </c>
      <c r="I505">
        <f t="shared" si="65"/>
        <v>119.67251628343548</v>
      </c>
      <c r="J505">
        <f t="shared" si="60"/>
        <v>468.15173482947591</v>
      </c>
      <c r="K505" s="30">
        <f t="shared" si="61"/>
        <v>7305.9632656531858</v>
      </c>
    </row>
    <row r="506" spans="1:11" x14ac:dyDescent="0.25">
      <c r="A506" s="29">
        <v>456</v>
      </c>
      <c r="B506" s="99">
        <f t="shared" si="62"/>
        <v>0</v>
      </c>
      <c r="C506" s="75">
        <f t="shared" si="58"/>
        <v>104.50616427295054</v>
      </c>
      <c r="D506" s="100">
        <f t="shared" si="63"/>
        <v>445.77777777777789</v>
      </c>
      <c r="E506">
        <f t="shared" si="59"/>
        <v>0</v>
      </c>
      <c r="G506">
        <v>456</v>
      </c>
      <c r="H506" s="15">
        <f t="shared" si="64"/>
        <v>3.3332641781285588E-2</v>
      </c>
      <c r="I506">
        <f t="shared" si="65"/>
        <v>119.70584892521677</v>
      </c>
      <c r="J506">
        <f t="shared" si="60"/>
        <v>468.18889796890119</v>
      </c>
      <c r="K506" s="30">
        <f t="shared" si="61"/>
        <v>7307.1226192485365</v>
      </c>
    </row>
    <row r="507" spans="1:11" x14ac:dyDescent="0.25">
      <c r="A507" s="29">
        <v>457</v>
      </c>
      <c r="B507" s="99">
        <f t="shared" si="62"/>
        <v>0</v>
      </c>
      <c r="C507" s="75">
        <f t="shared" si="58"/>
        <v>104.50616427295054</v>
      </c>
      <c r="D507" s="100">
        <f t="shared" si="63"/>
        <v>445.77777777777789</v>
      </c>
      <c r="E507">
        <f t="shared" si="59"/>
        <v>0</v>
      </c>
      <c r="G507">
        <v>457</v>
      </c>
      <c r="H507" s="15">
        <f t="shared" si="64"/>
        <v>3.3332641781285588E-2</v>
      </c>
      <c r="I507">
        <f t="shared" si="65"/>
        <v>119.73918156699806</v>
      </c>
      <c r="J507">
        <f t="shared" si="60"/>
        <v>468.22602392630222</v>
      </c>
      <c r="K507" s="30">
        <f t="shared" si="61"/>
        <v>7308.2809051256118</v>
      </c>
    </row>
    <row r="508" spans="1:11" x14ac:dyDescent="0.25">
      <c r="A508" s="29">
        <v>458</v>
      </c>
      <c r="B508" s="99">
        <f t="shared" si="62"/>
        <v>0</v>
      </c>
      <c r="C508" s="75">
        <f t="shared" si="58"/>
        <v>104.50616427295054</v>
      </c>
      <c r="D508" s="100">
        <f t="shared" si="63"/>
        <v>445.77777777777789</v>
      </c>
      <c r="E508">
        <f t="shared" si="59"/>
        <v>0</v>
      </c>
      <c r="G508">
        <v>458</v>
      </c>
      <c r="H508" s="15">
        <f t="shared" si="64"/>
        <v>3.3332641781285588E-2</v>
      </c>
      <c r="I508">
        <f t="shared" si="65"/>
        <v>119.77251420877934</v>
      </c>
      <c r="J508">
        <f t="shared" si="60"/>
        <v>468.26311276343063</v>
      </c>
      <c r="K508" s="30">
        <f t="shared" si="61"/>
        <v>7309.4381249333792</v>
      </c>
    </row>
    <row r="509" spans="1:11" x14ac:dyDescent="0.25">
      <c r="A509" s="29">
        <v>459</v>
      </c>
      <c r="B509" s="99">
        <f t="shared" si="62"/>
        <v>0</v>
      </c>
      <c r="C509" s="75">
        <f t="shared" si="58"/>
        <v>104.50616427295054</v>
      </c>
      <c r="D509" s="100">
        <f t="shared" si="63"/>
        <v>445.77777777777789</v>
      </c>
      <c r="E509">
        <f t="shared" si="59"/>
        <v>0</v>
      </c>
      <c r="G509">
        <v>459</v>
      </c>
      <c r="H509" s="15">
        <f t="shared" si="64"/>
        <v>3.3332641781285588E-2</v>
      </c>
      <c r="I509">
        <f t="shared" si="65"/>
        <v>119.80584685056063</v>
      </c>
      <c r="J509">
        <f t="shared" si="60"/>
        <v>468.30016454183965</v>
      </c>
      <c r="K509" s="30">
        <f t="shared" si="61"/>
        <v>7310.5942803155122</v>
      </c>
    </row>
    <row r="510" spans="1:11" x14ac:dyDescent="0.25">
      <c r="A510" s="29">
        <v>460</v>
      </c>
      <c r="B510" s="99">
        <f t="shared" si="62"/>
        <v>0</v>
      </c>
      <c r="C510" s="75">
        <f t="shared" si="58"/>
        <v>104.50616427295054</v>
      </c>
      <c r="D510" s="100">
        <f t="shared" si="63"/>
        <v>445.77777777777789</v>
      </c>
      <c r="E510">
        <f t="shared" si="59"/>
        <v>0</v>
      </c>
      <c r="G510">
        <v>460</v>
      </c>
      <c r="H510" s="15">
        <f t="shared" si="64"/>
        <v>3.3332641781285588E-2</v>
      </c>
      <c r="I510">
        <f t="shared" si="65"/>
        <v>119.83917949234191</v>
      </c>
      <c r="J510">
        <f t="shared" si="60"/>
        <v>468.33717932288556</v>
      </c>
      <c r="K510" s="30">
        <f t="shared" si="61"/>
        <v>7311.7493729104217</v>
      </c>
    </row>
    <row r="511" spans="1:11" x14ac:dyDescent="0.25">
      <c r="A511" s="29">
        <v>461</v>
      </c>
      <c r="B511" s="99">
        <f t="shared" si="62"/>
        <v>0</v>
      </c>
      <c r="C511" s="75">
        <f t="shared" si="58"/>
        <v>104.50616427295054</v>
      </c>
      <c r="D511" s="100">
        <f t="shared" si="63"/>
        <v>445.77777777777789</v>
      </c>
      <c r="E511">
        <f t="shared" si="59"/>
        <v>0</v>
      </c>
      <c r="G511">
        <v>461</v>
      </c>
      <c r="H511" s="15">
        <f t="shared" si="64"/>
        <v>3.3332641781285588E-2</v>
      </c>
      <c r="I511">
        <f t="shared" si="65"/>
        <v>119.8725121341232</v>
      </c>
      <c r="J511">
        <f t="shared" si="60"/>
        <v>468.3741571677279</v>
      </c>
      <c r="K511" s="30">
        <f t="shared" si="61"/>
        <v>7312.9034043512765</v>
      </c>
    </row>
    <row r="512" spans="1:11" x14ac:dyDescent="0.25">
      <c r="A512" s="29">
        <v>462</v>
      </c>
      <c r="B512" s="99">
        <f t="shared" si="62"/>
        <v>0</v>
      </c>
      <c r="C512" s="75">
        <f t="shared" si="58"/>
        <v>104.50616427295054</v>
      </c>
      <c r="D512" s="100">
        <f t="shared" si="63"/>
        <v>445.77777777777789</v>
      </c>
      <c r="E512">
        <f t="shared" si="59"/>
        <v>0</v>
      </c>
      <c r="G512">
        <v>462</v>
      </c>
      <c r="H512" s="15">
        <f t="shared" si="64"/>
        <v>3.3332641781285588E-2</v>
      </c>
      <c r="I512">
        <f t="shared" si="65"/>
        <v>119.90584477590448</v>
      </c>
      <c r="J512">
        <f t="shared" si="60"/>
        <v>468.41109813733078</v>
      </c>
      <c r="K512" s="30">
        <f t="shared" si="61"/>
        <v>7314.0563762660231</v>
      </c>
    </row>
    <row r="513" spans="1:11" x14ac:dyDescent="0.25">
      <c r="A513" s="29">
        <v>463</v>
      </c>
      <c r="B513" s="99">
        <f t="shared" si="62"/>
        <v>0</v>
      </c>
      <c r="C513" s="75">
        <f t="shared" si="58"/>
        <v>104.50616427295054</v>
      </c>
      <c r="D513" s="100">
        <f t="shared" si="63"/>
        <v>445.77777777777789</v>
      </c>
      <c r="E513">
        <f t="shared" si="59"/>
        <v>0</v>
      </c>
      <c r="G513">
        <v>463</v>
      </c>
      <c r="H513" s="15">
        <f t="shared" si="64"/>
        <v>3.3332641781285588E-2</v>
      </c>
      <c r="I513">
        <f t="shared" si="65"/>
        <v>119.93917741768577</v>
      </c>
      <c r="J513">
        <f t="shared" si="60"/>
        <v>468.44800229246368</v>
      </c>
      <c r="K513" s="30">
        <f t="shared" si="61"/>
        <v>7315.2082902774173</v>
      </c>
    </row>
    <row r="514" spans="1:11" x14ac:dyDescent="0.25">
      <c r="A514" s="29">
        <v>464</v>
      </c>
      <c r="B514" s="99">
        <f t="shared" si="62"/>
        <v>0</v>
      </c>
      <c r="C514" s="75">
        <f t="shared" si="58"/>
        <v>104.50616427295054</v>
      </c>
      <c r="D514" s="100">
        <f t="shared" si="63"/>
        <v>445.77777777777789</v>
      </c>
      <c r="E514">
        <f t="shared" si="59"/>
        <v>0</v>
      </c>
      <c r="G514">
        <v>464</v>
      </c>
      <c r="H514" s="15">
        <f t="shared" si="64"/>
        <v>3.3332641781285588E-2</v>
      </c>
      <c r="I514">
        <f t="shared" si="65"/>
        <v>119.97251005946706</v>
      </c>
      <c r="J514">
        <f t="shared" si="60"/>
        <v>468.48486969370208</v>
      </c>
      <c r="K514" s="30">
        <f t="shared" si="61"/>
        <v>7316.3591480030373</v>
      </c>
    </row>
    <row r="515" spans="1:11" x14ac:dyDescent="0.25">
      <c r="A515" s="29">
        <v>465</v>
      </c>
      <c r="B515" s="99">
        <f t="shared" si="62"/>
        <v>0</v>
      </c>
      <c r="C515" s="75">
        <f t="shared" si="58"/>
        <v>104.50616427295054</v>
      </c>
      <c r="D515" s="100">
        <f t="shared" si="63"/>
        <v>445.77777777777789</v>
      </c>
      <c r="E515">
        <f t="shared" si="59"/>
        <v>0</v>
      </c>
      <c r="G515">
        <v>465</v>
      </c>
      <c r="H515" s="15">
        <f t="shared" si="64"/>
        <v>3.3332641781285588E-2</v>
      </c>
      <c r="I515">
        <f t="shared" si="65"/>
        <v>120.00584270124834</v>
      </c>
      <c r="J515">
        <f t="shared" si="60"/>
        <v>468.52170040142869</v>
      </c>
      <c r="K515" s="30">
        <f t="shared" si="61"/>
        <v>7317.5089510553189</v>
      </c>
    </row>
    <row r="516" spans="1:11" x14ac:dyDescent="0.25">
      <c r="A516" s="29">
        <v>466</v>
      </c>
      <c r="B516" s="99">
        <f t="shared" si="62"/>
        <v>0</v>
      </c>
      <c r="C516" s="75">
        <f t="shared" si="58"/>
        <v>104.50616427295054</v>
      </c>
      <c r="D516" s="100">
        <f t="shared" si="63"/>
        <v>445.77777777777789</v>
      </c>
      <c r="E516">
        <f t="shared" si="59"/>
        <v>0</v>
      </c>
      <c r="G516">
        <v>466</v>
      </c>
      <c r="H516" s="15">
        <f t="shared" si="64"/>
        <v>3.3332641781285588E-2</v>
      </c>
      <c r="I516">
        <f t="shared" si="65"/>
        <v>120.03917534302963</v>
      </c>
      <c r="J516">
        <f t="shared" si="60"/>
        <v>468.55849447583398</v>
      </c>
      <c r="K516" s="30">
        <f t="shared" si="61"/>
        <v>7318.6577010415667</v>
      </c>
    </row>
    <row r="517" spans="1:11" x14ac:dyDescent="0.25">
      <c r="A517" s="29">
        <v>467</v>
      </c>
      <c r="B517" s="99">
        <f t="shared" si="62"/>
        <v>0</v>
      </c>
      <c r="C517" s="75">
        <f t="shared" si="58"/>
        <v>104.50616427295054</v>
      </c>
      <c r="D517" s="100">
        <f t="shared" si="63"/>
        <v>445.77777777777789</v>
      </c>
      <c r="E517">
        <f t="shared" si="59"/>
        <v>0</v>
      </c>
      <c r="G517">
        <v>467</v>
      </c>
      <c r="H517" s="15">
        <f t="shared" si="64"/>
        <v>3.3332641781285588E-2</v>
      </c>
      <c r="I517">
        <f t="shared" si="65"/>
        <v>120.07250798481091</v>
      </c>
      <c r="J517">
        <f t="shared" si="60"/>
        <v>468.59525197691733</v>
      </c>
      <c r="K517" s="30">
        <f t="shared" si="61"/>
        <v>7319.8053995639821</v>
      </c>
    </row>
    <row r="518" spans="1:11" x14ac:dyDescent="0.25">
      <c r="A518" s="29">
        <v>468</v>
      </c>
      <c r="B518" s="99">
        <f t="shared" si="62"/>
        <v>0</v>
      </c>
      <c r="C518" s="75">
        <f t="shared" si="58"/>
        <v>104.50616427295054</v>
      </c>
      <c r="D518" s="100">
        <f t="shared" si="63"/>
        <v>445.77777777777789</v>
      </c>
      <c r="E518">
        <f t="shared" si="59"/>
        <v>0</v>
      </c>
      <c r="G518">
        <v>468</v>
      </c>
      <c r="H518" s="15">
        <f t="shared" si="64"/>
        <v>3.3332641781285588E-2</v>
      </c>
      <c r="I518">
        <f t="shared" si="65"/>
        <v>120.1058406265922</v>
      </c>
      <c r="J518">
        <f t="shared" si="60"/>
        <v>468.6319729644876</v>
      </c>
      <c r="K518" s="30">
        <f t="shared" si="61"/>
        <v>7320.9520482196858</v>
      </c>
    </row>
    <row r="519" spans="1:11" x14ac:dyDescent="0.25">
      <c r="A519" s="29">
        <v>469</v>
      </c>
      <c r="B519" s="99">
        <f t="shared" si="62"/>
        <v>0</v>
      </c>
      <c r="C519" s="75">
        <f t="shared" si="58"/>
        <v>104.50616427295054</v>
      </c>
      <c r="D519" s="100">
        <f t="shared" si="63"/>
        <v>445.77777777777789</v>
      </c>
      <c r="E519">
        <f t="shared" si="59"/>
        <v>0</v>
      </c>
      <c r="G519">
        <v>469</v>
      </c>
      <c r="H519" s="15">
        <f t="shared" si="64"/>
        <v>3.3332641781285588E-2</v>
      </c>
      <c r="I519">
        <f t="shared" si="65"/>
        <v>120.13917326837348</v>
      </c>
      <c r="J519">
        <f t="shared" si="60"/>
        <v>468.66865749816412</v>
      </c>
      <c r="K519" s="30">
        <f t="shared" si="61"/>
        <v>7322.0976486007376</v>
      </c>
    </row>
    <row r="520" spans="1:11" x14ac:dyDescent="0.25">
      <c r="A520" s="29">
        <v>470</v>
      </c>
      <c r="B520" s="99">
        <f t="shared" si="62"/>
        <v>0</v>
      </c>
      <c r="C520" s="75">
        <f t="shared" si="58"/>
        <v>104.50616427295054</v>
      </c>
      <c r="D520" s="100">
        <f t="shared" si="63"/>
        <v>445.77777777777789</v>
      </c>
      <c r="E520">
        <f t="shared" si="59"/>
        <v>0</v>
      </c>
      <c r="G520">
        <v>470</v>
      </c>
      <c r="H520" s="15">
        <f t="shared" si="64"/>
        <v>3.3332641781285588E-2</v>
      </c>
      <c r="I520">
        <f t="shared" si="65"/>
        <v>120.17250591015477</v>
      </c>
      <c r="J520">
        <f t="shared" si="60"/>
        <v>468.70530563737748</v>
      </c>
      <c r="K520" s="30">
        <f t="shared" si="61"/>
        <v>7323.2422022941646</v>
      </c>
    </row>
    <row r="521" spans="1:11" x14ac:dyDescent="0.25">
      <c r="A521" s="29">
        <v>471</v>
      </c>
      <c r="B521" s="99">
        <f t="shared" si="62"/>
        <v>0</v>
      </c>
      <c r="C521" s="75">
        <f t="shared" si="58"/>
        <v>104.50616427295054</v>
      </c>
      <c r="D521" s="100">
        <f t="shared" si="63"/>
        <v>445.77777777777789</v>
      </c>
      <c r="E521">
        <f t="shared" si="59"/>
        <v>0</v>
      </c>
      <c r="G521">
        <v>471</v>
      </c>
      <c r="H521" s="15">
        <f t="shared" si="64"/>
        <v>3.3332641781285588E-2</v>
      </c>
      <c r="I521">
        <f t="shared" si="65"/>
        <v>120.20583855193605</v>
      </c>
      <c r="J521">
        <f t="shared" si="60"/>
        <v>468.74191744137045</v>
      </c>
      <c r="K521" s="30">
        <f t="shared" si="61"/>
        <v>7324.3857108819784</v>
      </c>
    </row>
    <row r="522" spans="1:11" x14ac:dyDescent="0.25">
      <c r="A522" s="29">
        <v>472</v>
      </c>
      <c r="B522" s="99">
        <f t="shared" si="62"/>
        <v>0</v>
      </c>
      <c r="C522" s="75">
        <f t="shared" si="58"/>
        <v>104.50616427295054</v>
      </c>
      <c r="D522" s="100">
        <f t="shared" si="63"/>
        <v>445.77777777777789</v>
      </c>
      <c r="E522">
        <f t="shared" si="59"/>
        <v>0</v>
      </c>
      <c r="G522">
        <v>472</v>
      </c>
      <c r="H522" s="15">
        <f t="shared" si="64"/>
        <v>3.3332641781285588E-2</v>
      </c>
      <c r="I522">
        <f t="shared" si="65"/>
        <v>120.23917119371734</v>
      </c>
      <c r="J522">
        <f t="shared" si="60"/>
        <v>468.77849296919874</v>
      </c>
      <c r="K522" s="30">
        <f t="shared" si="61"/>
        <v>7325.5281759411992</v>
      </c>
    </row>
    <row r="523" spans="1:11" x14ac:dyDescent="0.25">
      <c r="A523" s="29">
        <v>473</v>
      </c>
      <c r="B523" s="99">
        <f t="shared" si="62"/>
        <v>0</v>
      </c>
      <c r="C523" s="75">
        <f t="shared" si="58"/>
        <v>104.50616427295054</v>
      </c>
      <c r="D523" s="100">
        <f t="shared" si="63"/>
        <v>445.77777777777789</v>
      </c>
      <c r="E523">
        <f t="shared" si="59"/>
        <v>0</v>
      </c>
      <c r="G523">
        <v>473</v>
      </c>
      <c r="H523" s="15">
        <f t="shared" si="64"/>
        <v>3.3332641781285588E-2</v>
      </c>
      <c r="I523">
        <f t="shared" si="65"/>
        <v>120.27250383549863</v>
      </c>
      <c r="J523">
        <f t="shared" si="60"/>
        <v>468.81503227973178</v>
      </c>
      <c r="K523" s="30">
        <f t="shared" si="61"/>
        <v>7326.6695990438757</v>
      </c>
    </row>
    <row r="524" spans="1:11" x14ac:dyDescent="0.25">
      <c r="A524" s="29">
        <v>474</v>
      </c>
      <c r="B524" s="99">
        <f t="shared" si="62"/>
        <v>0</v>
      </c>
      <c r="C524" s="75">
        <f t="shared" si="58"/>
        <v>104.50616427295054</v>
      </c>
      <c r="D524" s="100">
        <f t="shared" si="63"/>
        <v>445.77777777777789</v>
      </c>
      <c r="E524">
        <f t="shared" si="59"/>
        <v>0</v>
      </c>
      <c r="G524">
        <v>474</v>
      </c>
      <c r="H524" s="15">
        <f t="shared" si="64"/>
        <v>3.3332641781285588E-2</v>
      </c>
      <c r="I524">
        <f t="shared" si="65"/>
        <v>120.30583647727991</v>
      </c>
      <c r="J524">
        <f t="shared" si="60"/>
        <v>468.85153543165353</v>
      </c>
      <c r="K524" s="30">
        <f t="shared" si="61"/>
        <v>7327.8099817571092</v>
      </c>
    </row>
    <row r="525" spans="1:11" x14ac:dyDescent="0.25">
      <c r="A525" s="29">
        <v>475</v>
      </c>
      <c r="B525" s="99">
        <f t="shared" si="62"/>
        <v>0</v>
      </c>
      <c r="C525" s="75">
        <f t="shared" si="58"/>
        <v>104.50616427295054</v>
      </c>
      <c r="D525" s="100">
        <f t="shared" si="63"/>
        <v>445.77777777777789</v>
      </c>
      <c r="E525">
        <f t="shared" si="59"/>
        <v>0</v>
      </c>
      <c r="G525">
        <v>475</v>
      </c>
      <c r="H525" s="15">
        <f t="shared" si="64"/>
        <v>3.3332641781285588E-2</v>
      </c>
      <c r="I525">
        <f t="shared" si="65"/>
        <v>120.3391691190612</v>
      </c>
      <c r="J525">
        <f t="shared" si="60"/>
        <v>468.88800248346354</v>
      </c>
      <c r="K525" s="30">
        <f t="shared" si="61"/>
        <v>7328.9493256430751</v>
      </c>
    </row>
    <row r="526" spans="1:11" x14ac:dyDescent="0.25">
      <c r="A526" s="29">
        <v>476</v>
      </c>
      <c r="B526" s="99">
        <f t="shared" si="62"/>
        <v>0</v>
      </c>
      <c r="C526" s="75">
        <f t="shared" si="58"/>
        <v>104.50616427295054</v>
      </c>
      <c r="D526" s="100">
        <f t="shared" si="63"/>
        <v>445.77777777777789</v>
      </c>
      <c r="E526">
        <f t="shared" si="59"/>
        <v>0</v>
      </c>
      <c r="G526">
        <v>476</v>
      </c>
      <c r="H526" s="15">
        <f t="shared" si="64"/>
        <v>3.3332641781285588E-2</v>
      </c>
      <c r="I526">
        <f t="shared" si="65"/>
        <v>120.37250176084248</v>
      </c>
      <c r="J526">
        <f t="shared" si="60"/>
        <v>468.92443349347741</v>
      </c>
      <c r="K526" s="30">
        <f t="shared" si="61"/>
        <v>7330.0876322590411</v>
      </c>
    </row>
    <row r="527" spans="1:11" x14ac:dyDescent="0.25">
      <c r="A527" s="29">
        <v>477</v>
      </c>
      <c r="B527" s="99">
        <f t="shared" si="62"/>
        <v>0</v>
      </c>
      <c r="C527" s="75">
        <f t="shared" si="58"/>
        <v>104.50616427295054</v>
      </c>
      <c r="D527" s="100">
        <f t="shared" si="63"/>
        <v>445.77777777777789</v>
      </c>
      <c r="E527">
        <f t="shared" si="59"/>
        <v>0</v>
      </c>
      <c r="G527">
        <v>477</v>
      </c>
      <c r="H527" s="15">
        <f t="shared" si="64"/>
        <v>3.3332641781285588E-2</v>
      </c>
      <c r="I527">
        <f t="shared" si="65"/>
        <v>120.40583440262377</v>
      </c>
      <c r="J527">
        <f t="shared" si="60"/>
        <v>468.96082851982771</v>
      </c>
      <c r="K527" s="30">
        <f t="shared" si="61"/>
        <v>7331.2249031573956</v>
      </c>
    </row>
    <row r="528" spans="1:11" x14ac:dyDescent="0.25">
      <c r="A528" s="29">
        <v>478</v>
      </c>
      <c r="B528" s="99">
        <f t="shared" si="62"/>
        <v>0</v>
      </c>
      <c r="C528" s="75">
        <f t="shared" ref="C528:C591" si="66">($C$37-$C$36)/2000+C527</f>
        <v>104.50616427295054</v>
      </c>
      <c r="D528" s="100">
        <f t="shared" si="63"/>
        <v>445.77777777777789</v>
      </c>
      <c r="E528">
        <f t="shared" si="59"/>
        <v>0</v>
      </c>
      <c r="G528">
        <v>478</v>
      </c>
      <c r="H528" s="15">
        <f t="shared" si="64"/>
        <v>3.3332641781285588E-2</v>
      </c>
      <c r="I528">
        <f t="shared" si="65"/>
        <v>120.43916704440505</v>
      </c>
      <c r="J528">
        <f t="shared" si="60"/>
        <v>468.99718762046507</v>
      </c>
      <c r="K528" s="30">
        <f t="shared" si="61"/>
        <v>7332.3611398856619</v>
      </c>
    </row>
    <row r="529" spans="1:11" x14ac:dyDescent="0.25">
      <c r="A529" s="29">
        <v>479</v>
      </c>
      <c r="B529" s="99">
        <f t="shared" si="62"/>
        <v>0</v>
      </c>
      <c r="C529" s="75">
        <f t="shared" si="66"/>
        <v>104.50616427295054</v>
      </c>
      <c r="D529" s="100">
        <f t="shared" si="63"/>
        <v>445.77777777777789</v>
      </c>
      <c r="E529">
        <f t="shared" si="59"/>
        <v>0</v>
      </c>
      <c r="G529">
        <v>479</v>
      </c>
      <c r="H529" s="15">
        <f t="shared" si="64"/>
        <v>3.3332641781285588E-2</v>
      </c>
      <c r="I529">
        <f t="shared" si="65"/>
        <v>120.47249968618634</v>
      </c>
      <c r="J529">
        <f t="shared" si="60"/>
        <v>469.03351085315848</v>
      </c>
      <c r="K529" s="30">
        <f t="shared" si="61"/>
        <v>7333.4963439865232</v>
      </c>
    </row>
    <row r="530" spans="1:11" x14ac:dyDescent="0.25">
      <c r="A530" s="29">
        <v>480</v>
      </c>
      <c r="B530" s="99">
        <f t="shared" si="62"/>
        <v>0</v>
      </c>
      <c r="C530" s="75">
        <f t="shared" si="66"/>
        <v>104.50616427295054</v>
      </c>
      <c r="D530" s="100">
        <f t="shared" si="63"/>
        <v>445.77777777777789</v>
      </c>
      <c r="E530">
        <f t="shared" si="59"/>
        <v>0</v>
      </c>
      <c r="G530">
        <v>480</v>
      </c>
      <c r="H530" s="15">
        <f t="shared" si="64"/>
        <v>3.3332641781285588E-2</v>
      </c>
      <c r="I530">
        <f t="shared" si="65"/>
        <v>120.50583232796762</v>
      </c>
      <c r="J530">
        <f t="shared" si="60"/>
        <v>469.0697982754964</v>
      </c>
      <c r="K530" s="30">
        <f t="shared" si="61"/>
        <v>7334.630516997845</v>
      </c>
    </row>
    <row r="531" spans="1:11" x14ac:dyDescent="0.25">
      <c r="A531" s="29">
        <v>481</v>
      </c>
      <c r="B531" s="99">
        <f t="shared" si="62"/>
        <v>0</v>
      </c>
      <c r="C531" s="75">
        <f t="shared" si="66"/>
        <v>104.50616427295054</v>
      </c>
      <c r="D531" s="100">
        <f t="shared" si="63"/>
        <v>445.77777777777789</v>
      </c>
      <c r="E531">
        <f t="shared" si="59"/>
        <v>0</v>
      </c>
      <c r="G531">
        <v>481</v>
      </c>
      <c r="H531" s="15">
        <f t="shared" si="64"/>
        <v>3.3332641781285588E-2</v>
      </c>
      <c r="I531">
        <f t="shared" si="65"/>
        <v>120.53916496974891</v>
      </c>
      <c r="J531">
        <f t="shared" si="60"/>
        <v>469.10604994488762</v>
      </c>
      <c r="K531" s="30">
        <f t="shared" si="61"/>
        <v>7335.7636604526897</v>
      </c>
    </row>
    <row r="532" spans="1:11" x14ac:dyDescent="0.25">
      <c r="A532" s="29">
        <v>482</v>
      </c>
      <c r="B532" s="99">
        <f t="shared" si="62"/>
        <v>0</v>
      </c>
      <c r="C532" s="75">
        <f t="shared" si="66"/>
        <v>104.50616427295054</v>
      </c>
      <c r="D532" s="100">
        <f t="shared" si="63"/>
        <v>445.77777777777789</v>
      </c>
      <c r="E532">
        <f t="shared" si="59"/>
        <v>0</v>
      </c>
      <c r="G532">
        <v>482</v>
      </c>
      <c r="H532" s="15">
        <f t="shared" si="64"/>
        <v>3.3332641781285588E-2</v>
      </c>
      <c r="I532">
        <f t="shared" si="65"/>
        <v>120.5724976115302</v>
      </c>
      <c r="J532">
        <f t="shared" si="60"/>
        <v>469.14226591856169</v>
      </c>
      <c r="K532" s="30">
        <f t="shared" si="61"/>
        <v>7336.8957758793467</v>
      </c>
    </row>
    <row r="533" spans="1:11" x14ac:dyDescent="0.25">
      <c r="A533" s="29">
        <v>483</v>
      </c>
      <c r="B533" s="99">
        <f t="shared" si="62"/>
        <v>0</v>
      </c>
      <c r="C533" s="75">
        <f t="shared" si="66"/>
        <v>104.50616427295054</v>
      </c>
      <c r="D533" s="100">
        <f t="shared" si="63"/>
        <v>445.77777777777789</v>
      </c>
      <c r="E533">
        <f t="shared" si="59"/>
        <v>0</v>
      </c>
      <c r="G533">
        <v>483</v>
      </c>
      <c r="H533" s="15">
        <f t="shared" si="64"/>
        <v>3.3332641781285588E-2</v>
      </c>
      <c r="I533">
        <f t="shared" si="65"/>
        <v>120.60583025331148</v>
      </c>
      <c r="J533">
        <f t="shared" si="60"/>
        <v>469.17844625357003</v>
      </c>
      <c r="K533" s="30">
        <f t="shared" si="61"/>
        <v>7338.0268648013443</v>
      </c>
    </row>
    <row r="534" spans="1:11" x14ac:dyDescent="0.25">
      <c r="A534" s="29">
        <v>484</v>
      </c>
      <c r="B534" s="99">
        <f t="shared" si="62"/>
        <v>0</v>
      </c>
      <c r="C534" s="75">
        <f t="shared" si="66"/>
        <v>104.50616427295054</v>
      </c>
      <c r="D534" s="100">
        <f t="shared" si="63"/>
        <v>445.77777777777789</v>
      </c>
      <c r="E534">
        <f t="shared" si="59"/>
        <v>0</v>
      </c>
      <c r="G534">
        <v>484</v>
      </c>
      <c r="H534" s="15">
        <f t="shared" si="64"/>
        <v>3.3332641781285588E-2</v>
      </c>
      <c r="I534">
        <f t="shared" si="65"/>
        <v>120.63916289509277</v>
      </c>
      <c r="J534">
        <f t="shared" si="60"/>
        <v>469.21459100678658</v>
      </c>
      <c r="K534" s="30">
        <f t="shared" si="61"/>
        <v>7339.1569287374741</v>
      </c>
    </row>
    <row r="535" spans="1:11" x14ac:dyDescent="0.25">
      <c r="A535" s="29">
        <v>485</v>
      </c>
      <c r="B535" s="99">
        <f t="shared" si="62"/>
        <v>0</v>
      </c>
      <c r="C535" s="75">
        <f t="shared" si="66"/>
        <v>104.50616427295054</v>
      </c>
      <c r="D535" s="100">
        <f t="shared" si="63"/>
        <v>445.77777777777789</v>
      </c>
      <c r="E535">
        <f t="shared" si="59"/>
        <v>0</v>
      </c>
      <c r="G535">
        <v>485</v>
      </c>
      <c r="H535" s="15">
        <f t="shared" si="64"/>
        <v>3.3332641781285588E-2</v>
      </c>
      <c r="I535">
        <f t="shared" si="65"/>
        <v>120.67249553687405</v>
      </c>
      <c r="J535">
        <f t="shared" si="60"/>
        <v>469.25070023490855</v>
      </c>
      <c r="K535" s="30">
        <f t="shared" si="61"/>
        <v>7340.2859692018174</v>
      </c>
    </row>
    <row r="536" spans="1:11" x14ac:dyDescent="0.25">
      <c r="A536" s="29">
        <v>486</v>
      </c>
      <c r="B536" s="99">
        <f t="shared" si="62"/>
        <v>0</v>
      </c>
      <c r="C536" s="75">
        <f t="shared" si="66"/>
        <v>104.50616427295054</v>
      </c>
      <c r="D536" s="100">
        <f t="shared" si="63"/>
        <v>445.77777777777789</v>
      </c>
      <c r="E536">
        <f t="shared" si="59"/>
        <v>0</v>
      </c>
      <c r="G536">
        <v>486</v>
      </c>
      <c r="H536" s="15">
        <f t="shared" si="64"/>
        <v>3.3332641781285588E-2</v>
      </c>
      <c r="I536">
        <f t="shared" si="65"/>
        <v>120.70582817865534</v>
      </c>
      <c r="J536">
        <f t="shared" si="60"/>
        <v>469.28677399445723</v>
      </c>
      <c r="K536" s="30">
        <f t="shared" si="61"/>
        <v>7341.4139877037533</v>
      </c>
    </row>
    <row r="537" spans="1:11" x14ac:dyDescent="0.25">
      <c r="A537" s="29">
        <v>487</v>
      </c>
      <c r="B537" s="99">
        <f t="shared" si="62"/>
        <v>0</v>
      </c>
      <c r="C537" s="75">
        <f t="shared" si="66"/>
        <v>104.50616427295054</v>
      </c>
      <c r="D537" s="100">
        <f t="shared" si="63"/>
        <v>445.77777777777789</v>
      </c>
      <c r="E537">
        <f t="shared" si="59"/>
        <v>0</v>
      </c>
      <c r="G537">
        <v>487</v>
      </c>
      <c r="H537" s="15">
        <f t="shared" si="64"/>
        <v>3.3332641781285588E-2</v>
      </c>
      <c r="I537">
        <f t="shared" si="65"/>
        <v>120.73916082043662</v>
      </c>
      <c r="J537">
        <f t="shared" si="60"/>
        <v>469.32281234177867</v>
      </c>
      <c r="K537" s="30">
        <f t="shared" si="61"/>
        <v>7342.5409857479908</v>
      </c>
    </row>
    <row r="538" spans="1:11" x14ac:dyDescent="0.25">
      <c r="A538" s="29">
        <v>488</v>
      </c>
      <c r="B538" s="99">
        <f t="shared" si="62"/>
        <v>0</v>
      </c>
      <c r="C538" s="75">
        <f t="shared" si="66"/>
        <v>104.50616427295054</v>
      </c>
      <c r="D538" s="100">
        <f t="shared" si="63"/>
        <v>445.77777777777789</v>
      </c>
      <c r="E538">
        <f t="shared" si="59"/>
        <v>0</v>
      </c>
      <c r="G538">
        <v>488</v>
      </c>
      <c r="H538" s="15">
        <f t="shared" si="64"/>
        <v>3.3332641781285588E-2</v>
      </c>
      <c r="I538">
        <f t="shared" si="65"/>
        <v>120.77249346221791</v>
      </c>
      <c r="J538">
        <f t="shared" si="60"/>
        <v>469.35881533304462</v>
      </c>
      <c r="K538" s="30">
        <f t="shared" si="61"/>
        <v>7343.6669648345769</v>
      </c>
    </row>
    <row r="539" spans="1:11" x14ac:dyDescent="0.25">
      <c r="A539" s="29">
        <v>489</v>
      </c>
      <c r="B539" s="99">
        <f t="shared" si="62"/>
        <v>0</v>
      </c>
      <c r="C539" s="75">
        <f t="shared" si="66"/>
        <v>104.50616427295054</v>
      </c>
      <c r="D539" s="100">
        <f t="shared" si="63"/>
        <v>445.77777777777789</v>
      </c>
      <c r="E539">
        <f t="shared" si="59"/>
        <v>0</v>
      </c>
      <c r="G539">
        <v>489</v>
      </c>
      <c r="H539" s="15">
        <f t="shared" si="64"/>
        <v>3.3332641781285588E-2</v>
      </c>
      <c r="I539">
        <f t="shared" si="65"/>
        <v>120.80582610399919</v>
      </c>
      <c r="J539">
        <f t="shared" si="60"/>
        <v>469.39478302425294</v>
      </c>
      <c r="K539" s="30">
        <f t="shared" si="61"/>
        <v>7344.7919264589318</v>
      </c>
    </row>
    <row r="540" spans="1:11" x14ac:dyDescent="0.25">
      <c r="A540" s="29">
        <v>490</v>
      </c>
      <c r="B540" s="99">
        <f t="shared" si="62"/>
        <v>0</v>
      </c>
      <c r="C540" s="75">
        <f t="shared" si="66"/>
        <v>104.50616427295054</v>
      </c>
      <c r="D540" s="100">
        <f t="shared" si="63"/>
        <v>445.77777777777789</v>
      </c>
      <c r="E540">
        <f t="shared" si="59"/>
        <v>0</v>
      </c>
      <c r="G540">
        <v>490</v>
      </c>
      <c r="H540" s="15">
        <f t="shared" si="64"/>
        <v>3.3332641781285588E-2</v>
      </c>
      <c r="I540">
        <f t="shared" si="65"/>
        <v>120.83915874578048</v>
      </c>
      <c r="J540">
        <f t="shared" si="60"/>
        <v>469.43071547122884</v>
      </c>
      <c r="K540" s="30">
        <f t="shared" si="61"/>
        <v>7345.9158721118547</v>
      </c>
    </row>
    <row r="541" spans="1:11" x14ac:dyDescent="0.25">
      <c r="A541" s="29">
        <v>491</v>
      </c>
      <c r="B541" s="99">
        <f t="shared" si="62"/>
        <v>0</v>
      </c>
      <c r="C541" s="75">
        <f t="shared" si="66"/>
        <v>104.50616427295054</v>
      </c>
      <c r="D541" s="100">
        <f t="shared" si="63"/>
        <v>445.77777777777789</v>
      </c>
      <c r="E541">
        <f t="shared" si="59"/>
        <v>0</v>
      </c>
      <c r="G541">
        <v>491</v>
      </c>
      <c r="H541" s="15">
        <f t="shared" si="64"/>
        <v>3.3332641781285588E-2</v>
      </c>
      <c r="I541">
        <f t="shared" si="65"/>
        <v>120.87249138756177</v>
      </c>
      <c r="J541">
        <f t="shared" si="60"/>
        <v>469.46661272962513</v>
      </c>
      <c r="K541" s="30">
        <f t="shared" si="61"/>
        <v>7347.0388032795518</v>
      </c>
    </row>
    <row r="542" spans="1:11" x14ac:dyDescent="0.25">
      <c r="A542" s="29">
        <v>492</v>
      </c>
      <c r="B542" s="99">
        <f t="shared" si="62"/>
        <v>0</v>
      </c>
      <c r="C542" s="75">
        <f t="shared" si="66"/>
        <v>104.50616427295054</v>
      </c>
      <c r="D542" s="100">
        <f t="shared" si="63"/>
        <v>445.77777777777789</v>
      </c>
      <c r="E542">
        <f t="shared" si="59"/>
        <v>0</v>
      </c>
      <c r="G542">
        <v>492</v>
      </c>
      <c r="H542" s="15">
        <f t="shared" si="64"/>
        <v>3.3332641781285588E-2</v>
      </c>
      <c r="I542">
        <f t="shared" si="65"/>
        <v>120.90582402934305</v>
      </c>
      <c r="J542">
        <f t="shared" si="60"/>
        <v>469.50247485492332</v>
      </c>
      <c r="K542" s="30">
        <f t="shared" si="61"/>
        <v>7348.1607214436553</v>
      </c>
    </row>
    <row r="543" spans="1:11" x14ac:dyDescent="0.25">
      <c r="A543" s="29">
        <v>493</v>
      </c>
      <c r="B543" s="99">
        <f t="shared" si="62"/>
        <v>0</v>
      </c>
      <c r="C543" s="75">
        <f t="shared" si="66"/>
        <v>104.50616427295054</v>
      </c>
      <c r="D543" s="100">
        <f t="shared" si="63"/>
        <v>445.77777777777789</v>
      </c>
      <c r="E543">
        <f t="shared" si="59"/>
        <v>0</v>
      </c>
      <c r="G543">
        <v>493</v>
      </c>
      <c r="H543" s="15">
        <f t="shared" si="64"/>
        <v>3.3332641781285588E-2</v>
      </c>
      <c r="I543">
        <f t="shared" si="65"/>
        <v>120.93915667112434</v>
      </c>
      <c r="J543">
        <f t="shared" si="60"/>
        <v>469.53830190243411</v>
      </c>
      <c r="K543" s="30">
        <f t="shared" si="61"/>
        <v>7349.2816280812367</v>
      </c>
    </row>
    <row r="544" spans="1:11" x14ac:dyDescent="0.25">
      <c r="A544" s="29">
        <v>494</v>
      </c>
      <c r="B544" s="99">
        <f t="shared" si="62"/>
        <v>0</v>
      </c>
      <c r="C544" s="75">
        <f t="shared" si="66"/>
        <v>104.50616427295054</v>
      </c>
      <c r="D544" s="100">
        <f t="shared" si="63"/>
        <v>445.77777777777789</v>
      </c>
      <c r="E544">
        <f t="shared" si="59"/>
        <v>0</v>
      </c>
      <c r="G544">
        <v>494</v>
      </c>
      <c r="H544" s="15">
        <f t="shared" si="64"/>
        <v>3.3332641781285588E-2</v>
      </c>
      <c r="I544">
        <f t="shared" si="65"/>
        <v>120.97248931290562</v>
      </c>
      <c r="J544">
        <f t="shared" si="60"/>
        <v>469.57409392729835</v>
      </c>
      <c r="K544" s="30">
        <f t="shared" si="61"/>
        <v>7350.4015246648369</v>
      </c>
    </row>
    <row r="545" spans="1:11" x14ac:dyDescent="0.25">
      <c r="A545" s="29">
        <v>495</v>
      </c>
      <c r="B545" s="99">
        <f t="shared" si="62"/>
        <v>0</v>
      </c>
      <c r="C545" s="75">
        <f t="shared" si="66"/>
        <v>104.50616427295054</v>
      </c>
      <c r="D545" s="100">
        <f t="shared" si="63"/>
        <v>445.77777777777789</v>
      </c>
      <c r="E545">
        <f t="shared" si="59"/>
        <v>0</v>
      </c>
      <c r="G545">
        <v>495</v>
      </c>
      <c r="H545" s="15">
        <f t="shared" si="64"/>
        <v>3.3332641781285588E-2</v>
      </c>
      <c r="I545">
        <f t="shared" si="65"/>
        <v>121.00582195468691</v>
      </c>
      <c r="J545">
        <f t="shared" si="60"/>
        <v>469.60985098448748</v>
      </c>
      <c r="K545" s="30">
        <f t="shared" si="61"/>
        <v>7351.5204126624767</v>
      </c>
    </row>
    <row r="546" spans="1:11" x14ac:dyDescent="0.25">
      <c r="A546" s="29">
        <v>496</v>
      </c>
      <c r="B546" s="99">
        <f t="shared" si="62"/>
        <v>0</v>
      </c>
      <c r="C546" s="75">
        <f t="shared" si="66"/>
        <v>104.50616427295054</v>
      </c>
      <c r="D546" s="100">
        <f t="shared" si="63"/>
        <v>445.77777777777789</v>
      </c>
      <c r="E546">
        <f t="shared" si="59"/>
        <v>0</v>
      </c>
      <c r="G546">
        <v>496</v>
      </c>
      <c r="H546" s="15">
        <f t="shared" si="64"/>
        <v>3.3332641781285588E-2</v>
      </c>
      <c r="I546">
        <f t="shared" si="65"/>
        <v>121.03915459646819</v>
      </c>
      <c r="J546">
        <f t="shared" si="60"/>
        <v>469.64557312880453</v>
      </c>
      <c r="K546" s="30">
        <f t="shared" si="61"/>
        <v>7352.638293537676</v>
      </c>
    </row>
    <row r="547" spans="1:11" x14ac:dyDescent="0.25">
      <c r="A547" s="29">
        <v>497</v>
      </c>
      <c r="B547" s="99">
        <f t="shared" si="62"/>
        <v>0</v>
      </c>
      <c r="C547" s="75">
        <f t="shared" si="66"/>
        <v>104.50616427295054</v>
      </c>
      <c r="D547" s="100">
        <f t="shared" si="63"/>
        <v>445.77777777777789</v>
      </c>
      <c r="E547">
        <f t="shared" si="59"/>
        <v>0</v>
      </c>
      <c r="G547">
        <v>497</v>
      </c>
      <c r="H547" s="15">
        <f t="shared" si="64"/>
        <v>3.3332641781285588E-2</v>
      </c>
      <c r="I547">
        <f t="shared" si="65"/>
        <v>121.07248723824948</v>
      </c>
      <c r="J547">
        <f t="shared" si="60"/>
        <v>469.68126041488478</v>
      </c>
      <c r="K547" s="30">
        <f t="shared" si="61"/>
        <v>7353.7551687494852</v>
      </c>
    </row>
    <row r="548" spans="1:11" x14ac:dyDescent="0.25">
      <c r="A548" s="29">
        <v>498</v>
      </c>
      <c r="B548" s="99">
        <f t="shared" si="62"/>
        <v>0</v>
      </c>
      <c r="C548" s="75">
        <f t="shared" si="66"/>
        <v>104.50616427295054</v>
      </c>
      <c r="D548" s="100">
        <f t="shared" si="63"/>
        <v>445.77777777777789</v>
      </c>
      <c r="E548">
        <f t="shared" si="59"/>
        <v>0</v>
      </c>
      <c r="G548">
        <v>498</v>
      </c>
      <c r="H548" s="15">
        <f t="shared" si="64"/>
        <v>3.3332641781285588E-2</v>
      </c>
      <c r="I548">
        <f t="shared" si="65"/>
        <v>121.10581988003077</v>
      </c>
      <c r="J548">
        <f t="shared" si="60"/>
        <v>469.71691289719627</v>
      </c>
      <c r="K548" s="30">
        <f t="shared" si="61"/>
        <v>7354.8710397524883</v>
      </c>
    </row>
    <row r="549" spans="1:11" x14ac:dyDescent="0.25">
      <c r="A549" s="29">
        <v>499</v>
      </c>
      <c r="B549" s="99">
        <f t="shared" si="62"/>
        <v>0</v>
      </c>
      <c r="C549" s="75">
        <f t="shared" si="66"/>
        <v>104.50616427295054</v>
      </c>
      <c r="D549" s="100">
        <f t="shared" si="63"/>
        <v>445.77777777777789</v>
      </c>
      <c r="E549">
        <f t="shared" si="59"/>
        <v>0</v>
      </c>
      <c r="G549">
        <v>499</v>
      </c>
      <c r="H549" s="15">
        <f t="shared" si="64"/>
        <v>3.3332641781285588E-2</v>
      </c>
      <c r="I549">
        <f t="shared" si="65"/>
        <v>121.13915252181205</v>
      </c>
      <c r="J549">
        <f t="shared" si="60"/>
        <v>469.75253063004078</v>
      </c>
      <c r="K549" s="30">
        <f t="shared" si="61"/>
        <v>7355.9859079968301</v>
      </c>
    </row>
    <row r="550" spans="1:11" x14ac:dyDescent="0.25">
      <c r="A550" s="29">
        <v>500</v>
      </c>
      <c r="B550" s="99">
        <f t="shared" si="62"/>
        <v>0</v>
      </c>
      <c r="C550" s="75">
        <f t="shared" si="66"/>
        <v>104.50616427295054</v>
      </c>
      <c r="D550" s="100">
        <f t="shared" si="63"/>
        <v>445.77777777777789</v>
      </c>
      <c r="E550">
        <f t="shared" si="59"/>
        <v>0</v>
      </c>
      <c r="G550">
        <v>500</v>
      </c>
      <c r="H550" s="15">
        <f t="shared" si="64"/>
        <v>3.3332641781285588E-2</v>
      </c>
      <c r="I550">
        <f t="shared" si="65"/>
        <v>121.17248516359334</v>
      </c>
      <c r="J550">
        <f t="shared" si="60"/>
        <v>469.78811366755446</v>
      </c>
      <c r="K550" s="30">
        <f t="shared" si="61"/>
        <v>7357.0997749282333</v>
      </c>
    </row>
    <row r="551" spans="1:11" x14ac:dyDescent="0.25">
      <c r="A551" s="29">
        <v>501</v>
      </c>
      <c r="B551" s="99">
        <f t="shared" si="62"/>
        <v>0</v>
      </c>
      <c r="C551" s="75">
        <f t="shared" si="66"/>
        <v>104.50616427295054</v>
      </c>
      <c r="D551" s="100">
        <f t="shared" si="63"/>
        <v>445.77777777777789</v>
      </c>
      <c r="E551">
        <f t="shared" si="59"/>
        <v>0</v>
      </c>
      <c r="G551">
        <v>501</v>
      </c>
      <c r="H551" s="15">
        <f t="shared" si="64"/>
        <v>3.3332641781285588E-2</v>
      </c>
      <c r="I551">
        <f t="shared" si="65"/>
        <v>121.20581780537462</v>
      </c>
      <c r="J551">
        <f t="shared" si="60"/>
        <v>469.8236620637083</v>
      </c>
      <c r="K551" s="30">
        <f t="shared" si="61"/>
        <v>7358.2126419880215</v>
      </c>
    </row>
    <row r="552" spans="1:11" x14ac:dyDescent="0.25">
      <c r="A552" s="29">
        <v>502</v>
      </c>
      <c r="B552" s="99">
        <f t="shared" si="62"/>
        <v>0</v>
      </c>
      <c r="C552" s="75">
        <f t="shared" si="66"/>
        <v>104.50616427295054</v>
      </c>
      <c r="D552" s="100">
        <f t="shared" si="63"/>
        <v>445.77777777777789</v>
      </c>
      <c r="E552">
        <f t="shared" si="59"/>
        <v>0</v>
      </c>
      <c r="G552">
        <v>502</v>
      </c>
      <c r="H552" s="15">
        <f t="shared" si="64"/>
        <v>3.3332641781285588E-2</v>
      </c>
      <c r="I552">
        <f t="shared" si="65"/>
        <v>121.23915044715591</v>
      </c>
      <c r="J552">
        <f t="shared" si="60"/>
        <v>469.85917587230927</v>
      </c>
      <c r="K552" s="30">
        <f t="shared" si="61"/>
        <v>7359.324510613129</v>
      </c>
    </row>
    <row r="553" spans="1:11" x14ac:dyDescent="0.25">
      <c r="A553" s="29">
        <v>503</v>
      </c>
      <c r="B553" s="99">
        <f t="shared" si="62"/>
        <v>0</v>
      </c>
      <c r="C553" s="75">
        <f t="shared" si="66"/>
        <v>104.50616427295054</v>
      </c>
      <c r="D553" s="100">
        <f t="shared" si="63"/>
        <v>445.77777777777789</v>
      </c>
      <c r="E553">
        <f t="shared" si="59"/>
        <v>0</v>
      </c>
      <c r="G553">
        <v>503</v>
      </c>
      <c r="H553" s="15">
        <f t="shared" si="64"/>
        <v>3.3332641781285588E-2</v>
      </c>
      <c r="I553">
        <f t="shared" si="65"/>
        <v>121.27248308893719</v>
      </c>
      <c r="J553">
        <f t="shared" si="60"/>
        <v>469.89465514700055</v>
      </c>
      <c r="K553" s="30">
        <f t="shared" si="61"/>
        <v>7360.4353822361263</v>
      </c>
    </row>
    <row r="554" spans="1:11" x14ac:dyDescent="0.25">
      <c r="A554" s="29">
        <v>504</v>
      </c>
      <c r="B554" s="99">
        <f t="shared" si="62"/>
        <v>0</v>
      </c>
      <c r="C554" s="75">
        <f t="shared" si="66"/>
        <v>104.50616427295054</v>
      </c>
      <c r="D554" s="100">
        <f t="shared" si="63"/>
        <v>445.77777777777789</v>
      </c>
      <c r="E554">
        <f t="shared" si="59"/>
        <v>0</v>
      </c>
      <c r="G554">
        <v>504</v>
      </c>
      <c r="H554" s="15">
        <f t="shared" si="64"/>
        <v>3.3332641781285588E-2</v>
      </c>
      <c r="I554">
        <f t="shared" si="65"/>
        <v>121.30581573071848</v>
      </c>
      <c r="J554">
        <f t="shared" si="60"/>
        <v>469.9300999412626</v>
      </c>
      <c r="K554" s="30">
        <f t="shared" si="61"/>
        <v>7361.5452582852413</v>
      </c>
    </row>
    <row r="555" spans="1:11" x14ac:dyDescent="0.25">
      <c r="A555" s="29">
        <v>505</v>
      </c>
      <c r="B555" s="99">
        <f t="shared" si="62"/>
        <v>0</v>
      </c>
      <c r="C555" s="75">
        <f t="shared" si="66"/>
        <v>104.50616427295054</v>
      </c>
      <c r="D555" s="100">
        <f t="shared" si="63"/>
        <v>445.77777777777789</v>
      </c>
      <c r="E555">
        <f t="shared" si="59"/>
        <v>0</v>
      </c>
      <c r="G555">
        <v>505</v>
      </c>
      <c r="H555" s="15">
        <f t="shared" si="64"/>
        <v>3.3332641781285588E-2</v>
      </c>
      <c r="I555">
        <f t="shared" si="65"/>
        <v>121.33914837249976</v>
      </c>
      <c r="J555">
        <f t="shared" si="60"/>
        <v>469.96551030841368</v>
      </c>
      <c r="K555" s="30">
        <f t="shared" si="61"/>
        <v>7362.6541401843688</v>
      </c>
    </row>
    <row r="556" spans="1:11" x14ac:dyDescent="0.25">
      <c r="A556" s="29">
        <v>506</v>
      </c>
      <c r="B556" s="99">
        <f t="shared" si="62"/>
        <v>0</v>
      </c>
      <c r="C556" s="75">
        <f t="shared" si="66"/>
        <v>104.50616427295054</v>
      </c>
      <c r="D556" s="100">
        <f t="shared" si="63"/>
        <v>445.77777777777789</v>
      </c>
      <c r="E556">
        <f t="shared" si="59"/>
        <v>0</v>
      </c>
      <c r="G556">
        <v>506</v>
      </c>
      <c r="H556" s="15">
        <f t="shared" si="64"/>
        <v>3.3332641781285588E-2</v>
      </c>
      <c r="I556">
        <f t="shared" si="65"/>
        <v>121.37248101428105</v>
      </c>
      <c r="J556">
        <f t="shared" si="60"/>
        <v>470.00088630161054</v>
      </c>
      <c r="K556" s="30">
        <f t="shared" si="61"/>
        <v>7363.7620293530927</v>
      </c>
    </row>
    <row r="557" spans="1:11" x14ac:dyDescent="0.25">
      <c r="A557" s="29">
        <v>507</v>
      </c>
      <c r="B557" s="99">
        <f t="shared" si="62"/>
        <v>0</v>
      </c>
      <c r="C557" s="75">
        <f t="shared" si="66"/>
        <v>104.50616427295054</v>
      </c>
      <c r="D557" s="100">
        <f t="shared" si="63"/>
        <v>445.77777777777789</v>
      </c>
      <c r="E557">
        <f t="shared" si="59"/>
        <v>0</v>
      </c>
      <c r="G557">
        <v>507</v>
      </c>
      <c r="H557" s="15">
        <f t="shared" si="64"/>
        <v>3.3332641781285588E-2</v>
      </c>
      <c r="I557">
        <f t="shared" si="65"/>
        <v>121.40581365606234</v>
      </c>
      <c r="J557">
        <f t="shared" si="60"/>
        <v>470.03622797384901</v>
      </c>
      <c r="K557" s="30">
        <f t="shared" si="61"/>
        <v>7364.8689272067068</v>
      </c>
    </row>
    <row r="558" spans="1:11" x14ac:dyDescent="0.25">
      <c r="A558" s="29">
        <v>508</v>
      </c>
      <c r="B558" s="99">
        <f t="shared" si="62"/>
        <v>0</v>
      </c>
      <c r="C558" s="75">
        <f t="shared" si="66"/>
        <v>104.50616427295054</v>
      </c>
      <c r="D558" s="100">
        <f t="shared" si="63"/>
        <v>445.77777777777789</v>
      </c>
      <c r="E558">
        <f t="shared" si="59"/>
        <v>0</v>
      </c>
      <c r="G558">
        <v>508</v>
      </c>
      <c r="H558" s="15">
        <f t="shared" si="64"/>
        <v>3.3332641781285588E-2</v>
      </c>
      <c r="I558">
        <f t="shared" si="65"/>
        <v>121.43914629784362</v>
      </c>
      <c r="J558">
        <f t="shared" si="60"/>
        <v>470.07153537796489</v>
      </c>
      <c r="K558" s="30">
        <f t="shared" si="61"/>
        <v>7365.9748351562293</v>
      </c>
    </row>
    <row r="559" spans="1:11" x14ac:dyDescent="0.25">
      <c r="A559" s="29">
        <v>509</v>
      </c>
      <c r="B559" s="99">
        <f t="shared" si="62"/>
        <v>0</v>
      </c>
      <c r="C559" s="75">
        <f t="shared" si="66"/>
        <v>104.50616427295054</v>
      </c>
      <c r="D559" s="100">
        <f t="shared" si="63"/>
        <v>445.77777777777789</v>
      </c>
      <c r="E559">
        <f t="shared" si="59"/>
        <v>0</v>
      </c>
      <c r="G559">
        <v>509</v>
      </c>
      <c r="H559" s="15">
        <f t="shared" si="64"/>
        <v>3.3332641781285588E-2</v>
      </c>
      <c r="I559">
        <f t="shared" si="65"/>
        <v>121.47247893962491</v>
      </c>
      <c r="J559">
        <f t="shared" si="60"/>
        <v>470.10680856663441</v>
      </c>
      <c r="K559" s="30">
        <f t="shared" si="61"/>
        <v>7367.0797546084204</v>
      </c>
    </row>
    <row r="560" spans="1:11" x14ac:dyDescent="0.25">
      <c r="A560" s="29">
        <v>510</v>
      </c>
      <c r="B560" s="99">
        <f t="shared" si="62"/>
        <v>0</v>
      </c>
      <c r="C560" s="75">
        <f t="shared" si="66"/>
        <v>104.50616427295054</v>
      </c>
      <c r="D560" s="100">
        <f t="shared" si="63"/>
        <v>445.77777777777789</v>
      </c>
      <c r="E560">
        <f t="shared" si="59"/>
        <v>0</v>
      </c>
      <c r="G560">
        <v>510</v>
      </c>
      <c r="H560" s="15">
        <f t="shared" si="64"/>
        <v>3.3332641781285588E-2</v>
      </c>
      <c r="I560">
        <f t="shared" si="65"/>
        <v>121.50581158140619</v>
      </c>
      <c r="J560">
        <f t="shared" si="60"/>
        <v>470.14204759237521</v>
      </c>
      <c r="K560" s="30">
        <f t="shared" si="61"/>
        <v>7368.1836869658109</v>
      </c>
    </row>
    <row r="561" spans="1:11" x14ac:dyDescent="0.25">
      <c r="A561" s="29">
        <v>511</v>
      </c>
      <c r="B561" s="99">
        <f t="shared" si="62"/>
        <v>0</v>
      </c>
      <c r="C561" s="75">
        <f t="shared" si="66"/>
        <v>104.50616427295054</v>
      </c>
      <c r="D561" s="100">
        <f t="shared" si="63"/>
        <v>445.77777777777789</v>
      </c>
      <c r="E561">
        <f t="shared" si="59"/>
        <v>0</v>
      </c>
      <c r="G561">
        <v>511</v>
      </c>
      <c r="H561" s="15">
        <f t="shared" si="64"/>
        <v>3.3332641781285588E-2</v>
      </c>
      <c r="I561">
        <f t="shared" si="65"/>
        <v>121.53914422318748</v>
      </c>
      <c r="J561">
        <f t="shared" si="60"/>
        <v>470.17725250754654</v>
      </c>
      <c r="K561" s="30">
        <f t="shared" si="61"/>
        <v>7369.286633626697</v>
      </c>
    </row>
    <row r="562" spans="1:11" x14ac:dyDescent="0.25">
      <c r="A562" s="29">
        <v>512</v>
      </c>
      <c r="B562" s="99">
        <f t="shared" si="62"/>
        <v>0</v>
      </c>
      <c r="C562" s="75">
        <f t="shared" si="66"/>
        <v>104.50616427295054</v>
      </c>
      <c r="D562" s="100">
        <f t="shared" si="63"/>
        <v>445.77777777777789</v>
      </c>
      <c r="E562">
        <f t="shared" si="59"/>
        <v>0</v>
      </c>
      <c r="G562">
        <v>512</v>
      </c>
      <c r="H562" s="15">
        <f t="shared" si="64"/>
        <v>3.3332641781285588E-2</v>
      </c>
      <c r="I562">
        <f t="shared" si="65"/>
        <v>121.57247686496876</v>
      </c>
      <c r="J562">
        <f t="shared" si="60"/>
        <v>470.21242336435029</v>
      </c>
      <c r="K562" s="30">
        <f t="shared" si="61"/>
        <v>7370.3885959851832</v>
      </c>
    </row>
    <row r="563" spans="1:11" x14ac:dyDescent="0.25">
      <c r="A563" s="29">
        <v>513</v>
      </c>
      <c r="B563" s="99">
        <f t="shared" si="62"/>
        <v>0</v>
      </c>
      <c r="C563" s="75">
        <f t="shared" si="66"/>
        <v>104.50616427295054</v>
      </c>
      <c r="D563" s="100">
        <f t="shared" si="63"/>
        <v>445.77777777777789</v>
      </c>
      <c r="E563">
        <f t="shared" ref="E563:E626" si="67">((D563^2)+(D563*D564)+(D564^2))*B564/3</f>
        <v>0</v>
      </c>
      <c r="G563">
        <v>513</v>
      </c>
      <c r="H563" s="15">
        <f t="shared" si="64"/>
        <v>3.3332641781285588E-2</v>
      </c>
      <c r="I563">
        <f t="shared" si="65"/>
        <v>121.60580950675005</v>
      </c>
      <c r="J563">
        <f t="shared" ref="J563:J626" si="68">IF($G$28&lt;$C$14,0,((($C$11^2)-((I563-$C$13)^2))^0.5)+$C$16)</f>
        <v>470.24756021483159</v>
      </c>
      <c r="K563" s="30">
        <f t="shared" ref="K563:K626" si="69">((J563^2)+(J563*J564)+(J564^2))*H564/3</f>
        <v>7371.4895754311865</v>
      </c>
    </row>
    <row r="564" spans="1:11" x14ac:dyDescent="0.25">
      <c r="A564" s="29">
        <v>514</v>
      </c>
      <c r="B564" s="99">
        <f t="shared" ref="B564:B627" si="70">C564-C563</f>
        <v>0</v>
      </c>
      <c r="C564" s="75">
        <f t="shared" si="66"/>
        <v>104.50616427295054</v>
      </c>
      <c r="D564" s="100">
        <f t="shared" ref="D564:D627" si="71">IF($G$28&lt;$C$14,0,((($C$11^2)-((C564-$C$13)^2))^0.5)+$C$16)</f>
        <v>445.77777777777789</v>
      </c>
      <c r="E564">
        <f t="shared" si="67"/>
        <v>0</v>
      </c>
      <c r="G564">
        <v>514</v>
      </c>
      <c r="H564" s="15">
        <f t="shared" ref="H564:H627" si="72">I564-I563</f>
        <v>3.3332641781285588E-2</v>
      </c>
      <c r="I564">
        <f t="shared" ref="I564:I627" si="73">($G$27-$C$14)/2000+I563</f>
        <v>121.63914214853133</v>
      </c>
      <c r="J564">
        <f t="shared" si="68"/>
        <v>470.28266311087941</v>
      </c>
      <c r="K564" s="30">
        <f t="shared" si="69"/>
        <v>7372.589573350454</v>
      </c>
    </row>
    <row r="565" spans="1:11" x14ac:dyDescent="0.25">
      <c r="A565" s="29">
        <v>515</v>
      </c>
      <c r="B565" s="99">
        <f t="shared" si="70"/>
        <v>0</v>
      </c>
      <c r="C565" s="75">
        <f t="shared" si="66"/>
        <v>104.50616427295054</v>
      </c>
      <c r="D565" s="100">
        <f t="shared" si="71"/>
        <v>445.77777777777789</v>
      </c>
      <c r="E565">
        <f t="shared" si="67"/>
        <v>0</v>
      </c>
      <c r="G565">
        <v>515</v>
      </c>
      <c r="H565" s="15">
        <f t="shared" si="72"/>
        <v>3.3332641781285588E-2</v>
      </c>
      <c r="I565">
        <f t="shared" si="73"/>
        <v>121.67247479031262</v>
      </c>
      <c r="J565">
        <f t="shared" si="68"/>
        <v>470.31773210422705</v>
      </c>
      <c r="K565" s="30">
        <f t="shared" si="69"/>
        <v>7373.6885911245781</v>
      </c>
    </row>
    <row r="566" spans="1:11" x14ac:dyDescent="0.25">
      <c r="A566" s="29">
        <v>516</v>
      </c>
      <c r="B566" s="99">
        <f t="shared" si="70"/>
        <v>0</v>
      </c>
      <c r="C566" s="75">
        <f t="shared" si="66"/>
        <v>104.50616427295054</v>
      </c>
      <c r="D566" s="100">
        <f t="shared" si="71"/>
        <v>445.77777777777789</v>
      </c>
      <c r="E566">
        <f t="shared" si="67"/>
        <v>0</v>
      </c>
      <c r="G566">
        <v>516</v>
      </c>
      <c r="H566" s="15">
        <f t="shared" si="72"/>
        <v>3.3332641781285588E-2</v>
      </c>
      <c r="I566">
        <f t="shared" si="73"/>
        <v>121.70580743209391</v>
      </c>
      <c r="J566">
        <f t="shared" si="68"/>
        <v>470.35276724645314</v>
      </c>
      <c r="K566" s="30">
        <f t="shared" si="69"/>
        <v>7374.7866301310269</v>
      </c>
    </row>
    <row r="567" spans="1:11" x14ac:dyDescent="0.25">
      <c r="A567" s="29">
        <v>517</v>
      </c>
      <c r="B567" s="99">
        <f t="shared" si="70"/>
        <v>0</v>
      </c>
      <c r="C567" s="75">
        <f t="shared" si="66"/>
        <v>104.50616427295054</v>
      </c>
      <c r="D567" s="100">
        <f t="shared" si="71"/>
        <v>445.77777777777789</v>
      </c>
      <c r="E567">
        <f t="shared" si="67"/>
        <v>0</v>
      </c>
      <c r="G567">
        <v>517</v>
      </c>
      <c r="H567" s="15">
        <f t="shared" si="72"/>
        <v>3.3332641781285588E-2</v>
      </c>
      <c r="I567">
        <f t="shared" si="73"/>
        <v>121.73914007387519</v>
      </c>
      <c r="J567">
        <f t="shared" si="68"/>
        <v>470.38776858898206</v>
      </c>
      <c r="K567" s="30">
        <f t="shared" si="69"/>
        <v>7375.8836917431481</v>
      </c>
    </row>
    <row r="568" spans="1:11" x14ac:dyDescent="0.25">
      <c r="A568" s="29">
        <v>518</v>
      </c>
      <c r="B568" s="99">
        <f t="shared" si="70"/>
        <v>0</v>
      </c>
      <c r="C568" s="75">
        <f t="shared" si="66"/>
        <v>104.50616427295054</v>
      </c>
      <c r="D568" s="100">
        <f t="shared" si="71"/>
        <v>445.77777777777789</v>
      </c>
      <c r="E568">
        <f t="shared" si="67"/>
        <v>0</v>
      </c>
      <c r="G568">
        <v>518</v>
      </c>
      <c r="H568" s="15">
        <f t="shared" si="72"/>
        <v>3.3332641781285588E-2</v>
      </c>
      <c r="I568">
        <f t="shared" si="73"/>
        <v>121.77247271565648</v>
      </c>
      <c r="J568">
        <f t="shared" si="68"/>
        <v>470.42273618308457</v>
      </c>
      <c r="K568" s="30">
        <f t="shared" si="69"/>
        <v>7376.9797773301907</v>
      </c>
    </row>
    <row r="569" spans="1:11" x14ac:dyDescent="0.25">
      <c r="A569" s="29">
        <v>519</v>
      </c>
      <c r="B569" s="99">
        <f t="shared" si="70"/>
        <v>0</v>
      </c>
      <c r="C569" s="75">
        <f t="shared" si="66"/>
        <v>104.50616427295054</v>
      </c>
      <c r="D569" s="100">
        <f t="shared" si="71"/>
        <v>445.77777777777789</v>
      </c>
      <c r="E569">
        <f t="shared" si="67"/>
        <v>0</v>
      </c>
      <c r="G569">
        <v>519</v>
      </c>
      <c r="H569" s="15">
        <f t="shared" si="72"/>
        <v>3.3332641781285588E-2</v>
      </c>
      <c r="I569">
        <f t="shared" si="73"/>
        <v>121.80580535743776</v>
      </c>
      <c r="J569">
        <f t="shared" si="68"/>
        <v>470.45767007987854</v>
      </c>
      <c r="K569" s="30">
        <f t="shared" si="69"/>
        <v>7378.0748882573216</v>
      </c>
    </row>
    <row r="570" spans="1:11" x14ac:dyDescent="0.25">
      <c r="A570" s="29">
        <v>520</v>
      </c>
      <c r="B570" s="99">
        <f t="shared" si="70"/>
        <v>0</v>
      </c>
      <c r="C570" s="75">
        <f t="shared" si="66"/>
        <v>104.50616427295054</v>
      </c>
      <c r="D570" s="100">
        <f t="shared" si="71"/>
        <v>445.77777777777789</v>
      </c>
      <c r="E570">
        <f t="shared" si="67"/>
        <v>0</v>
      </c>
      <c r="G570">
        <v>520</v>
      </c>
      <c r="H570" s="15">
        <f t="shared" si="72"/>
        <v>3.3332641781285588E-2</v>
      </c>
      <c r="I570">
        <f t="shared" si="73"/>
        <v>121.83913799921905</v>
      </c>
      <c r="J570">
        <f t="shared" si="68"/>
        <v>470.4925703303295</v>
      </c>
      <c r="K570" s="30">
        <f t="shared" si="69"/>
        <v>7379.1690258856443</v>
      </c>
    </row>
    <row r="571" spans="1:11" x14ac:dyDescent="0.25">
      <c r="A571" s="29">
        <v>521</v>
      </c>
      <c r="B571" s="99">
        <f t="shared" si="70"/>
        <v>0</v>
      </c>
      <c r="C571" s="75">
        <f t="shared" si="66"/>
        <v>104.50616427295054</v>
      </c>
      <c r="D571" s="100">
        <f t="shared" si="71"/>
        <v>445.77777777777789</v>
      </c>
      <c r="E571">
        <f t="shared" si="67"/>
        <v>0</v>
      </c>
      <c r="G571">
        <v>521</v>
      </c>
      <c r="H571" s="15">
        <f t="shared" si="72"/>
        <v>3.3332641781285588E-2</v>
      </c>
      <c r="I571">
        <f t="shared" si="73"/>
        <v>121.87247064100033</v>
      </c>
      <c r="J571">
        <f t="shared" si="68"/>
        <v>470.52743698525143</v>
      </c>
      <c r="K571" s="30">
        <f t="shared" si="69"/>
        <v>7380.262191572212</v>
      </c>
    </row>
    <row r="572" spans="1:11" x14ac:dyDescent="0.25">
      <c r="A572" s="29">
        <v>522</v>
      </c>
      <c r="B572" s="99">
        <f t="shared" si="70"/>
        <v>0</v>
      </c>
      <c r="C572" s="75">
        <f t="shared" si="66"/>
        <v>104.50616427295054</v>
      </c>
      <c r="D572" s="100">
        <f t="shared" si="71"/>
        <v>445.77777777777789</v>
      </c>
      <c r="E572">
        <f t="shared" si="67"/>
        <v>0</v>
      </c>
      <c r="G572">
        <v>522</v>
      </c>
      <c r="H572" s="15">
        <f t="shared" si="72"/>
        <v>3.3332641781285588E-2</v>
      </c>
      <c r="I572">
        <f t="shared" si="73"/>
        <v>121.90580328278162</v>
      </c>
      <c r="J572">
        <f t="shared" si="68"/>
        <v>470.5622700953071</v>
      </c>
      <c r="K572" s="30">
        <f t="shared" si="69"/>
        <v>7381.3543866700484</v>
      </c>
    </row>
    <row r="573" spans="1:11" x14ac:dyDescent="0.25">
      <c r="A573" s="29">
        <v>523</v>
      </c>
      <c r="B573" s="99">
        <f t="shared" si="70"/>
        <v>0</v>
      </c>
      <c r="C573" s="75">
        <f t="shared" si="66"/>
        <v>104.50616427295054</v>
      </c>
      <c r="D573" s="100">
        <f t="shared" si="71"/>
        <v>445.77777777777789</v>
      </c>
      <c r="E573">
        <f t="shared" si="67"/>
        <v>0</v>
      </c>
      <c r="G573">
        <v>523</v>
      </c>
      <c r="H573" s="15">
        <f t="shared" si="72"/>
        <v>3.3332641781285588E-2</v>
      </c>
      <c r="I573">
        <f t="shared" si="73"/>
        <v>121.9391359245629</v>
      </c>
      <c r="J573">
        <f t="shared" si="68"/>
        <v>470.597069711009</v>
      </c>
      <c r="K573" s="30">
        <f t="shared" si="69"/>
        <v>7382.4456125281622</v>
      </c>
    </row>
    <row r="574" spans="1:11" x14ac:dyDescent="0.25">
      <c r="A574" s="29">
        <v>524</v>
      </c>
      <c r="B574" s="99">
        <f t="shared" si="70"/>
        <v>0</v>
      </c>
      <c r="C574" s="75">
        <f t="shared" si="66"/>
        <v>104.50616427295054</v>
      </c>
      <c r="D574" s="100">
        <f t="shared" si="71"/>
        <v>445.77777777777789</v>
      </c>
      <c r="E574">
        <f t="shared" si="67"/>
        <v>0</v>
      </c>
      <c r="G574">
        <v>524</v>
      </c>
      <c r="H574" s="15">
        <f t="shared" si="72"/>
        <v>3.3332641781285588E-2</v>
      </c>
      <c r="I574">
        <f t="shared" si="73"/>
        <v>121.97246856634419</v>
      </c>
      <c r="J574">
        <f t="shared" si="68"/>
        <v>470.63183588271983</v>
      </c>
      <c r="K574" s="30">
        <f t="shared" si="69"/>
        <v>7383.5358704915643</v>
      </c>
    </row>
    <row r="575" spans="1:11" x14ac:dyDescent="0.25">
      <c r="A575" s="29">
        <v>525</v>
      </c>
      <c r="B575" s="99">
        <f t="shared" si="70"/>
        <v>0</v>
      </c>
      <c r="C575" s="75">
        <f t="shared" si="66"/>
        <v>104.50616427295054</v>
      </c>
      <c r="D575" s="100">
        <f t="shared" si="71"/>
        <v>445.77777777777789</v>
      </c>
      <c r="E575">
        <f t="shared" si="67"/>
        <v>0</v>
      </c>
      <c r="G575">
        <v>525</v>
      </c>
      <c r="H575" s="15">
        <f t="shared" si="72"/>
        <v>3.3332641781285588E-2</v>
      </c>
      <c r="I575">
        <f t="shared" si="73"/>
        <v>122.00580120812548</v>
      </c>
      <c r="J575">
        <f t="shared" si="68"/>
        <v>470.66656866065301</v>
      </c>
      <c r="K575" s="30">
        <f t="shared" si="69"/>
        <v>7384.6251619012837</v>
      </c>
    </row>
    <row r="576" spans="1:11" x14ac:dyDescent="0.25">
      <c r="A576" s="29">
        <v>526</v>
      </c>
      <c r="B576" s="99">
        <f t="shared" si="70"/>
        <v>0</v>
      </c>
      <c r="C576" s="75">
        <f t="shared" si="66"/>
        <v>104.50616427295054</v>
      </c>
      <c r="D576" s="100">
        <f t="shared" si="71"/>
        <v>445.77777777777789</v>
      </c>
      <c r="E576">
        <f t="shared" si="67"/>
        <v>0</v>
      </c>
      <c r="G576">
        <v>526</v>
      </c>
      <c r="H576" s="15">
        <f t="shared" si="72"/>
        <v>3.3332641781285588E-2</v>
      </c>
      <c r="I576">
        <f t="shared" si="73"/>
        <v>122.03913384990676</v>
      </c>
      <c r="J576">
        <f t="shared" si="68"/>
        <v>470.70126809487351</v>
      </c>
      <c r="K576" s="30">
        <f t="shared" si="69"/>
        <v>7385.713488094385</v>
      </c>
    </row>
    <row r="577" spans="1:11" x14ac:dyDescent="0.25">
      <c r="A577" s="29">
        <v>527</v>
      </c>
      <c r="B577" s="99">
        <f t="shared" si="70"/>
        <v>0</v>
      </c>
      <c r="C577" s="75">
        <f t="shared" si="66"/>
        <v>104.50616427295054</v>
      </c>
      <c r="D577" s="100">
        <f t="shared" si="71"/>
        <v>445.77777777777789</v>
      </c>
      <c r="E577">
        <f t="shared" si="67"/>
        <v>0</v>
      </c>
      <c r="G577">
        <v>527</v>
      </c>
      <c r="H577" s="15">
        <f t="shared" si="72"/>
        <v>3.3332641781285588E-2</v>
      </c>
      <c r="I577">
        <f t="shared" si="73"/>
        <v>122.07246649168805</v>
      </c>
      <c r="J577">
        <f t="shared" si="68"/>
        <v>470.73593423529832</v>
      </c>
      <c r="K577" s="30">
        <f t="shared" si="69"/>
        <v>7386.8008504039817</v>
      </c>
    </row>
    <row r="578" spans="1:11" x14ac:dyDescent="0.25">
      <c r="A578" s="29">
        <v>528</v>
      </c>
      <c r="B578" s="99">
        <f t="shared" si="70"/>
        <v>0</v>
      </c>
      <c r="C578" s="75">
        <f t="shared" si="66"/>
        <v>104.50616427295054</v>
      </c>
      <c r="D578" s="100">
        <f t="shared" si="71"/>
        <v>445.77777777777789</v>
      </c>
      <c r="E578">
        <f t="shared" si="67"/>
        <v>0</v>
      </c>
      <c r="G578">
        <v>528</v>
      </c>
      <c r="H578" s="15">
        <f t="shared" si="72"/>
        <v>3.3332641781285588E-2</v>
      </c>
      <c r="I578">
        <f t="shared" si="73"/>
        <v>122.10579913346933</v>
      </c>
      <c r="J578">
        <f t="shared" si="68"/>
        <v>470.77056713169702</v>
      </c>
      <c r="K578" s="30">
        <f t="shared" si="69"/>
        <v>7387.887250159255</v>
      </c>
    </row>
    <row r="579" spans="1:11" x14ac:dyDescent="0.25">
      <c r="A579" s="29">
        <v>529</v>
      </c>
      <c r="B579" s="99">
        <f t="shared" si="70"/>
        <v>0</v>
      </c>
      <c r="C579" s="75">
        <f t="shared" si="66"/>
        <v>104.50616427295054</v>
      </c>
      <c r="D579" s="100">
        <f t="shared" si="71"/>
        <v>445.77777777777789</v>
      </c>
      <c r="E579">
        <f t="shared" si="67"/>
        <v>0</v>
      </c>
      <c r="G579">
        <v>529</v>
      </c>
      <c r="H579" s="15">
        <f t="shared" si="72"/>
        <v>3.3332641781285588E-2</v>
      </c>
      <c r="I579">
        <f t="shared" si="73"/>
        <v>122.13913177525062</v>
      </c>
      <c r="J579">
        <f t="shared" si="68"/>
        <v>470.80516683369257</v>
      </c>
      <c r="K579" s="30">
        <f t="shared" si="69"/>
        <v>7388.9726886854723</v>
      </c>
    </row>
    <row r="580" spans="1:11" x14ac:dyDescent="0.25">
      <c r="A580" s="29">
        <v>530</v>
      </c>
      <c r="B580" s="99">
        <f t="shared" si="70"/>
        <v>0</v>
      </c>
      <c r="C580" s="75">
        <f t="shared" si="66"/>
        <v>104.50616427295054</v>
      </c>
      <c r="D580" s="100">
        <f t="shared" si="71"/>
        <v>445.77777777777789</v>
      </c>
      <c r="E580">
        <f t="shared" si="67"/>
        <v>0</v>
      </c>
      <c r="G580">
        <v>530</v>
      </c>
      <c r="H580" s="15">
        <f t="shared" si="72"/>
        <v>3.3332641781285588E-2</v>
      </c>
      <c r="I580">
        <f t="shared" si="73"/>
        <v>122.1724644170319</v>
      </c>
      <c r="J580">
        <f t="shared" si="68"/>
        <v>470.83973339076169</v>
      </c>
      <c r="K580" s="30">
        <f t="shared" si="69"/>
        <v>7390.0571673039994</v>
      </c>
    </row>
    <row r="581" spans="1:11" x14ac:dyDescent="0.25">
      <c r="A581" s="29">
        <v>531</v>
      </c>
      <c r="B581" s="99">
        <f t="shared" si="70"/>
        <v>0</v>
      </c>
      <c r="C581" s="75">
        <f t="shared" si="66"/>
        <v>104.50616427295054</v>
      </c>
      <c r="D581" s="100">
        <f t="shared" si="71"/>
        <v>445.77777777777789</v>
      </c>
      <c r="E581">
        <f t="shared" si="67"/>
        <v>0</v>
      </c>
      <c r="G581">
        <v>531</v>
      </c>
      <c r="H581" s="15">
        <f t="shared" si="72"/>
        <v>3.3332641781285588E-2</v>
      </c>
      <c r="I581">
        <f t="shared" si="73"/>
        <v>122.20579705881319</v>
      </c>
      <c r="J581">
        <f t="shared" si="68"/>
        <v>470.87426685223573</v>
      </c>
      <c r="K581" s="30">
        <f t="shared" si="69"/>
        <v>7391.140687332314</v>
      </c>
    </row>
    <row r="582" spans="1:11" x14ac:dyDescent="0.25">
      <c r="A582" s="29">
        <v>532</v>
      </c>
      <c r="B582" s="99">
        <f t="shared" si="70"/>
        <v>0</v>
      </c>
      <c r="C582" s="75">
        <f t="shared" si="66"/>
        <v>104.50616427295054</v>
      </c>
      <c r="D582" s="100">
        <f t="shared" si="71"/>
        <v>445.77777777777789</v>
      </c>
      <c r="E582">
        <f t="shared" si="67"/>
        <v>0</v>
      </c>
      <c r="G582">
        <v>532</v>
      </c>
      <c r="H582" s="15">
        <f t="shared" si="72"/>
        <v>3.3332641781285588E-2</v>
      </c>
      <c r="I582">
        <f t="shared" si="73"/>
        <v>122.23912970059448</v>
      </c>
      <c r="J582">
        <f t="shared" si="68"/>
        <v>470.9087672673009</v>
      </c>
      <c r="K582" s="30">
        <f t="shared" si="69"/>
        <v>7392.2232500840328</v>
      </c>
    </row>
    <row r="583" spans="1:11" x14ac:dyDescent="0.25">
      <c r="A583" s="29">
        <v>533</v>
      </c>
      <c r="B583" s="99">
        <f t="shared" si="70"/>
        <v>0</v>
      </c>
      <c r="C583" s="75">
        <f t="shared" si="66"/>
        <v>104.50616427295054</v>
      </c>
      <c r="D583" s="100">
        <f t="shared" si="71"/>
        <v>445.77777777777789</v>
      </c>
      <c r="E583">
        <f t="shared" si="67"/>
        <v>0</v>
      </c>
      <c r="G583">
        <v>533</v>
      </c>
      <c r="H583" s="15">
        <f t="shared" si="72"/>
        <v>3.3332641781285588E-2</v>
      </c>
      <c r="I583">
        <f t="shared" si="73"/>
        <v>122.27246234237576</v>
      </c>
      <c r="J583">
        <f t="shared" si="68"/>
        <v>470.9432346849992</v>
      </c>
      <c r="K583" s="30">
        <f t="shared" si="69"/>
        <v>7393.304856868911</v>
      </c>
    </row>
    <row r="584" spans="1:11" x14ac:dyDescent="0.25">
      <c r="A584" s="29">
        <v>534</v>
      </c>
      <c r="B584" s="99">
        <f t="shared" si="70"/>
        <v>0</v>
      </c>
      <c r="C584" s="75">
        <f t="shared" si="66"/>
        <v>104.50616427295054</v>
      </c>
      <c r="D584" s="100">
        <f t="shared" si="71"/>
        <v>445.77777777777789</v>
      </c>
      <c r="E584">
        <f t="shared" si="67"/>
        <v>0</v>
      </c>
      <c r="G584">
        <v>534</v>
      </c>
      <c r="H584" s="15">
        <f t="shared" si="72"/>
        <v>3.3332641781285588E-2</v>
      </c>
      <c r="I584">
        <f t="shared" si="73"/>
        <v>122.30579498415705</v>
      </c>
      <c r="J584">
        <f t="shared" si="68"/>
        <v>470.97766915422869</v>
      </c>
      <c r="K584" s="30">
        <f t="shared" si="69"/>
        <v>7394.3855089928702</v>
      </c>
    </row>
    <row r="585" spans="1:11" x14ac:dyDescent="0.25">
      <c r="A585" s="29">
        <v>535</v>
      </c>
      <c r="B585" s="99">
        <f t="shared" si="70"/>
        <v>0</v>
      </c>
      <c r="C585" s="75">
        <f t="shared" si="66"/>
        <v>104.50616427295054</v>
      </c>
      <c r="D585" s="100">
        <f t="shared" si="71"/>
        <v>445.77777777777789</v>
      </c>
      <c r="E585">
        <f t="shared" si="67"/>
        <v>0</v>
      </c>
      <c r="G585">
        <v>535</v>
      </c>
      <c r="H585" s="15">
        <f t="shared" si="72"/>
        <v>3.3332641781285588E-2</v>
      </c>
      <c r="I585">
        <f t="shared" si="73"/>
        <v>122.33912762593833</v>
      </c>
      <c r="J585">
        <f t="shared" si="68"/>
        <v>471.01207072374461</v>
      </c>
      <c r="K585" s="30">
        <f t="shared" si="69"/>
        <v>7395.465207758014</v>
      </c>
    </row>
    <row r="586" spans="1:11" x14ac:dyDescent="0.25">
      <c r="A586" s="29">
        <v>536</v>
      </c>
      <c r="B586" s="99">
        <f t="shared" si="70"/>
        <v>0</v>
      </c>
      <c r="C586" s="75">
        <f t="shared" si="66"/>
        <v>104.50616427295054</v>
      </c>
      <c r="D586" s="100">
        <f t="shared" si="71"/>
        <v>445.77777777777789</v>
      </c>
      <c r="E586">
        <f t="shared" si="67"/>
        <v>0</v>
      </c>
      <c r="G586">
        <v>536</v>
      </c>
      <c r="H586" s="15">
        <f t="shared" si="72"/>
        <v>3.3332641781285588E-2</v>
      </c>
      <c r="I586">
        <f t="shared" si="73"/>
        <v>122.37246026771962</v>
      </c>
      <c r="J586">
        <f t="shared" si="68"/>
        <v>471.04643944215923</v>
      </c>
      <c r="K586" s="30">
        <f t="shared" si="69"/>
        <v>7396.5439544626361</v>
      </c>
    </row>
    <row r="587" spans="1:11" x14ac:dyDescent="0.25">
      <c r="A587" s="29">
        <v>537</v>
      </c>
      <c r="B587" s="99">
        <f t="shared" si="70"/>
        <v>0</v>
      </c>
      <c r="C587" s="75">
        <f t="shared" si="66"/>
        <v>104.50616427295054</v>
      </c>
      <c r="D587" s="100">
        <f t="shared" si="71"/>
        <v>445.77777777777789</v>
      </c>
      <c r="E587">
        <f t="shared" si="67"/>
        <v>0</v>
      </c>
      <c r="G587">
        <v>537</v>
      </c>
      <c r="H587" s="15">
        <f t="shared" si="72"/>
        <v>3.3332641781285588E-2</v>
      </c>
      <c r="I587">
        <f t="shared" si="73"/>
        <v>122.4057929095009</v>
      </c>
      <c r="J587">
        <f t="shared" si="68"/>
        <v>471.08077535794308</v>
      </c>
      <c r="K587" s="30">
        <f t="shared" si="69"/>
        <v>7397.621750401242</v>
      </c>
    </row>
    <row r="588" spans="1:11" x14ac:dyDescent="0.25">
      <c r="A588" s="29">
        <v>538</v>
      </c>
      <c r="B588" s="99">
        <f t="shared" si="70"/>
        <v>0</v>
      </c>
      <c r="C588" s="75">
        <f t="shared" si="66"/>
        <v>104.50616427295054</v>
      </c>
      <c r="D588" s="100">
        <f t="shared" si="71"/>
        <v>445.77777777777789</v>
      </c>
      <c r="E588">
        <f t="shared" si="67"/>
        <v>0</v>
      </c>
      <c r="G588">
        <v>538</v>
      </c>
      <c r="H588" s="15">
        <f t="shared" si="72"/>
        <v>3.3332641781285588E-2</v>
      </c>
      <c r="I588">
        <f t="shared" si="73"/>
        <v>122.43912555128219</v>
      </c>
      <c r="J588">
        <f t="shared" si="68"/>
        <v>471.11507851942508</v>
      </c>
      <c r="K588" s="30">
        <f t="shared" si="69"/>
        <v>7398.6985968645558</v>
      </c>
    </row>
    <row r="589" spans="1:11" x14ac:dyDescent="0.25">
      <c r="A589" s="29">
        <v>539</v>
      </c>
      <c r="B589" s="99">
        <f t="shared" si="70"/>
        <v>0</v>
      </c>
      <c r="C589" s="75">
        <f t="shared" si="66"/>
        <v>104.50616427295054</v>
      </c>
      <c r="D589" s="100">
        <f t="shared" si="71"/>
        <v>445.77777777777789</v>
      </c>
      <c r="E589">
        <f t="shared" si="67"/>
        <v>0</v>
      </c>
      <c r="G589">
        <v>539</v>
      </c>
      <c r="H589" s="15">
        <f t="shared" si="72"/>
        <v>3.3332641781285588E-2</v>
      </c>
      <c r="I589">
        <f t="shared" si="73"/>
        <v>122.47245819306347</v>
      </c>
      <c r="J589">
        <f t="shared" si="68"/>
        <v>471.14934897479338</v>
      </c>
      <c r="K589" s="30">
        <f t="shared" si="69"/>
        <v>7399.7744951395507</v>
      </c>
    </row>
    <row r="590" spans="1:11" x14ac:dyDescent="0.25">
      <c r="A590" s="29">
        <v>540</v>
      </c>
      <c r="B590" s="99">
        <f t="shared" si="70"/>
        <v>0</v>
      </c>
      <c r="C590" s="75">
        <f t="shared" si="66"/>
        <v>104.50616427295054</v>
      </c>
      <c r="D590" s="100">
        <f t="shared" si="71"/>
        <v>445.77777777777789</v>
      </c>
      <c r="E590">
        <f t="shared" si="67"/>
        <v>0</v>
      </c>
      <c r="G590">
        <v>540</v>
      </c>
      <c r="H590" s="15">
        <f t="shared" si="72"/>
        <v>3.3332641781285588E-2</v>
      </c>
      <c r="I590">
        <f t="shared" si="73"/>
        <v>122.50579083484476</v>
      </c>
      <c r="J590">
        <f t="shared" si="68"/>
        <v>471.18358677209579</v>
      </c>
      <c r="K590" s="30">
        <f t="shared" si="69"/>
        <v>7400.8494465094491</v>
      </c>
    </row>
    <row r="591" spans="1:11" x14ac:dyDescent="0.25">
      <c r="A591" s="29">
        <v>541</v>
      </c>
      <c r="B591" s="99">
        <f t="shared" si="70"/>
        <v>0</v>
      </c>
      <c r="C591" s="75">
        <f t="shared" si="66"/>
        <v>104.50616427295054</v>
      </c>
      <c r="D591" s="100">
        <f t="shared" si="71"/>
        <v>445.77777777777789</v>
      </c>
      <c r="E591">
        <f t="shared" si="67"/>
        <v>0</v>
      </c>
      <c r="G591">
        <v>541</v>
      </c>
      <c r="H591" s="15">
        <f t="shared" si="72"/>
        <v>3.3332641781285588E-2</v>
      </c>
      <c r="I591">
        <f t="shared" si="73"/>
        <v>122.53912347662605</v>
      </c>
      <c r="J591">
        <f t="shared" si="68"/>
        <v>471.21779195924046</v>
      </c>
      <c r="K591" s="30">
        <f t="shared" si="69"/>
        <v>7401.9234522537481</v>
      </c>
    </row>
    <row r="592" spans="1:11" x14ac:dyDescent="0.25">
      <c r="A592" s="29">
        <v>542</v>
      </c>
      <c r="B592" s="99">
        <f t="shared" si="70"/>
        <v>0</v>
      </c>
      <c r="C592" s="75">
        <f t="shared" ref="C592:C655" si="74">($C$37-$C$36)/2000+C591</f>
        <v>104.50616427295054</v>
      </c>
      <c r="D592" s="100">
        <f t="shared" si="71"/>
        <v>445.77777777777789</v>
      </c>
      <c r="E592">
        <f t="shared" si="67"/>
        <v>0</v>
      </c>
      <c r="G592">
        <v>542</v>
      </c>
      <c r="H592" s="15">
        <f t="shared" si="72"/>
        <v>3.3332641781285588E-2</v>
      </c>
      <c r="I592">
        <f t="shared" si="73"/>
        <v>122.57245611840733</v>
      </c>
      <c r="J592">
        <f t="shared" si="68"/>
        <v>471.25196458399637</v>
      </c>
      <c r="K592" s="30">
        <f t="shared" si="69"/>
        <v>7402.9965136482278</v>
      </c>
    </row>
    <row r="593" spans="1:11" x14ac:dyDescent="0.25">
      <c r="A593" s="29">
        <v>543</v>
      </c>
      <c r="B593" s="99">
        <f t="shared" si="70"/>
        <v>0</v>
      </c>
      <c r="C593" s="75">
        <f t="shared" si="74"/>
        <v>104.50616427295054</v>
      </c>
      <c r="D593" s="100">
        <f t="shared" si="71"/>
        <v>445.77777777777789</v>
      </c>
      <c r="E593">
        <f t="shared" si="67"/>
        <v>0</v>
      </c>
      <c r="G593">
        <v>543</v>
      </c>
      <c r="H593" s="15">
        <f t="shared" si="72"/>
        <v>3.3332641781285588E-2</v>
      </c>
      <c r="I593">
        <f t="shared" si="73"/>
        <v>122.60578876018862</v>
      </c>
      <c r="J593">
        <f t="shared" si="68"/>
        <v>471.28610469399388</v>
      </c>
      <c r="K593" s="30">
        <f t="shared" si="69"/>
        <v>7404.0686319649676</v>
      </c>
    </row>
    <row r="594" spans="1:11" x14ac:dyDescent="0.25">
      <c r="A594" s="29">
        <v>544</v>
      </c>
      <c r="B594" s="99">
        <f t="shared" si="70"/>
        <v>0</v>
      </c>
      <c r="C594" s="75">
        <f t="shared" si="74"/>
        <v>104.50616427295054</v>
      </c>
      <c r="D594" s="100">
        <f t="shared" si="71"/>
        <v>445.77777777777789</v>
      </c>
      <c r="E594">
        <f t="shared" si="67"/>
        <v>0</v>
      </c>
      <c r="G594">
        <v>544</v>
      </c>
      <c r="H594" s="15">
        <f t="shared" si="72"/>
        <v>3.3332641781285588E-2</v>
      </c>
      <c r="I594">
        <f t="shared" si="73"/>
        <v>122.6391214019699</v>
      </c>
      <c r="J594">
        <f t="shared" si="68"/>
        <v>471.32021233672526</v>
      </c>
      <c r="K594" s="30">
        <f t="shared" si="69"/>
        <v>7405.1398084723669</v>
      </c>
    </row>
    <row r="595" spans="1:11" x14ac:dyDescent="0.25">
      <c r="A595" s="29">
        <v>545</v>
      </c>
      <c r="B595" s="99">
        <f t="shared" si="70"/>
        <v>0</v>
      </c>
      <c r="C595" s="75">
        <f t="shared" si="74"/>
        <v>104.50616427295054</v>
      </c>
      <c r="D595" s="100">
        <f t="shared" si="71"/>
        <v>445.77777777777789</v>
      </c>
      <c r="E595">
        <f t="shared" si="67"/>
        <v>0</v>
      </c>
      <c r="G595">
        <v>545</v>
      </c>
      <c r="H595" s="15">
        <f t="shared" si="72"/>
        <v>3.3332641781285588E-2</v>
      </c>
      <c r="I595">
        <f t="shared" si="73"/>
        <v>122.67245404375119</v>
      </c>
      <c r="J595">
        <f t="shared" si="68"/>
        <v>471.35428755954547</v>
      </c>
      <c r="K595" s="30">
        <f t="shared" si="69"/>
        <v>7406.2100444351518</v>
      </c>
    </row>
    <row r="596" spans="1:11" x14ac:dyDescent="0.25">
      <c r="A596" s="29">
        <v>546</v>
      </c>
      <c r="B596" s="99">
        <f t="shared" si="70"/>
        <v>0</v>
      </c>
      <c r="C596" s="75">
        <f t="shared" si="74"/>
        <v>104.50616427295054</v>
      </c>
      <c r="D596" s="100">
        <f t="shared" si="71"/>
        <v>445.77777777777789</v>
      </c>
      <c r="E596">
        <f t="shared" si="67"/>
        <v>0</v>
      </c>
      <c r="G596">
        <v>546</v>
      </c>
      <c r="H596" s="15">
        <f t="shared" si="72"/>
        <v>3.3332641781285588E-2</v>
      </c>
      <c r="I596">
        <f t="shared" si="73"/>
        <v>122.70578668553247</v>
      </c>
      <c r="J596">
        <f t="shared" si="68"/>
        <v>471.38833040967234</v>
      </c>
      <c r="K596" s="30">
        <f t="shared" si="69"/>
        <v>7407.279341114393</v>
      </c>
    </row>
    <row r="597" spans="1:11" x14ac:dyDescent="0.25">
      <c r="A597" s="29">
        <v>547</v>
      </c>
      <c r="B597" s="99">
        <f t="shared" si="70"/>
        <v>0</v>
      </c>
      <c r="C597" s="75">
        <f t="shared" si="74"/>
        <v>104.50616427295054</v>
      </c>
      <c r="D597" s="100">
        <f t="shared" si="71"/>
        <v>445.77777777777789</v>
      </c>
      <c r="E597">
        <f t="shared" si="67"/>
        <v>0</v>
      </c>
      <c r="G597">
        <v>547</v>
      </c>
      <c r="H597" s="15">
        <f t="shared" si="72"/>
        <v>3.3332641781285588E-2</v>
      </c>
      <c r="I597">
        <f t="shared" si="73"/>
        <v>122.73911932731376</v>
      </c>
      <c r="J597">
        <f t="shared" si="68"/>
        <v>471.42234093418745</v>
      </c>
      <c r="K597" s="30">
        <f t="shared" si="69"/>
        <v>7408.3476997675234</v>
      </c>
    </row>
    <row r="598" spans="1:11" x14ac:dyDescent="0.25">
      <c r="A598" s="29">
        <v>548</v>
      </c>
      <c r="B598" s="99">
        <f t="shared" si="70"/>
        <v>0</v>
      </c>
      <c r="C598" s="75">
        <f t="shared" si="74"/>
        <v>104.50616427295054</v>
      </c>
      <c r="D598" s="100">
        <f t="shared" si="71"/>
        <v>445.77777777777789</v>
      </c>
      <c r="E598">
        <f t="shared" si="67"/>
        <v>0</v>
      </c>
      <c r="G598">
        <v>548</v>
      </c>
      <c r="H598" s="15">
        <f t="shared" si="72"/>
        <v>3.3332641781285588E-2</v>
      </c>
      <c r="I598">
        <f t="shared" si="73"/>
        <v>122.77245196909504</v>
      </c>
      <c r="J598">
        <f t="shared" si="68"/>
        <v>471.45631918003647</v>
      </c>
      <c r="K598" s="30">
        <f t="shared" si="69"/>
        <v>7409.4151216483506</v>
      </c>
    </row>
    <row r="599" spans="1:11" x14ac:dyDescent="0.25">
      <c r="A599" s="29">
        <v>549</v>
      </c>
      <c r="B599" s="99">
        <f t="shared" si="70"/>
        <v>0</v>
      </c>
      <c r="C599" s="75">
        <f t="shared" si="74"/>
        <v>104.50616427295054</v>
      </c>
      <c r="D599" s="100">
        <f t="shared" si="71"/>
        <v>445.77777777777789</v>
      </c>
      <c r="E599">
        <f t="shared" si="67"/>
        <v>0</v>
      </c>
      <c r="G599">
        <v>549</v>
      </c>
      <c r="H599" s="15">
        <f t="shared" si="72"/>
        <v>3.3332641781285588E-2</v>
      </c>
      <c r="I599">
        <f t="shared" si="73"/>
        <v>122.80578461087633</v>
      </c>
      <c r="J599">
        <f t="shared" si="68"/>
        <v>471.49026519402992</v>
      </c>
      <c r="K599" s="30">
        <f t="shared" si="69"/>
        <v>7410.4816080070677</v>
      </c>
    </row>
    <row r="600" spans="1:11" x14ac:dyDescent="0.25">
      <c r="A600" s="29">
        <v>550</v>
      </c>
      <c r="B600" s="99">
        <f t="shared" si="70"/>
        <v>0</v>
      </c>
      <c r="C600" s="75">
        <f t="shared" si="74"/>
        <v>104.50616427295054</v>
      </c>
      <c r="D600" s="100">
        <f t="shared" si="71"/>
        <v>445.77777777777789</v>
      </c>
      <c r="E600">
        <f t="shared" si="67"/>
        <v>0</v>
      </c>
      <c r="G600">
        <v>550</v>
      </c>
      <c r="H600" s="15">
        <f t="shared" si="72"/>
        <v>3.3332641781285588E-2</v>
      </c>
      <c r="I600">
        <f t="shared" si="73"/>
        <v>122.83911725265762</v>
      </c>
      <c r="J600">
        <f t="shared" si="68"/>
        <v>471.52417902284338</v>
      </c>
      <c r="K600" s="30">
        <f t="shared" si="69"/>
        <v>7411.5471600902738</v>
      </c>
    </row>
    <row r="601" spans="1:11" x14ac:dyDescent="0.25">
      <c r="A601" s="29">
        <v>551</v>
      </c>
      <c r="B601" s="99">
        <f t="shared" si="70"/>
        <v>0</v>
      </c>
      <c r="C601" s="75">
        <f t="shared" si="74"/>
        <v>104.50616427295054</v>
      </c>
      <c r="D601" s="100">
        <f t="shared" si="71"/>
        <v>445.77777777777789</v>
      </c>
      <c r="E601">
        <f t="shared" si="67"/>
        <v>0</v>
      </c>
      <c r="G601">
        <v>551</v>
      </c>
      <c r="H601" s="15">
        <f t="shared" si="72"/>
        <v>3.3332641781285588E-2</v>
      </c>
      <c r="I601">
        <f t="shared" si="73"/>
        <v>122.8724498944389</v>
      </c>
      <c r="J601">
        <f t="shared" si="68"/>
        <v>471.55806071301839</v>
      </c>
      <c r="K601" s="30">
        <f t="shared" si="69"/>
        <v>7412.6117791409824</v>
      </c>
    </row>
    <row r="602" spans="1:11" x14ac:dyDescent="0.25">
      <c r="A602" s="29">
        <v>552</v>
      </c>
      <c r="B602" s="99">
        <f t="shared" si="70"/>
        <v>0</v>
      </c>
      <c r="C602" s="75">
        <f t="shared" si="74"/>
        <v>104.50616427295054</v>
      </c>
      <c r="D602" s="100">
        <f t="shared" si="71"/>
        <v>445.77777777777789</v>
      </c>
      <c r="E602">
        <f t="shared" si="67"/>
        <v>0</v>
      </c>
      <c r="G602">
        <v>552</v>
      </c>
      <c r="H602" s="15">
        <f t="shared" si="72"/>
        <v>3.3332641781285588E-2</v>
      </c>
      <c r="I602">
        <f t="shared" si="73"/>
        <v>122.90578253622019</v>
      </c>
      <c r="J602">
        <f t="shared" si="68"/>
        <v>471.5919103109627</v>
      </c>
      <c r="K602" s="30">
        <f t="shared" si="69"/>
        <v>7413.6754663986467</v>
      </c>
    </row>
    <row r="603" spans="1:11" x14ac:dyDescent="0.25">
      <c r="A603" s="29">
        <v>553</v>
      </c>
      <c r="B603" s="99">
        <f t="shared" si="70"/>
        <v>0</v>
      </c>
      <c r="C603" s="75">
        <f t="shared" si="74"/>
        <v>104.50616427295054</v>
      </c>
      <c r="D603" s="100">
        <f t="shared" si="71"/>
        <v>445.77777777777789</v>
      </c>
      <c r="E603">
        <f t="shared" si="67"/>
        <v>0</v>
      </c>
      <c r="G603">
        <v>553</v>
      </c>
      <c r="H603" s="15">
        <f t="shared" si="72"/>
        <v>3.3332641781285588E-2</v>
      </c>
      <c r="I603">
        <f t="shared" si="73"/>
        <v>122.93911517800147</v>
      </c>
      <c r="J603">
        <f t="shared" si="68"/>
        <v>471.62572786295107</v>
      </c>
      <c r="K603" s="30">
        <f t="shared" si="69"/>
        <v>7414.7382230991579</v>
      </c>
    </row>
    <row r="604" spans="1:11" x14ac:dyDescent="0.25">
      <c r="A604" s="29">
        <v>554</v>
      </c>
      <c r="B604" s="99">
        <f t="shared" si="70"/>
        <v>0</v>
      </c>
      <c r="C604" s="75">
        <f t="shared" si="74"/>
        <v>104.50616427295054</v>
      </c>
      <c r="D604" s="100">
        <f t="shared" si="71"/>
        <v>445.77777777777789</v>
      </c>
      <c r="E604">
        <f t="shared" si="67"/>
        <v>0</v>
      </c>
      <c r="G604">
        <v>554</v>
      </c>
      <c r="H604" s="15">
        <f t="shared" si="72"/>
        <v>3.3332641781285588E-2</v>
      </c>
      <c r="I604">
        <f t="shared" si="73"/>
        <v>122.97244781978276</v>
      </c>
      <c r="J604">
        <f t="shared" si="68"/>
        <v>471.6595134151255</v>
      </c>
      <c r="K604" s="30">
        <f t="shared" si="69"/>
        <v>7415.8000504748716</v>
      </c>
    </row>
    <row r="605" spans="1:11" x14ac:dyDescent="0.25">
      <c r="A605" s="29">
        <v>555</v>
      </c>
      <c r="B605" s="99">
        <f t="shared" si="70"/>
        <v>0</v>
      </c>
      <c r="C605" s="75">
        <f t="shared" si="74"/>
        <v>104.50616427295054</v>
      </c>
      <c r="D605" s="100">
        <f t="shared" si="71"/>
        <v>445.77777777777789</v>
      </c>
      <c r="E605">
        <f t="shared" si="67"/>
        <v>0</v>
      </c>
      <c r="G605">
        <v>555</v>
      </c>
      <c r="H605" s="15">
        <f t="shared" si="72"/>
        <v>3.3332641781285588E-2</v>
      </c>
      <c r="I605">
        <f t="shared" si="73"/>
        <v>123.00578046156404</v>
      </c>
      <c r="J605">
        <f t="shared" si="68"/>
        <v>471.69326701349604</v>
      </c>
      <c r="K605" s="30">
        <f t="shared" si="69"/>
        <v>7416.8609497546176</v>
      </c>
    </row>
    <row r="606" spans="1:11" x14ac:dyDescent="0.25">
      <c r="A606" s="29">
        <v>556</v>
      </c>
      <c r="B606" s="99">
        <f t="shared" si="70"/>
        <v>0</v>
      </c>
      <c r="C606" s="75">
        <f t="shared" si="74"/>
        <v>104.50616427295054</v>
      </c>
      <c r="D606" s="100">
        <f t="shared" si="71"/>
        <v>445.77777777777789</v>
      </c>
      <c r="E606">
        <f t="shared" si="67"/>
        <v>0</v>
      </c>
      <c r="G606">
        <v>556</v>
      </c>
      <c r="H606" s="15">
        <f t="shared" si="72"/>
        <v>3.3332641781285588E-2</v>
      </c>
      <c r="I606">
        <f t="shared" si="73"/>
        <v>123.03911310334533</v>
      </c>
      <c r="J606">
        <f t="shared" si="68"/>
        <v>471.726988703941</v>
      </c>
      <c r="K606" s="30">
        <f t="shared" si="69"/>
        <v>7417.9209221637093</v>
      </c>
    </row>
    <row r="607" spans="1:11" x14ac:dyDescent="0.25">
      <c r="A607" s="29">
        <v>557</v>
      </c>
      <c r="B607" s="99">
        <f t="shared" si="70"/>
        <v>0</v>
      </c>
      <c r="C607" s="75">
        <f t="shared" si="74"/>
        <v>104.50616427295054</v>
      </c>
      <c r="D607" s="100">
        <f t="shared" si="71"/>
        <v>445.77777777777789</v>
      </c>
      <c r="E607">
        <f t="shared" si="67"/>
        <v>0</v>
      </c>
      <c r="G607">
        <v>557</v>
      </c>
      <c r="H607" s="15">
        <f t="shared" si="72"/>
        <v>3.3332641781285588E-2</v>
      </c>
      <c r="I607">
        <f t="shared" si="73"/>
        <v>123.07244574512661</v>
      </c>
      <c r="J607">
        <f t="shared" si="68"/>
        <v>471.76067853220786</v>
      </c>
      <c r="K607" s="30">
        <f t="shared" si="69"/>
        <v>7418.979968923969</v>
      </c>
    </row>
    <row r="608" spans="1:11" x14ac:dyDescent="0.25">
      <c r="A608" s="29">
        <v>558</v>
      </c>
      <c r="B608" s="99">
        <f t="shared" si="70"/>
        <v>0</v>
      </c>
      <c r="C608" s="75">
        <f t="shared" si="74"/>
        <v>104.50616427295054</v>
      </c>
      <c r="D608" s="100">
        <f t="shared" si="71"/>
        <v>445.77777777777789</v>
      </c>
      <c r="E608">
        <f t="shared" si="67"/>
        <v>0</v>
      </c>
      <c r="G608">
        <v>558</v>
      </c>
      <c r="H608" s="15">
        <f t="shared" si="72"/>
        <v>3.3332641781285588E-2</v>
      </c>
      <c r="I608">
        <f t="shared" si="73"/>
        <v>123.1057783869079</v>
      </c>
      <c r="J608">
        <f t="shared" si="68"/>
        <v>471.79433654391352</v>
      </c>
      <c r="K608" s="30">
        <f t="shared" si="69"/>
        <v>7420.0380912537339</v>
      </c>
    </row>
    <row r="609" spans="1:11" x14ac:dyDescent="0.25">
      <c r="A609" s="29">
        <v>559</v>
      </c>
      <c r="B609" s="99">
        <f t="shared" si="70"/>
        <v>0</v>
      </c>
      <c r="C609" s="75">
        <f t="shared" si="74"/>
        <v>104.50616427295054</v>
      </c>
      <c r="D609" s="100">
        <f t="shared" si="71"/>
        <v>445.77777777777789</v>
      </c>
      <c r="E609">
        <f t="shared" si="67"/>
        <v>0</v>
      </c>
      <c r="G609">
        <v>559</v>
      </c>
      <c r="H609" s="15">
        <f t="shared" si="72"/>
        <v>3.3332641781285588E-2</v>
      </c>
      <c r="I609">
        <f t="shared" si="73"/>
        <v>123.13911102868919</v>
      </c>
      <c r="J609">
        <f t="shared" si="68"/>
        <v>471.82796278454487</v>
      </c>
      <c r="K609" s="30">
        <f t="shared" si="69"/>
        <v>7421.0952903678708</v>
      </c>
    </row>
    <row r="610" spans="1:11" x14ac:dyDescent="0.25">
      <c r="A610" s="29">
        <v>560</v>
      </c>
      <c r="B610" s="99">
        <f t="shared" si="70"/>
        <v>0</v>
      </c>
      <c r="C610" s="75">
        <f t="shared" si="74"/>
        <v>104.50616427295054</v>
      </c>
      <c r="D610" s="100">
        <f t="shared" si="71"/>
        <v>445.77777777777789</v>
      </c>
      <c r="E610">
        <f t="shared" si="67"/>
        <v>0</v>
      </c>
      <c r="G610">
        <v>560</v>
      </c>
      <c r="H610" s="15">
        <f t="shared" si="72"/>
        <v>3.3332641781285588E-2</v>
      </c>
      <c r="I610">
        <f t="shared" si="73"/>
        <v>123.17244367047047</v>
      </c>
      <c r="J610">
        <f t="shared" si="68"/>
        <v>471.86155729945926</v>
      </c>
      <c r="K610" s="30">
        <f t="shared" si="69"/>
        <v>7422.1515674777866</v>
      </c>
    </row>
    <row r="611" spans="1:11" x14ac:dyDescent="0.25">
      <c r="A611" s="29">
        <v>561</v>
      </c>
      <c r="B611" s="99">
        <f t="shared" si="70"/>
        <v>0</v>
      </c>
      <c r="C611" s="75">
        <f t="shared" si="74"/>
        <v>104.50616427295054</v>
      </c>
      <c r="D611" s="100">
        <f t="shared" si="71"/>
        <v>445.77777777777789</v>
      </c>
      <c r="E611">
        <f t="shared" si="67"/>
        <v>0</v>
      </c>
      <c r="G611">
        <v>561</v>
      </c>
      <c r="H611" s="15">
        <f t="shared" si="72"/>
        <v>3.3332641781285588E-2</v>
      </c>
      <c r="I611">
        <f t="shared" si="73"/>
        <v>123.20577631225176</v>
      </c>
      <c r="J611">
        <f t="shared" si="68"/>
        <v>471.8951201338852</v>
      </c>
      <c r="K611" s="30">
        <f t="shared" si="69"/>
        <v>7423.2069237914484</v>
      </c>
    </row>
    <row r="612" spans="1:11" x14ac:dyDescent="0.25">
      <c r="A612" s="29">
        <v>562</v>
      </c>
      <c r="B612" s="99">
        <f t="shared" si="70"/>
        <v>0</v>
      </c>
      <c r="C612" s="75">
        <f t="shared" si="74"/>
        <v>104.50616427295054</v>
      </c>
      <c r="D612" s="100">
        <f t="shared" si="71"/>
        <v>445.77777777777789</v>
      </c>
      <c r="E612">
        <f t="shared" si="67"/>
        <v>0</v>
      </c>
      <c r="G612">
        <v>562</v>
      </c>
      <c r="H612" s="15">
        <f t="shared" si="72"/>
        <v>3.3332641781285588E-2</v>
      </c>
      <c r="I612">
        <f t="shared" si="73"/>
        <v>123.23910895403304</v>
      </c>
      <c r="J612">
        <f t="shared" si="68"/>
        <v>471.92865133292264</v>
      </c>
      <c r="K612" s="30">
        <f t="shared" si="69"/>
        <v>7424.2613605133956</v>
      </c>
    </row>
    <row r="613" spans="1:11" x14ac:dyDescent="0.25">
      <c r="A613" s="29">
        <v>563</v>
      </c>
      <c r="B613" s="99">
        <f t="shared" si="70"/>
        <v>0</v>
      </c>
      <c r="C613" s="75">
        <f t="shared" si="74"/>
        <v>104.50616427295054</v>
      </c>
      <c r="D613" s="100">
        <f t="shared" si="71"/>
        <v>445.77777777777789</v>
      </c>
      <c r="E613">
        <f t="shared" si="67"/>
        <v>0</v>
      </c>
      <c r="G613">
        <v>563</v>
      </c>
      <c r="H613" s="15">
        <f t="shared" si="72"/>
        <v>3.3332641781285588E-2</v>
      </c>
      <c r="I613">
        <f t="shared" si="73"/>
        <v>123.27244159581433</v>
      </c>
      <c r="J613">
        <f t="shared" si="68"/>
        <v>471.9621509415436</v>
      </c>
      <c r="K613" s="30">
        <f t="shared" si="69"/>
        <v>7425.3148788447515</v>
      </c>
    </row>
    <row r="614" spans="1:11" x14ac:dyDescent="0.25">
      <c r="A614" s="29">
        <v>564</v>
      </c>
      <c r="B614" s="99">
        <f t="shared" si="70"/>
        <v>0</v>
      </c>
      <c r="C614" s="75">
        <f t="shared" si="74"/>
        <v>104.50616427295054</v>
      </c>
      <c r="D614" s="100">
        <f t="shared" si="71"/>
        <v>445.77777777777789</v>
      </c>
      <c r="E614">
        <f t="shared" si="67"/>
        <v>0</v>
      </c>
      <c r="G614">
        <v>564</v>
      </c>
      <c r="H614" s="15">
        <f t="shared" si="72"/>
        <v>3.3332641781285588E-2</v>
      </c>
      <c r="I614">
        <f t="shared" si="73"/>
        <v>123.30577423759561</v>
      </c>
      <c r="J614">
        <f t="shared" si="68"/>
        <v>471.9956190045927</v>
      </c>
      <c r="K614" s="30">
        <f t="shared" si="69"/>
        <v>7426.367479983237</v>
      </c>
    </row>
    <row r="615" spans="1:11" x14ac:dyDescent="0.25">
      <c r="A615" s="29">
        <v>565</v>
      </c>
      <c r="B615" s="99">
        <f t="shared" si="70"/>
        <v>0</v>
      </c>
      <c r="C615" s="75">
        <f t="shared" si="74"/>
        <v>104.50616427295054</v>
      </c>
      <c r="D615" s="100">
        <f t="shared" si="71"/>
        <v>445.77777777777789</v>
      </c>
      <c r="E615">
        <f t="shared" si="67"/>
        <v>0</v>
      </c>
      <c r="G615">
        <v>565</v>
      </c>
      <c r="H615" s="15">
        <f t="shared" si="72"/>
        <v>3.3332641781285588E-2</v>
      </c>
      <c r="I615">
        <f t="shared" si="73"/>
        <v>123.3391068793769</v>
      </c>
      <c r="J615">
        <f t="shared" si="68"/>
        <v>472.02905556678752</v>
      </c>
      <c r="K615" s="30">
        <f t="shared" si="69"/>
        <v>7427.4191651231813</v>
      </c>
    </row>
    <row r="616" spans="1:11" x14ac:dyDescent="0.25">
      <c r="A616" s="29">
        <v>566</v>
      </c>
      <c r="B616" s="99">
        <f t="shared" si="70"/>
        <v>0</v>
      </c>
      <c r="C616" s="75">
        <f t="shared" si="74"/>
        <v>104.50616427295054</v>
      </c>
      <c r="D616" s="100">
        <f t="shared" si="71"/>
        <v>445.77777777777789</v>
      </c>
      <c r="E616">
        <f t="shared" si="67"/>
        <v>0</v>
      </c>
      <c r="G616">
        <v>566</v>
      </c>
      <c r="H616" s="15">
        <f t="shared" si="72"/>
        <v>3.3332641781285588E-2</v>
      </c>
      <c r="I616">
        <f t="shared" si="73"/>
        <v>123.37243952115819</v>
      </c>
      <c r="J616">
        <f t="shared" si="68"/>
        <v>472.06246067271928</v>
      </c>
      <c r="K616" s="30">
        <f t="shared" si="69"/>
        <v>7428.4699354555441</v>
      </c>
    </row>
    <row r="617" spans="1:11" x14ac:dyDescent="0.25">
      <c r="A617" s="29">
        <v>567</v>
      </c>
      <c r="B617" s="99">
        <f t="shared" si="70"/>
        <v>0</v>
      </c>
      <c r="C617" s="75">
        <f t="shared" si="74"/>
        <v>104.50616427295054</v>
      </c>
      <c r="D617" s="100">
        <f t="shared" si="71"/>
        <v>445.77777777777789</v>
      </c>
      <c r="E617">
        <f t="shared" si="67"/>
        <v>0</v>
      </c>
      <c r="G617">
        <v>567</v>
      </c>
      <c r="H617" s="15">
        <f t="shared" si="72"/>
        <v>3.3332641781285588E-2</v>
      </c>
      <c r="I617">
        <f t="shared" si="73"/>
        <v>123.40577216293947</v>
      </c>
      <c r="J617">
        <f t="shared" si="68"/>
        <v>472.09583436685318</v>
      </c>
      <c r="K617" s="30">
        <f t="shared" si="69"/>
        <v>7429.5197921679164</v>
      </c>
    </row>
    <row r="618" spans="1:11" x14ac:dyDescent="0.25">
      <c r="A618" s="29">
        <v>568</v>
      </c>
      <c r="B618" s="99">
        <f t="shared" si="70"/>
        <v>0</v>
      </c>
      <c r="C618" s="75">
        <f t="shared" si="74"/>
        <v>104.50616427295054</v>
      </c>
      <c r="D618" s="100">
        <f t="shared" si="71"/>
        <v>445.77777777777789</v>
      </c>
      <c r="E618">
        <f t="shared" si="67"/>
        <v>0</v>
      </c>
      <c r="G618">
        <v>568</v>
      </c>
      <c r="H618" s="15">
        <f t="shared" si="72"/>
        <v>3.3332641781285588E-2</v>
      </c>
      <c r="I618">
        <f t="shared" si="73"/>
        <v>123.43910480472076</v>
      </c>
      <c r="J618">
        <f t="shared" si="68"/>
        <v>472.12917669352908</v>
      </c>
      <c r="K618" s="30">
        <f t="shared" si="69"/>
        <v>7430.5687364445484</v>
      </c>
    </row>
    <row r="619" spans="1:11" x14ac:dyDescent="0.25">
      <c r="A619" s="29">
        <v>569</v>
      </c>
      <c r="B619" s="99">
        <f t="shared" si="70"/>
        <v>0</v>
      </c>
      <c r="C619" s="75">
        <f t="shared" si="74"/>
        <v>104.50616427295054</v>
      </c>
      <c r="D619" s="100">
        <f t="shared" si="71"/>
        <v>445.77777777777789</v>
      </c>
      <c r="E619">
        <f t="shared" si="67"/>
        <v>0</v>
      </c>
      <c r="G619">
        <v>569</v>
      </c>
      <c r="H619" s="15">
        <f t="shared" si="72"/>
        <v>3.3332641781285588E-2</v>
      </c>
      <c r="I619">
        <f t="shared" si="73"/>
        <v>123.47243744650204</v>
      </c>
      <c r="J619">
        <f t="shared" si="68"/>
        <v>472.16248769696165</v>
      </c>
      <c r="K619" s="30">
        <f t="shared" si="69"/>
        <v>7431.6167694663418</v>
      </c>
    </row>
    <row r="620" spans="1:11" x14ac:dyDescent="0.25">
      <c r="A620" s="29">
        <v>570</v>
      </c>
      <c r="B620" s="99">
        <f t="shared" si="70"/>
        <v>0</v>
      </c>
      <c r="C620" s="75">
        <f t="shared" si="74"/>
        <v>104.50616427295054</v>
      </c>
      <c r="D620" s="100">
        <f t="shared" si="71"/>
        <v>445.77777777777789</v>
      </c>
      <c r="E620">
        <f t="shared" si="67"/>
        <v>0</v>
      </c>
      <c r="G620">
        <v>570</v>
      </c>
      <c r="H620" s="15">
        <f t="shared" si="72"/>
        <v>3.3332641781285588E-2</v>
      </c>
      <c r="I620">
        <f t="shared" si="73"/>
        <v>123.50577008828333</v>
      </c>
      <c r="J620">
        <f t="shared" si="68"/>
        <v>472.19576742124121</v>
      </c>
      <c r="K620" s="30">
        <f t="shared" si="69"/>
        <v>7432.6638924108884</v>
      </c>
    </row>
    <row r="621" spans="1:11" x14ac:dyDescent="0.25">
      <c r="A621" s="29">
        <v>571</v>
      </c>
      <c r="B621" s="99">
        <f t="shared" si="70"/>
        <v>0</v>
      </c>
      <c r="C621" s="75">
        <f t="shared" si="74"/>
        <v>104.50616427295054</v>
      </c>
      <c r="D621" s="100">
        <f t="shared" si="71"/>
        <v>445.77777777777789</v>
      </c>
      <c r="E621">
        <f t="shared" si="67"/>
        <v>0</v>
      </c>
      <c r="G621">
        <v>571</v>
      </c>
      <c r="H621" s="15">
        <f t="shared" si="72"/>
        <v>3.3332641781285588E-2</v>
      </c>
      <c r="I621">
        <f t="shared" si="73"/>
        <v>123.53910273006461</v>
      </c>
      <c r="J621">
        <f t="shared" si="68"/>
        <v>472.22901591033423</v>
      </c>
      <c r="K621" s="30">
        <f t="shared" si="69"/>
        <v>7433.7101064524659</v>
      </c>
    </row>
    <row r="622" spans="1:11" x14ac:dyDescent="0.25">
      <c r="A622" s="29">
        <v>572</v>
      </c>
      <c r="B622" s="99">
        <f t="shared" si="70"/>
        <v>0</v>
      </c>
      <c r="C622" s="75">
        <f t="shared" si="74"/>
        <v>104.50616427295054</v>
      </c>
      <c r="D622" s="100">
        <f t="shared" si="71"/>
        <v>445.77777777777789</v>
      </c>
      <c r="E622">
        <f t="shared" si="67"/>
        <v>0</v>
      </c>
      <c r="G622">
        <v>572</v>
      </c>
      <c r="H622" s="15">
        <f t="shared" si="72"/>
        <v>3.3332641781285588E-2</v>
      </c>
      <c r="I622">
        <f t="shared" si="73"/>
        <v>123.5724353718459</v>
      </c>
      <c r="J622">
        <f t="shared" si="68"/>
        <v>472.26223320808339</v>
      </c>
      <c r="K622" s="30">
        <f t="shared" si="69"/>
        <v>7434.7554127620506</v>
      </c>
    </row>
    <row r="623" spans="1:11" x14ac:dyDescent="0.25">
      <c r="A623" s="29">
        <v>573</v>
      </c>
      <c r="B623" s="99">
        <f t="shared" si="70"/>
        <v>0</v>
      </c>
      <c r="C623" s="75">
        <f t="shared" si="74"/>
        <v>104.50616427295054</v>
      </c>
      <c r="D623" s="100">
        <f t="shared" si="71"/>
        <v>445.77777777777789</v>
      </c>
      <c r="E623">
        <f t="shared" si="67"/>
        <v>0</v>
      </c>
      <c r="G623">
        <v>573</v>
      </c>
      <c r="H623" s="15">
        <f t="shared" si="72"/>
        <v>3.3332641781285588E-2</v>
      </c>
      <c r="I623">
        <f t="shared" si="73"/>
        <v>123.60576801362718</v>
      </c>
      <c r="J623">
        <f t="shared" si="68"/>
        <v>472.29541935820851</v>
      </c>
      <c r="K623" s="30">
        <f t="shared" si="69"/>
        <v>7435.7998125073391</v>
      </c>
    </row>
    <row r="624" spans="1:11" x14ac:dyDescent="0.25">
      <c r="A624" s="29">
        <v>574</v>
      </c>
      <c r="B624" s="99">
        <f t="shared" si="70"/>
        <v>0</v>
      </c>
      <c r="C624" s="75">
        <f t="shared" si="74"/>
        <v>104.50616427295054</v>
      </c>
      <c r="D624" s="100">
        <f t="shared" si="71"/>
        <v>445.77777777777789</v>
      </c>
      <c r="E624">
        <f t="shared" si="67"/>
        <v>0</v>
      </c>
      <c r="G624">
        <v>574</v>
      </c>
      <c r="H624" s="15">
        <f t="shared" si="72"/>
        <v>3.3332641781285588E-2</v>
      </c>
      <c r="I624">
        <f t="shared" si="73"/>
        <v>123.63910065540847</v>
      </c>
      <c r="J624">
        <f t="shared" si="68"/>
        <v>472.32857440430683</v>
      </c>
      <c r="K624" s="30">
        <f t="shared" si="69"/>
        <v>7436.8433068527556</v>
      </c>
    </row>
    <row r="625" spans="1:11" x14ac:dyDescent="0.25">
      <c r="A625" s="29">
        <v>575</v>
      </c>
      <c r="B625" s="99">
        <f t="shared" si="70"/>
        <v>0</v>
      </c>
      <c r="C625" s="75">
        <f t="shared" si="74"/>
        <v>104.50616427295054</v>
      </c>
      <c r="D625" s="100">
        <f t="shared" si="71"/>
        <v>445.77777777777789</v>
      </c>
      <c r="E625">
        <f t="shared" si="67"/>
        <v>0</v>
      </c>
      <c r="G625">
        <v>575</v>
      </c>
      <c r="H625" s="15">
        <f t="shared" si="72"/>
        <v>3.3332641781285588E-2</v>
      </c>
      <c r="I625">
        <f t="shared" si="73"/>
        <v>123.67243329718976</v>
      </c>
      <c r="J625">
        <f t="shared" si="68"/>
        <v>472.36169838985347</v>
      </c>
      <c r="K625" s="30">
        <f t="shared" si="69"/>
        <v>7437.8858969594667</v>
      </c>
    </row>
    <row r="626" spans="1:11" x14ac:dyDescent="0.25">
      <c r="A626" s="29">
        <v>576</v>
      </c>
      <c r="B626" s="99">
        <f t="shared" si="70"/>
        <v>0</v>
      </c>
      <c r="C626" s="75">
        <f t="shared" si="74"/>
        <v>104.50616427295054</v>
      </c>
      <c r="D626" s="100">
        <f t="shared" si="71"/>
        <v>445.77777777777789</v>
      </c>
      <c r="E626">
        <f t="shared" si="67"/>
        <v>0</v>
      </c>
      <c r="G626">
        <v>576</v>
      </c>
      <c r="H626" s="15">
        <f t="shared" si="72"/>
        <v>3.3332641781285588E-2</v>
      </c>
      <c r="I626">
        <f t="shared" si="73"/>
        <v>123.70576593897104</v>
      </c>
      <c r="J626">
        <f t="shared" si="68"/>
        <v>472.3947913582021</v>
      </c>
      <c r="K626" s="30">
        <f t="shared" si="69"/>
        <v>7438.9275839853881</v>
      </c>
    </row>
    <row r="627" spans="1:11" x14ac:dyDescent="0.25">
      <c r="A627" s="29">
        <v>577</v>
      </c>
      <c r="B627" s="99">
        <f t="shared" si="70"/>
        <v>0</v>
      </c>
      <c r="C627" s="75">
        <f t="shared" si="74"/>
        <v>104.50616427295054</v>
      </c>
      <c r="D627" s="100">
        <f t="shared" si="71"/>
        <v>445.77777777777789</v>
      </c>
      <c r="E627">
        <f t="shared" ref="E627:E690" si="75">((D627^2)+(D627*D628)+(D628^2))*B628/3</f>
        <v>0</v>
      </c>
      <c r="G627">
        <v>577</v>
      </c>
      <c r="H627" s="15">
        <f t="shared" si="72"/>
        <v>3.3332641781285588E-2</v>
      </c>
      <c r="I627">
        <f t="shared" si="73"/>
        <v>123.73909858075233</v>
      </c>
      <c r="J627">
        <f t="shared" ref="J627:J690" si="76">IF($G$28&lt;$C$14,0,((($C$11^2)-((I627-$C$13)^2))^0.5)+$C$16)</f>
        <v>472.42785335258509</v>
      </c>
      <c r="K627" s="30">
        <f t="shared" ref="K627:K690" si="77">((J627^2)+(J627*J628)+(J628^2))*H628/3</f>
        <v>7439.9683690852107</v>
      </c>
    </row>
    <row r="628" spans="1:11" x14ac:dyDescent="0.25">
      <c r="A628" s="29">
        <v>578</v>
      </c>
      <c r="B628" s="99">
        <f t="shared" ref="B628:B691" si="78">C628-C627</f>
        <v>0</v>
      </c>
      <c r="C628" s="75">
        <f t="shared" si="74"/>
        <v>104.50616427295054</v>
      </c>
      <c r="D628" s="100">
        <f t="shared" ref="D628:D691" si="79">IF($G$28&lt;$C$14,0,((($C$11^2)-((C628-$C$13)^2))^0.5)+$C$16)</f>
        <v>445.77777777777789</v>
      </c>
      <c r="E628">
        <f t="shared" si="75"/>
        <v>0</v>
      </c>
      <c r="G628">
        <v>578</v>
      </c>
      <c r="H628" s="15">
        <f t="shared" ref="H628:H691" si="80">I628-I627</f>
        <v>3.3332641781285588E-2</v>
      </c>
      <c r="I628">
        <f t="shared" ref="I628:I691" si="81">($G$27-$C$14)/2000+I627</f>
        <v>123.77243122253361</v>
      </c>
      <c r="J628">
        <f t="shared" si="76"/>
        <v>472.46088441611414</v>
      </c>
      <c r="K628" s="30">
        <f t="shared" si="77"/>
        <v>7441.0082534103976</v>
      </c>
    </row>
    <row r="629" spans="1:11" x14ac:dyDescent="0.25">
      <c r="A629" s="29">
        <v>579</v>
      </c>
      <c r="B629" s="99">
        <f t="shared" si="78"/>
        <v>0</v>
      </c>
      <c r="C629" s="75">
        <f t="shared" si="74"/>
        <v>104.50616427295054</v>
      </c>
      <c r="D629" s="100">
        <f t="shared" si="79"/>
        <v>445.77777777777789</v>
      </c>
      <c r="E629">
        <f t="shared" si="75"/>
        <v>0</v>
      </c>
      <c r="G629">
        <v>579</v>
      </c>
      <c r="H629" s="15">
        <f t="shared" si="80"/>
        <v>3.3332641781285588E-2</v>
      </c>
      <c r="I629">
        <f t="shared" si="81"/>
        <v>123.8057638643149</v>
      </c>
      <c r="J629">
        <f t="shared" si="76"/>
        <v>472.49388459178095</v>
      </c>
      <c r="K629" s="30">
        <f t="shared" si="77"/>
        <v>7442.0472381092031</v>
      </c>
    </row>
    <row r="630" spans="1:11" x14ac:dyDescent="0.25">
      <c r="A630" s="29">
        <v>580</v>
      </c>
      <c r="B630" s="99">
        <f t="shared" si="78"/>
        <v>0</v>
      </c>
      <c r="C630" s="75">
        <f t="shared" si="74"/>
        <v>104.50616427295054</v>
      </c>
      <c r="D630" s="100">
        <f t="shared" si="79"/>
        <v>445.77777777777789</v>
      </c>
      <c r="E630">
        <f t="shared" si="75"/>
        <v>0</v>
      </c>
      <c r="G630">
        <v>580</v>
      </c>
      <c r="H630" s="15">
        <f t="shared" si="80"/>
        <v>3.3332641781285588E-2</v>
      </c>
      <c r="I630">
        <f t="shared" si="81"/>
        <v>123.83909650609618</v>
      </c>
      <c r="J630">
        <f t="shared" si="76"/>
        <v>472.52685392245735</v>
      </c>
      <c r="K630" s="30">
        <f t="shared" si="77"/>
        <v>7443.0853243266911</v>
      </c>
    </row>
    <row r="631" spans="1:11" x14ac:dyDescent="0.25">
      <c r="A631" s="29">
        <v>581</v>
      </c>
      <c r="B631" s="99">
        <f t="shared" si="78"/>
        <v>0</v>
      </c>
      <c r="C631" s="75">
        <f t="shared" si="74"/>
        <v>104.50616427295054</v>
      </c>
      <c r="D631" s="100">
        <f t="shared" si="79"/>
        <v>445.77777777777789</v>
      </c>
      <c r="E631">
        <f t="shared" si="75"/>
        <v>0</v>
      </c>
      <c r="G631">
        <v>581</v>
      </c>
      <c r="H631" s="15">
        <f t="shared" si="80"/>
        <v>3.3332641781285588E-2</v>
      </c>
      <c r="I631">
        <f t="shared" si="81"/>
        <v>123.87242914787747</v>
      </c>
      <c r="J631">
        <f t="shared" si="76"/>
        <v>472.55979245089588</v>
      </c>
      <c r="K631" s="30">
        <f t="shared" si="77"/>
        <v>7444.1225132047402</v>
      </c>
    </row>
    <row r="632" spans="1:11" x14ac:dyDescent="0.25">
      <c r="A632" s="29">
        <v>582</v>
      </c>
      <c r="B632" s="99">
        <f t="shared" si="78"/>
        <v>0</v>
      </c>
      <c r="C632" s="75">
        <f t="shared" si="74"/>
        <v>104.50616427295054</v>
      </c>
      <c r="D632" s="100">
        <f t="shared" si="79"/>
        <v>445.77777777777789</v>
      </c>
      <c r="E632">
        <f t="shared" si="75"/>
        <v>0</v>
      </c>
      <c r="G632">
        <v>582</v>
      </c>
      <c r="H632" s="15">
        <f t="shared" si="80"/>
        <v>3.3332641781285588E-2</v>
      </c>
      <c r="I632">
        <f t="shared" si="81"/>
        <v>123.90576178965875</v>
      </c>
      <c r="J632">
        <f t="shared" si="76"/>
        <v>472.59270021973043</v>
      </c>
      <c r="K632" s="30">
        <f t="shared" si="77"/>
        <v>7445.1588058820516</v>
      </c>
    </row>
    <row r="633" spans="1:11" x14ac:dyDescent="0.25">
      <c r="A633" s="29">
        <v>583</v>
      </c>
      <c r="B633" s="99">
        <f t="shared" si="78"/>
        <v>0</v>
      </c>
      <c r="C633" s="75">
        <f t="shared" si="74"/>
        <v>104.50616427295054</v>
      </c>
      <c r="D633" s="100">
        <f t="shared" si="79"/>
        <v>445.77777777777789</v>
      </c>
      <c r="E633">
        <f t="shared" si="75"/>
        <v>0</v>
      </c>
      <c r="G633">
        <v>583</v>
      </c>
      <c r="H633" s="15">
        <f t="shared" si="80"/>
        <v>3.3332641781285588E-2</v>
      </c>
      <c r="I633">
        <f t="shared" si="81"/>
        <v>123.93909443144004</v>
      </c>
      <c r="J633">
        <f t="shared" si="76"/>
        <v>472.62557727147629</v>
      </c>
      <c r="K633" s="30">
        <f t="shared" si="77"/>
        <v>7446.1942034941703</v>
      </c>
    </row>
    <row r="634" spans="1:11" x14ac:dyDescent="0.25">
      <c r="A634" s="29">
        <v>584</v>
      </c>
      <c r="B634" s="99">
        <f t="shared" si="78"/>
        <v>0</v>
      </c>
      <c r="C634" s="75">
        <f t="shared" si="74"/>
        <v>104.50616427295054</v>
      </c>
      <c r="D634" s="100">
        <f t="shared" si="79"/>
        <v>445.77777777777789</v>
      </c>
      <c r="E634">
        <f t="shared" si="75"/>
        <v>0</v>
      </c>
      <c r="G634">
        <v>584</v>
      </c>
      <c r="H634" s="15">
        <f t="shared" si="80"/>
        <v>3.3332641781285588E-2</v>
      </c>
      <c r="I634">
        <f t="shared" si="81"/>
        <v>123.97242707322133</v>
      </c>
      <c r="J634">
        <f t="shared" si="76"/>
        <v>472.65842364853114</v>
      </c>
      <c r="K634" s="30">
        <f t="shared" si="77"/>
        <v>7447.2287071735009</v>
      </c>
    </row>
    <row r="635" spans="1:11" x14ac:dyDescent="0.25">
      <c r="A635" s="29">
        <v>585</v>
      </c>
      <c r="B635" s="99">
        <f t="shared" si="78"/>
        <v>0</v>
      </c>
      <c r="C635" s="75">
        <f t="shared" si="74"/>
        <v>104.50616427295054</v>
      </c>
      <c r="D635" s="100">
        <f t="shared" si="79"/>
        <v>445.77777777777789</v>
      </c>
      <c r="E635">
        <f t="shared" si="75"/>
        <v>0</v>
      </c>
      <c r="G635">
        <v>585</v>
      </c>
      <c r="H635" s="15">
        <f t="shared" si="80"/>
        <v>3.3332641781285588E-2</v>
      </c>
      <c r="I635">
        <f t="shared" si="81"/>
        <v>124.00575971500261</v>
      </c>
      <c r="J635">
        <f t="shared" si="76"/>
        <v>472.69123939317501</v>
      </c>
      <c r="K635" s="30">
        <f t="shared" si="77"/>
        <v>7448.2623180493019</v>
      </c>
    </row>
    <row r="636" spans="1:11" x14ac:dyDescent="0.25">
      <c r="A636" s="29">
        <v>586</v>
      </c>
      <c r="B636" s="99">
        <f t="shared" si="78"/>
        <v>0</v>
      </c>
      <c r="C636" s="75">
        <f t="shared" si="74"/>
        <v>104.50616427295054</v>
      </c>
      <c r="D636" s="100">
        <f t="shared" si="79"/>
        <v>445.77777777777789</v>
      </c>
      <c r="E636">
        <f t="shared" si="75"/>
        <v>0</v>
      </c>
      <c r="G636">
        <v>586</v>
      </c>
      <c r="H636" s="15">
        <f t="shared" si="80"/>
        <v>3.3332641781285588E-2</v>
      </c>
      <c r="I636">
        <f t="shared" si="81"/>
        <v>124.0390923567839</v>
      </c>
      <c r="J636">
        <f t="shared" si="76"/>
        <v>472.72402454757105</v>
      </c>
      <c r="K636" s="30">
        <f t="shared" si="77"/>
        <v>7449.295037247718</v>
      </c>
    </row>
    <row r="637" spans="1:11" x14ac:dyDescent="0.25">
      <c r="A637" s="29">
        <v>587</v>
      </c>
      <c r="B637" s="99">
        <f t="shared" si="78"/>
        <v>0</v>
      </c>
      <c r="C637" s="75">
        <f t="shared" si="74"/>
        <v>104.50616427295054</v>
      </c>
      <c r="D637" s="100">
        <f t="shared" si="79"/>
        <v>445.77777777777789</v>
      </c>
      <c r="E637">
        <f t="shared" si="75"/>
        <v>0</v>
      </c>
      <c r="G637">
        <v>587</v>
      </c>
      <c r="H637" s="15">
        <f t="shared" si="80"/>
        <v>3.3332641781285588E-2</v>
      </c>
      <c r="I637">
        <f t="shared" si="81"/>
        <v>124.07242499856518</v>
      </c>
      <c r="J637">
        <f t="shared" si="76"/>
        <v>472.75677915376582</v>
      </c>
      <c r="K637" s="30">
        <f t="shared" si="77"/>
        <v>7450.3268658917805</v>
      </c>
    </row>
    <row r="638" spans="1:11" x14ac:dyDescent="0.25">
      <c r="A638" s="29">
        <v>588</v>
      </c>
      <c r="B638" s="99">
        <f t="shared" si="78"/>
        <v>0</v>
      </c>
      <c r="C638" s="75">
        <f t="shared" si="74"/>
        <v>104.50616427295054</v>
      </c>
      <c r="D638" s="100">
        <f t="shared" si="79"/>
        <v>445.77777777777789</v>
      </c>
      <c r="E638">
        <f t="shared" si="75"/>
        <v>0</v>
      </c>
      <c r="G638">
        <v>588</v>
      </c>
      <c r="H638" s="15">
        <f t="shared" si="80"/>
        <v>3.3332641781285588E-2</v>
      </c>
      <c r="I638">
        <f t="shared" si="81"/>
        <v>124.10575764034647</v>
      </c>
      <c r="J638">
        <f t="shared" si="76"/>
        <v>472.78950325368987</v>
      </c>
      <c r="K638" s="30">
        <f t="shared" si="77"/>
        <v>7451.3578051014183</v>
      </c>
    </row>
    <row r="639" spans="1:11" x14ac:dyDescent="0.25">
      <c r="A639" s="29">
        <v>589</v>
      </c>
      <c r="B639" s="99">
        <f t="shared" si="78"/>
        <v>0</v>
      </c>
      <c r="C639" s="75">
        <f t="shared" si="74"/>
        <v>104.50616427295054</v>
      </c>
      <c r="D639" s="100">
        <f t="shared" si="79"/>
        <v>445.77777777777789</v>
      </c>
      <c r="E639">
        <f t="shared" si="75"/>
        <v>0</v>
      </c>
      <c r="G639">
        <v>589</v>
      </c>
      <c r="H639" s="15">
        <f t="shared" si="80"/>
        <v>3.3332641781285588E-2</v>
      </c>
      <c r="I639">
        <f t="shared" si="81"/>
        <v>124.13909028212775</v>
      </c>
      <c r="J639">
        <f t="shared" si="76"/>
        <v>472.82219688915802</v>
      </c>
      <c r="K639" s="30">
        <f t="shared" si="77"/>
        <v>7452.3878559934747</v>
      </c>
    </row>
    <row r="640" spans="1:11" x14ac:dyDescent="0.25">
      <c r="A640" s="29">
        <v>590</v>
      </c>
      <c r="B640" s="99">
        <f t="shared" si="78"/>
        <v>0</v>
      </c>
      <c r="C640" s="75">
        <f t="shared" si="74"/>
        <v>104.50616427295054</v>
      </c>
      <c r="D640" s="100">
        <f t="shared" si="79"/>
        <v>445.77777777777789</v>
      </c>
      <c r="E640">
        <f t="shared" si="75"/>
        <v>0</v>
      </c>
      <c r="G640">
        <v>590</v>
      </c>
      <c r="H640" s="15">
        <f t="shared" si="80"/>
        <v>3.3332641781285588E-2</v>
      </c>
      <c r="I640">
        <f t="shared" si="81"/>
        <v>124.17242292390904</v>
      </c>
      <c r="J640">
        <f t="shared" si="76"/>
        <v>472.8548601018698</v>
      </c>
      <c r="K640" s="30">
        <f t="shared" si="77"/>
        <v>7453.4170196817186</v>
      </c>
    </row>
    <row r="641" spans="1:11" x14ac:dyDescent="0.25">
      <c r="A641" s="29">
        <v>591</v>
      </c>
      <c r="B641" s="99">
        <f t="shared" si="78"/>
        <v>0</v>
      </c>
      <c r="C641" s="75">
        <f t="shared" si="74"/>
        <v>104.50616427295054</v>
      </c>
      <c r="D641" s="100">
        <f t="shared" si="79"/>
        <v>445.77777777777789</v>
      </c>
      <c r="E641">
        <f t="shared" si="75"/>
        <v>0</v>
      </c>
      <c r="G641">
        <v>591</v>
      </c>
      <c r="H641" s="15">
        <f t="shared" si="80"/>
        <v>3.3332641781285588E-2</v>
      </c>
      <c r="I641">
        <f t="shared" si="81"/>
        <v>124.20575556569032</v>
      </c>
      <c r="J641">
        <f t="shared" si="76"/>
        <v>472.88749293341027</v>
      </c>
      <c r="K641" s="30">
        <f t="shared" si="77"/>
        <v>7454.4452972768549</v>
      </c>
    </row>
    <row r="642" spans="1:11" x14ac:dyDescent="0.25">
      <c r="A642" s="29">
        <v>592</v>
      </c>
      <c r="B642" s="99">
        <f t="shared" si="78"/>
        <v>0</v>
      </c>
      <c r="C642" s="75">
        <f t="shared" si="74"/>
        <v>104.50616427295054</v>
      </c>
      <c r="D642" s="100">
        <f t="shared" si="79"/>
        <v>445.77777777777789</v>
      </c>
      <c r="E642">
        <f t="shared" si="75"/>
        <v>0</v>
      </c>
      <c r="G642">
        <v>592</v>
      </c>
      <c r="H642" s="15">
        <f t="shared" si="80"/>
        <v>3.3332641781285588E-2</v>
      </c>
      <c r="I642">
        <f t="shared" si="81"/>
        <v>124.23908820747161</v>
      </c>
      <c r="J642">
        <f t="shared" si="76"/>
        <v>472.92009542524977</v>
      </c>
      <c r="K642" s="30">
        <f t="shared" si="77"/>
        <v>7455.4726898865365</v>
      </c>
    </row>
    <row r="643" spans="1:11" x14ac:dyDescent="0.25">
      <c r="A643" s="29">
        <v>593</v>
      </c>
      <c r="B643" s="99">
        <f t="shared" si="78"/>
        <v>0</v>
      </c>
      <c r="C643" s="75">
        <f t="shared" si="74"/>
        <v>104.50616427295054</v>
      </c>
      <c r="D643" s="100">
        <f t="shared" si="79"/>
        <v>445.77777777777789</v>
      </c>
      <c r="E643">
        <f t="shared" si="75"/>
        <v>0</v>
      </c>
      <c r="G643">
        <v>593</v>
      </c>
      <c r="H643" s="15">
        <f t="shared" si="80"/>
        <v>3.3332641781285588E-2</v>
      </c>
      <c r="I643">
        <f t="shared" si="81"/>
        <v>124.2724208492529</v>
      </c>
      <c r="J643">
        <f t="shared" si="76"/>
        <v>472.95266761874507</v>
      </c>
      <c r="K643" s="30">
        <f t="shared" si="77"/>
        <v>7456.4991986153764</v>
      </c>
    </row>
    <row r="644" spans="1:11" x14ac:dyDescent="0.25">
      <c r="A644" s="29">
        <v>594</v>
      </c>
      <c r="B644" s="99">
        <f t="shared" si="78"/>
        <v>0</v>
      </c>
      <c r="C644" s="75">
        <f t="shared" si="74"/>
        <v>104.50616427295054</v>
      </c>
      <c r="D644" s="100">
        <f t="shared" si="79"/>
        <v>445.77777777777789</v>
      </c>
      <c r="E644">
        <f t="shared" si="75"/>
        <v>0</v>
      </c>
      <c r="G644">
        <v>594</v>
      </c>
      <c r="H644" s="15">
        <f t="shared" si="80"/>
        <v>3.3332641781285588E-2</v>
      </c>
      <c r="I644">
        <f t="shared" si="81"/>
        <v>124.30575349103418</v>
      </c>
      <c r="J644">
        <f t="shared" si="76"/>
        <v>472.98520955513936</v>
      </c>
      <c r="K644" s="30">
        <f t="shared" si="77"/>
        <v>7457.5248245649555</v>
      </c>
    </row>
    <row r="645" spans="1:11" x14ac:dyDescent="0.25">
      <c r="A645" s="29">
        <v>595</v>
      </c>
      <c r="B645" s="99">
        <f t="shared" si="78"/>
        <v>0</v>
      </c>
      <c r="C645" s="75">
        <f t="shared" si="74"/>
        <v>104.50616427295054</v>
      </c>
      <c r="D645" s="100">
        <f t="shared" si="79"/>
        <v>445.77777777777789</v>
      </c>
      <c r="E645">
        <f t="shared" si="75"/>
        <v>0</v>
      </c>
      <c r="G645">
        <v>595</v>
      </c>
      <c r="H645" s="15">
        <f t="shared" si="80"/>
        <v>3.3332641781285588E-2</v>
      </c>
      <c r="I645">
        <f t="shared" si="81"/>
        <v>124.33908613281547</v>
      </c>
      <c r="J645">
        <f t="shared" si="76"/>
        <v>473.01772127556274</v>
      </c>
      <c r="K645" s="30">
        <f t="shared" si="77"/>
        <v>7458.5495688338415</v>
      </c>
    </row>
    <row r="646" spans="1:11" x14ac:dyDescent="0.25">
      <c r="A646" s="29">
        <v>596</v>
      </c>
      <c r="B646" s="99">
        <f t="shared" si="78"/>
        <v>0</v>
      </c>
      <c r="C646" s="75">
        <f t="shared" si="74"/>
        <v>104.50616427295054</v>
      </c>
      <c r="D646" s="100">
        <f t="shared" si="79"/>
        <v>445.77777777777789</v>
      </c>
      <c r="E646">
        <f t="shared" si="75"/>
        <v>0</v>
      </c>
      <c r="G646">
        <v>596</v>
      </c>
      <c r="H646" s="15">
        <f t="shared" si="80"/>
        <v>3.3332641781285588E-2</v>
      </c>
      <c r="I646">
        <f t="shared" si="81"/>
        <v>124.37241877459675</v>
      </c>
      <c r="J646">
        <f t="shared" si="76"/>
        <v>473.05020282103271</v>
      </c>
      <c r="K646" s="30">
        <f t="shared" si="77"/>
        <v>7459.5734325175954</v>
      </c>
    </row>
    <row r="647" spans="1:11" x14ac:dyDescent="0.25">
      <c r="A647" s="29">
        <v>597</v>
      </c>
      <c r="B647" s="99">
        <f t="shared" si="78"/>
        <v>0</v>
      </c>
      <c r="C647" s="75">
        <f t="shared" si="74"/>
        <v>104.50616427295054</v>
      </c>
      <c r="D647" s="100">
        <f t="shared" si="79"/>
        <v>445.77777777777789</v>
      </c>
      <c r="E647">
        <f t="shared" si="75"/>
        <v>0</v>
      </c>
      <c r="G647">
        <v>597</v>
      </c>
      <c r="H647" s="15">
        <f t="shared" si="80"/>
        <v>3.3332641781285588E-2</v>
      </c>
      <c r="I647">
        <f t="shared" si="81"/>
        <v>124.40575141637804</v>
      </c>
      <c r="J647">
        <f t="shared" si="76"/>
        <v>473.08265423245479</v>
      </c>
      <c r="K647" s="30">
        <f t="shared" si="77"/>
        <v>7460.5964167087805</v>
      </c>
    </row>
    <row r="648" spans="1:11" x14ac:dyDescent="0.25">
      <c r="A648" s="29">
        <v>598</v>
      </c>
      <c r="B648" s="99">
        <f t="shared" si="78"/>
        <v>0</v>
      </c>
      <c r="C648" s="75">
        <f t="shared" si="74"/>
        <v>104.50616427295054</v>
      </c>
      <c r="D648" s="100">
        <f t="shared" si="79"/>
        <v>445.77777777777789</v>
      </c>
      <c r="E648">
        <f t="shared" si="75"/>
        <v>0</v>
      </c>
      <c r="G648">
        <v>598</v>
      </c>
      <c r="H648" s="15">
        <f t="shared" si="80"/>
        <v>3.3332641781285588E-2</v>
      </c>
      <c r="I648">
        <f t="shared" si="81"/>
        <v>124.43908405815932</v>
      </c>
      <c r="J648">
        <f t="shared" si="76"/>
        <v>473.11507555062252</v>
      </c>
      <c r="K648" s="30">
        <f t="shared" si="77"/>
        <v>7461.6185224969786</v>
      </c>
    </row>
    <row r="649" spans="1:11" x14ac:dyDescent="0.25">
      <c r="A649" s="29">
        <v>599</v>
      </c>
      <c r="B649" s="99">
        <f t="shared" si="78"/>
        <v>0</v>
      </c>
      <c r="C649" s="75">
        <f t="shared" si="74"/>
        <v>104.50616427295054</v>
      </c>
      <c r="D649" s="100">
        <f t="shared" si="79"/>
        <v>445.77777777777789</v>
      </c>
      <c r="E649">
        <f t="shared" si="75"/>
        <v>0</v>
      </c>
      <c r="G649">
        <v>599</v>
      </c>
      <c r="H649" s="15">
        <f t="shared" si="80"/>
        <v>3.3332641781285588E-2</v>
      </c>
      <c r="I649">
        <f t="shared" si="81"/>
        <v>124.47241669994061</v>
      </c>
      <c r="J649">
        <f t="shared" si="76"/>
        <v>473.14746681621818</v>
      </c>
      <c r="K649" s="30">
        <f t="shared" si="77"/>
        <v>7462.639750968804</v>
      </c>
    </row>
    <row r="650" spans="1:11" x14ac:dyDescent="0.25">
      <c r="A650" s="29">
        <v>600</v>
      </c>
      <c r="B650" s="99">
        <f t="shared" si="78"/>
        <v>0</v>
      </c>
      <c r="C650" s="75">
        <f t="shared" si="74"/>
        <v>104.50616427295054</v>
      </c>
      <c r="D650" s="100">
        <f t="shared" si="79"/>
        <v>445.77777777777789</v>
      </c>
      <c r="E650">
        <f t="shared" si="75"/>
        <v>0</v>
      </c>
      <c r="G650">
        <v>600</v>
      </c>
      <c r="H650" s="15">
        <f t="shared" si="80"/>
        <v>3.3332641781285588E-2</v>
      </c>
      <c r="I650">
        <f t="shared" si="81"/>
        <v>124.5057493417219</v>
      </c>
      <c r="J650">
        <f t="shared" si="76"/>
        <v>473.17982806981331</v>
      </c>
      <c r="K650" s="30">
        <f t="shared" si="77"/>
        <v>7463.6601032079043</v>
      </c>
    </row>
    <row r="651" spans="1:11" x14ac:dyDescent="0.25">
      <c r="A651" s="29">
        <v>601</v>
      </c>
      <c r="B651" s="99">
        <f t="shared" si="78"/>
        <v>0</v>
      </c>
      <c r="C651" s="75">
        <f t="shared" si="74"/>
        <v>104.50616427295054</v>
      </c>
      <c r="D651" s="100">
        <f t="shared" si="79"/>
        <v>445.77777777777789</v>
      </c>
      <c r="E651">
        <f t="shared" si="75"/>
        <v>0</v>
      </c>
      <c r="G651">
        <v>601</v>
      </c>
      <c r="H651" s="15">
        <f t="shared" si="80"/>
        <v>3.3332641781285588E-2</v>
      </c>
      <c r="I651">
        <f t="shared" si="81"/>
        <v>124.53908198350318</v>
      </c>
      <c r="J651">
        <f t="shared" si="76"/>
        <v>473.21215935186865</v>
      </c>
      <c r="K651" s="30">
        <f t="shared" si="77"/>
        <v>7464.6795802949782</v>
      </c>
    </row>
    <row r="652" spans="1:11" x14ac:dyDescent="0.25">
      <c r="A652" s="29">
        <v>602</v>
      </c>
      <c r="B652" s="99">
        <f t="shared" si="78"/>
        <v>0</v>
      </c>
      <c r="C652" s="75">
        <f t="shared" si="74"/>
        <v>104.50616427295054</v>
      </c>
      <c r="D652" s="100">
        <f t="shared" si="79"/>
        <v>445.77777777777789</v>
      </c>
      <c r="E652">
        <f t="shared" si="75"/>
        <v>0</v>
      </c>
      <c r="G652">
        <v>602</v>
      </c>
      <c r="H652" s="15">
        <f t="shared" si="80"/>
        <v>3.3332641781285588E-2</v>
      </c>
      <c r="I652">
        <f t="shared" si="81"/>
        <v>124.57241462528447</v>
      </c>
      <c r="J652">
        <f t="shared" si="76"/>
        <v>473.24446070273518</v>
      </c>
      <c r="K652" s="30">
        <f t="shared" si="77"/>
        <v>7465.6981833077889</v>
      </c>
    </row>
    <row r="653" spans="1:11" x14ac:dyDescent="0.25">
      <c r="A653" s="29">
        <v>603</v>
      </c>
      <c r="B653" s="99">
        <f t="shared" si="78"/>
        <v>0</v>
      </c>
      <c r="C653" s="75">
        <f t="shared" si="74"/>
        <v>104.50616427295054</v>
      </c>
      <c r="D653" s="100">
        <f t="shared" si="79"/>
        <v>445.77777777777789</v>
      </c>
      <c r="E653">
        <f t="shared" si="75"/>
        <v>0</v>
      </c>
      <c r="G653">
        <v>603</v>
      </c>
      <c r="H653" s="15">
        <f t="shared" si="80"/>
        <v>3.3332641781285588E-2</v>
      </c>
      <c r="I653">
        <f t="shared" si="81"/>
        <v>124.60574726706575</v>
      </c>
      <c r="J653">
        <f t="shared" si="76"/>
        <v>473.27673216265407</v>
      </c>
      <c r="K653" s="30">
        <f t="shared" si="77"/>
        <v>7466.7159133211726</v>
      </c>
    </row>
    <row r="654" spans="1:11" x14ac:dyDescent="0.25">
      <c r="A654" s="29">
        <v>604</v>
      </c>
      <c r="B654" s="99">
        <f t="shared" si="78"/>
        <v>0</v>
      </c>
      <c r="C654" s="75">
        <f t="shared" si="74"/>
        <v>104.50616427295054</v>
      </c>
      <c r="D654" s="100">
        <f t="shared" si="79"/>
        <v>445.77777777777789</v>
      </c>
      <c r="E654">
        <f t="shared" si="75"/>
        <v>0</v>
      </c>
      <c r="G654">
        <v>604</v>
      </c>
      <c r="H654" s="15">
        <f t="shared" si="80"/>
        <v>3.3332641781285588E-2</v>
      </c>
      <c r="I654">
        <f t="shared" si="81"/>
        <v>124.63907990884704</v>
      </c>
      <c r="J654">
        <f t="shared" si="76"/>
        <v>473.30897377175717</v>
      </c>
      <c r="K654" s="30">
        <f t="shared" si="77"/>
        <v>7467.7327714070461</v>
      </c>
    </row>
    <row r="655" spans="1:11" x14ac:dyDescent="0.25">
      <c r="A655" s="29">
        <v>605</v>
      </c>
      <c r="B655" s="99">
        <f t="shared" si="78"/>
        <v>0</v>
      </c>
      <c r="C655" s="75">
        <f t="shared" si="74"/>
        <v>104.50616427295054</v>
      </c>
      <c r="D655" s="100">
        <f t="shared" si="79"/>
        <v>445.77777777777789</v>
      </c>
      <c r="E655">
        <f t="shared" si="75"/>
        <v>0</v>
      </c>
      <c r="G655">
        <v>605</v>
      </c>
      <c r="H655" s="15">
        <f t="shared" si="80"/>
        <v>3.3332641781285588E-2</v>
      </c>
      <c r="I655">
        <f t="shared" si="81"/>
        <v>124.67241255062832</v>
      </c>
      <c r="J655">
        <f t="shared" si="76"/>
        <v>473.34118557006769</v>
      </c>
      <c r="K655" s="30">
        <f t="shared" si="77"/>
        <v>7468.7487586344214</v>
      </c>
    </row>
    <row r="656" spans="1:11" x14ac:dyDescent="0.25">
      <c r="A656" s="29">
        <v>606</v>
      </c>
      <c r="B656" s="99">
        <f t="shared" si="78"/>
        <v>0</v>
      </c>
      <c r="C656" s="75">
        <f t="shared" ref="C656:C719" si="82">($C$37-$C$36)/2000+C655</f>
        <v>104.50616427295054</v>
      </c>
      <c r="D656" s="100">
        <f t="shared" si="79"/>
        <v>445.77777777777789</v>
      </c>
      <c r="E656">
        <f t="shared" si="75"/>
        <v>0</v>
      </c>
      <c r="G656">
        <v>606</v>
      </c>
      <c r="H656" s="15">
        <f t="shared" si="80"/>
        <v>3.3332641781285588E-2</v>
      </c>
      <c r="I656">
        <f t="shared" si="81"/>
        <v>124.70574519240961</v>
      </c>
      <c r="J656">
        <f t="shared" si="76"/>
        <v>473.37336759750031</v>
      </c>
      <c r="K656" s="30">
        <f t="shared" si="77"/>
        <v>7469.7638760694181</v>
      </c>
    </row>
    <row r="657" spans="1:11" x14ac:dyDescent="0.25">
      <c r="A657" s="29">
        <v>607</v>
      </c>
      <c r="B657" s="99">
        <f t="shared" si="78"/>
        <v>0</v>
      </c>
      <c r="C657" s="75">
        <f t="shared" si="82"/>
        <v>104.50616427295054</v>
      </c>
      <c r="D657" s="100">
        <f t="shared" si="79"/>
        <v>445.77777777777789</v>
      </c>
      <c r="E657">
        <f t="shared" si="75"/>
        <v>0</v>
      </c>
      <c r="G657">
        <v>607</v>
      </c>
      <c r="H657" s="15">
        <f t="shared" si="80"/>
        <v>3.3332641781285588E-2</v>
      </c>
      <c r="I657">
        <f t="shared" si="81"/>
        <v>124.73907783419089</v>
      </c>
      <c r="J657">
        <f t="shared" si="76"/>
        <v>473.40551989386171</v>
      </c>
      <c r="K657" s="30">
        <f t="shared" si="77"/>
        <v>7470.7781247752719</v>
      </c>
    </row>
    <row r="658" spans="1:11" x14ac:dyDescent="0.25">
      <c r="A658" s="29">
        <v>608</v>
      </c>
      <c r="B658" s="99">
        <f t="shared" si="78"/>
        <v>0</v>
      </c>
      <c r="C658" s="75">
        <f t="shared" si="82"/>
        <v>104.50616427295054</v>
      </c>
      <c r="D658" s="100">
        <f t="shared" si="79"/>
        <v>445.77777777777789</v>
      </c>
      <c r="E658">
        <f t="shared" si="75"/>
        <v>0</v>
      </c>
      <c r="G658">
        <v>608</v>
      </c>
      <c r="H658" s="15">
        <f t="shared" si="80"/>
        <v>3.3332641781285588E-2</v>
      </c>
      <c r="I658">
        <f t="shared" si="81"/>
        <v>124.77241047597218</v>
      </c>
      <c r="J658">
        <f t="shared" si="76"/>
        <v>473.43764249885089</v>
      </c>
      <c r="K658" s="30">
        <f t="shared" si="77"/>
        <v>7471.7915058123408</v>
      </c>
    </row>
    <row r="659" spans="1:11" x14ac:dyDescent="0.25">
      <c r="A659" s="29">
        <v>609</v>
      </c>
      <c r="B659" s="99">
        <f t="shared" si="78"/>
        <v>0</v>
      </c>
      <c r="C659" s="75">
        <f t="shared" si="82"/>
        <v>104.50616427295054</v>
      </c>
      <c r="D659" s="100">
        <f t="shared" si="79"/>
        <v>445.77777777777789</v>
      </c>
      <c r="E659">
        <f t="shared" si="75"/>
        <v>0</v>
      </c>
      <c r="G659">
        <v>609</v>
      </c>
      <c r="H659" s="15">
        <f t="shared" si="80"/>
        <v>3.3332641781285588E-2</v>
      </c>
      <c r="I659">
        <f t="shared" si="81"/>
        <v>124.80574311775347</v>
      </c>
      <c r="J659">
        <f t="shared" si="76"/>
        <v>473.46973545205975</v>
      </c>
      <c r="K659" s="30">
        <f t="shared" si="77"/>
        <v>7472.8040202381271</v>
      </c>
    </row>
    <row r="660" spans="1:11" x14ac:dyDescent="0.25">
      <c r="A660" s="29">
        <v>610</v>
      </c>
      <c r="B660" s="99">
        <f t="shared" si="78"/>
        <v>0</v>
      </c>
      <c r="C660" s="75">
        <f t="shared" si="82"/>
        <v>104.50616427295054</v>
      </c>
      <c r="D660" s="100">
        <f t="shared" si="79"/>
        <v>445.77777777777789</v>
      </c>
      <c r="E660">
        <f t="shared" si="75"/>
        <v>0</v>
      </c>
      <c r="G660">
        <v>610</v>
      </c>
      <c r="H660" s="15">
        <f t="shared" si="80"/>
        <v>3.3332641781285588E-2</v>
      </c>
      <c r="I660">
        <f t="shared" si="81"/>
        <v>124.83907575953475</v>
      </c>
      <c r="J660">
        <f t="shared" si="76"/>
        <v>473.50179879297332</v>
      </c>
      <c r="K660" s="30">
        <f t="shared" si="77"/>
        <v>7473.8156691072809</v>
      </c>
    </row>
    <row r="661" spans="1:11" x14ac:dyDescent="0.25">
      <c r="A661" s="29">
        <v>611</v>
      </c>
      <c r="B661" s="99">
        <f t="shared" si="78"/>
        <v>0</v>
      </c>
      <c r="C661" s="75">
        <f t="shared" si="82"/>
        <v>104.50616427295054</v>
      </c>
      <c r="D661" s="100">
        <f t="shared" si="79"/>
        <v>445.77777777777789</v>
      </c>
      <c r="E661">
        <f t="shared" si="75"/>
        <v>0</v>
      </c>
      <c r="G661">
        <v>611</v>
      </c>
      <c r="H661" s="15">
        <f t="shared" si="80"/>
        <v>3.3332641781285588E-2</v>
      </c>
      <c r="I661">
        <f t="shared" si="81"/>
        <v>124.87240840131604</v>
      </c>
      <c r="J661">
        <f t="shared" si="76"/>
        <v>473.53383256097027</v>
      </c>
      <c r="K661" s="30">
        <f t="shared" si="77"/>
        <v>7474.8264534716072</v>
      </c>
    </row>
    <row r="662" spans="1:11" x14ac:dyDescent="0.25">
      <c r="A662" s="29">
        <v>612</v>
      </c>
      <c r="B662" s="99">
        <f t="shared" si="78"/>
        <v>0</v>
      </c>
      <c r="C662" s="75">
        <f t="shared" si="82"/>
        <v>104.50616427295054</v>
      </c>
      <c r="D662" s="100">
        <f t="shared" si="79"/>
        <v>445.77777777777789</v>
      </c>
      <c r="E662">
        <f t="shared" si="75"/>
        <v>0</v>
      </c>
      <c r="G662">
        <v>612</v>
      </c>
      <c r="H662" s="15">
        <f t="shared" si="80"/>
        <v>3.3332641781285588E-2</v>
      </c>
      <c r="I662">
        <f t="shared" si="81"/>
        <v>124.90574104309732</v>
      </c>
      <c r="J662">
        <f t="shared" si="76"/>
        <v>473.56583679532321</v>
      </c>
      <c r="K662" s="30">
        <f t="shared" si="77"/>
        <v>7475.8363743800846</v>
      </c>
    </row>
    <row r="663" spans="1:11" x14ac:dyDescent="0.25">
      <c r="A663" s="29">
        <v>613</v>
      </c>
      <c r="B663" s="99">
        <f t="shared" si="78"/>
        <v>0</v>
      </c>
      <c r="C663" s="75">
        <f t="shared" si="82"/>
        <v>104.50616427295054</v>
      </c>
      <c r="D663" s="100">
        <f t="shared" si="79"/>
        <v>445.77777777777789</v>
      </c>
      <c r="E663">
        <f t="shared" si="75"/>
        <v>0</v>
      </c>
      <c r="G663">
        <v>613</v>
      </c>
      <c r="H663" s="15">
        <f t="shared" si="80"/>
        <v>3.3332641781285588E-2</v>
      </c>
      <c r="I663">
        <f t="shared" si="81"/>
        <v>124.93907368487861</v>
      </c>
      <c r="J663">
        <f t="shared" si="76"/>
        <v>473.59781153519907</v>
      </c>
      <c r="K663" s="30">
        <f t="shared" si="77"/>
        <v>7476.8454328788712</v>
      </c>
    </row>
    <row r="664" spans="1:11" x14ac:dyDescent="0.25">
      <c r="A664" s="29">
        <v>614</v>
      </c>
      <c r="B664" s="99">
        <f t="shared" si="78"/>
        <v>0</v>
      </c>
      <c r="C664" s="75">
        <f t="shared" si="82"/>
        <v>104.50616427295054</v>
      </c>
      <c r="D664" s="100">
        <f t="shared" si="79"/>
        <v>445.77777777777789</v>
      </c>
      <c r="E664">
        <f t="shared" si="75"/>
        <v>0</v>
      </c>
      <c r="G664">
        <v>614</v>
      </c>
      <c r="H664" s="15">
        <f t="shared" si="80"/>
        <v>3.3332641781285588E-2</v>
      </c>
      <c r="I664">
        <f t="shared" si="81"/>
        <v>124.97240632665989</v>
      </c>
      <c r="J664">
        <f t="shared" si="76"/>
        <v>473.62975681965963</v>
      </c>
      <c r="K664" s="30">
        <f t="shared" si="77"/>
        <v>7477.8536300113146</v>
      </c>
    </row>
    <row r="665" spans="1:11" x14ac:dyDescent="0.25">
      <c r="A665" s="29">
        <v>615</v>
      </c>
      <c r="B665" s="99">
        <f t="shared" si="78"/>
        <v>0</v>
      </c>
      <c r="C665" s="75">
        <f t="shared" si="82"/>
        <v>104.50616427295054</v>
      </c>
      <c r="D665" s="100">
        <f t="shared" si="79"/>
        <v>445.77777777777789</v>
      </c>
      <c r="E665">
        <f t="shared" si="75"/>
        <v>0</v>
      </c>
      <c r="G665">
        <v>615</v>
      </c>
      <c r="H665" s="15">
        <f t="shared" si="80"/>
        <v>3.3332641781285588E-2</v>
      </c>
      <c r="I665">
        <f t="shared" si="81"/>
        <v>125.00573896844118</v>
      </c>
      <c r="J665">
        <f t="shared" si="76"/>
        <v>473.66167268766196</v>
      </c>
      <c r="K665" s="30">
        <f t="shared" si="77"/>
        <v>7478.8609668179661</v>
      </c>
    </row>
    <row r="666" spans="1:11" x14ac:dyDescent="0.25">
      <c r="A666" s="29">
        <v>616</v>
      </c>
      <c r="B666" s="99">
        <f t="shared" si="78"/>
        <v>0</v>
      </c>
      <c r="C666" s="75">
        <f t="shared" si="82"/>
        <v>104.50616427295054</v>
      </c>
      <c r="D666" s="100">
        <f t="shared" si="79"/>
        <v>445.77777777777789</v>
      </c>
      <c r="E666">
        <f t="shared" si="75"/>
        <v>0</v>
      </c>
      <c r="G666">
        <v>616</v>
      </c>
      <c r="H666" s="15">
        <f t="shared" si="80"/>
        <v>3.3332641781285588E-2</v>
      </c>
      <c r="I666">
        <f t="shared" si="81"/>
        <v>125.03907161022246</v>
      </c>
      <c r="J666">
        <f t="shared" si="76"/>
        <v>473.69355917805842</v>
      </c>
      <c r="K666" s="30">
        <f t="shared" si="77"/>
        <v>7479.8674443365853</v>
      </c>
    </row>
    <row r="667" spans="1:11" x14ac:dyDescent="0.25">
      <c r="A667" s="29">
        <v>617</v>
      </c>
      <c r="B667" s="99">
        <f t="shared" si="78"/>
        <v>0</v>
      </c>
      <c r="C667" s="75">
        <f t="shared" si="82"/>
        <v>104.50616427295054</v>
      </c>
      <c r="D667" s="100">
        <f t="shared" si="79"/>
        <v>445.77777777777789</v>
      </c>
      <c r="E667">
        <f t="shared" si="75"/>
        <v>0</v>
      </c>
      <c r="G667">
        <v>617</v>
      </c>
      <c r="H667" s="15">
        <f t="shared" si="80"/>
        <v>3.3332641781285588E-2</v>
      </c>
      <c r="I667">
        <f t="shared" si="81"/>
        <v>125.07240425200375</v>
      </c>
      <c r="J667">
        <f t="shared" si="76"/>
        <v>473.72541632959746</v>
      </c>
      <c r="K667" s="30">
        <f t="shared" si="77"/>
        <v>7480.8730636021564</v>
      </c>
    </row>
    <row r="668" spans="1:11" x14ac:dyDescent="0.25">
      <c r="A668" s="29">
        <v>618</v>
      </c>
      <c r="B668" s="99">
        <f t="shared" si="78"/>
        <v>0</v>
      </c>
      <c r="C668" s="75">
        <f t="shared" si="82"/>
        <v>104.50616427295054</v>
      </c>
      <c r="D668" s="100">
        <f t="shared" si="79"/>
        <v>445.77777777777789</v>
      </c>
      <c r="E668">
        <f t="shared" si="75"/>
        <v>0</v>
      </c>
      <c r="G668">
        <v>618</v>
      </c>
      <c r="H668" s="15">
        <f t="shared" si="80"/>
        <v>3.3332641781285588E-2</v>
      </c>
      <c r="I668">
        <f t="shared" si="81"/>
        <v>125.10573689378504</v>
      </c>
      <c r="J668">
        <f t="shared" si="76"/>
        <v>473.75724418092386</v>
      </c>
      <c r="K668" s="30">
        <f t="shared" si="77"/>
        <v>7481.8778256468968</v>
      </c>
    </row>
    <row r="669" spans="1:11" x14ac:dyDescent="0.25">
      <c r="A669" s="29">
        <v>619</v>
      </c>
      <c r="B669" s="99">
        <f t="shared" si="78"/>
        <v>0</v>
      </c>
      <c r="C669" s="75">
        <f t="shared" si="82"/>
        <v>104.50616427295054</v>
      </c>
      <c r="D669" s="100">
        <f t="shared" si="79"/>
        <v>445.77777777777789</v>
      </c>
      <c r="E669">
        <f t="shared" si="75"/>
        <v>0</v>
      </c>
      <c r="G669">
        <v>619</v>
      </c>
      <c r="H669" s="15">
        <f t="shared" si="80"/>
        <v>3.3332641781285588E-2</v>
      </c>
      <c r="I669">
        <f t="shared" si="81"/>
        <v>125.13906953556632</v>
      </c>
      <c r="J669">
        <f t="shared" si="76"/>
        <v>473.7890427705791</v>
      </c>
      <c r="K669" s="30">
        <f t="shared" si="77"/>
        <v>7482.8817315002625</v>
      </c>
    </row>
    <row r="670" spans="1:11" x14ac:dyDescent="0.25">
      <c r="A670" s="29">
        <v>620</v>
      </c>
      <c r="B670" s="99">
        <f t="shared" si="78"/>
        <v>0</v>
      </c>
      <c r="C670" s="75">
        <f t="shared" si="82"/>
        <v>104.50616427295054</v>
      </c>
      <c r="D670" s="100">
        <f t="shared" si="79"/>
        <v>445.77777777777789</v>
      </c>
      <c r="E670">
        <f t="shared" si="75"/>
        <v>0</v>
      </c>
      <c r="G670">
        <v>620</v>
      </c>
      <c r="H670" s="15">
        <f t="shared" si="80"/>
        <v>3.3332641781285588E-2</v>
      </c>
      <c r="I670">
        <f t="shared" si="81"/>
        <v>125.17240217734761</v>
      </c>
      <c r="J670">
        <f t="shared" si="76"/>
        <v>473.82081213700172</v>
      </c>
      <c r="K670" s="30">
        <f t="shared" si="77"/>
        <v>7483.8847821889676</v>
      </c>
    </row>
    <row r="671" spans="1:11" x14ac:dyDescent="0.25">
      <c r="A671" s="29">
        <v>621</v>
      </c>
      <c r="B671" s="99">
        <f t="shared" si="78"/>
        <v>0</v>
      </c>
      <c r="C671" s="75">
        <f t="shared" si="82"/>
        <v>104.50616427295054</v>
      </c>
      <c r="D671" s="100">
        <f t="shared" si="79"/>
        <v>445.77777777777789</v>
      </c>
      <c r="E671">
        <f t="shared" si="75"/>
        <v>0</v>
      </c>
      <c r="G671">
        <v>621</v>
      </c>
      <c r="H671" s="15">
        <f t="shared" si="80"/>
        <v>3.3332641781285588E-2</v>
      </c>
      <c r="I671">
        <f t="shared" si="81"/>
        <v>125.20573481912889</v>
      </c>
      <c r="J671">
        <f t="shared" si="76"/>
        <v>473.85255231852778</v>
      </c>
      <c r="K671" s="30">
        <f t="shared" si="77"/>
        <v>7484.8869787369813</v>
      </c>
    </row>
    <row r="672" spans="1:11" x14ac:dyDescent="0.25">
      <c r="A672" s="29">
        <v>622</v>
      </c>
      <c r="B672" s="99">
        <f t="shared" si="78"/>
        <v>0</v>
      </c>
      <c r="C672" s="75">
        <f t="shared" si="82"/>
        <v>104.50616427295054</v>
      </c>
      <c r="D672" s="100">
        <f t="shared" si="79"/>
        <v>445.77777777777789</v>
      </c>
      <c r="E672">
        <f t="shared" si="75"/>
        <v>0</v>
      </c>
      <c r="G672">
        <v>622</v>
      </c>
      <c r="H672" s="15">
        <f t="shared" si="80"/>
        <v>3.3332641781285588E-2</v>
      </c>
      <c r="I672">
        <f t="shared" si="81"/>
        <v>125.23906746091018</v>
      </c>
      <c r="J672">
        <f t="shared" si="76"/>
        <v>473.88426335339113</v>
      </c>
      <c r="K672" s="30">
        <f t="shared" si="77"/>
        <v>7485.8883221655569</v>
      </c>
    </row>
    <row r="673" spans="1:11" x14ac:dyDescent="0.25">
      <c r="A673" s="29">
        <v>623</v>
      </c>
      <c r="B673" s="99">
        <f t="shared" si="78"/>
        <v>0</v>
      </c>
      <c r="C673" s="75">
        <f t="shared" si="82"/>
        <v>104.50616427295054</v>
      </c>
      <c r="D673" s="100">
        <f t="shared" si="79"/>
        <v>445.77777777777789</v>
      </c>
      <c r="E673">
        <f t="shared" si="75"/>
        <v>0</v>
      </c>
      <c r="G673">
        <v>623</v>
      </c>
      <c r="H673" s="15">
        <f t="shared" si="80"/>
        <v>3.3332641781285588E-2</v>
      </c>
      <c r="I673">
        <f t="shared" si="81"/>
        <v>125.27240010269146</v>
      </c>
      <c r="J673">
        <f t="shared" si="76"/>
        <v>473.91594527972399</v>
      </c>
      <c r="K673" s="30">
        <f t="shared" si="77"/>
        <v>7486.8888134932204</v>
      </c>
    </row>
    <row r="674" spans="1:11" x14ac:dyDescent="0.25">
      <c r="A674" s="29">
        <v>624</v>
      </c>
      <c r="B674" s="99">
        <f t="shared" si="78"/>
        <v>0</v>
      </c>
      <c r="C674" s="75">
        <f t="shared" si="82"/>
        <v>104.50616427295054</v>
      </c>
      <c r="D674" s="100">
        <f t="shared" si="79"/>
        <v>445.77777777777789</v>
      </c>
      <c r="E674">
        <f t="shared" si="75"/>
        <v>0</v>
      </c>
      <c r="G674">
        <v>624</v>
      </c>
      <c r="H674" s="15">
        <f t="shared" si="80"/>
        <v>3.3332641781285588E-2</v>
      </c>
      <c r="I674">
        <f t="shared" si="81"/>
        <v>125.30573274447275</v>
      </c>
      <c r="J674">
        <f t="shared" si="76"/>
        <v>473.94759813555692</v>
      </c>
      <c r="K674" s="30">
        <f t="shared" si="77"/>
        <v>7487.8884537357926</v>
      </c>
    </row>
    <row r="675" spans="1:11" x14ac:dyDescent="0.25">
      <c r="A675" s="29">
        <v>625</v>
      </c>
      <c r="B675" s="99">
        <f t="shared" si="78"/>
        <v>0</v>
      </c>
      <c r="C675" s="75">
        <f t="shared" si="82"/>
        <v>104.50616427295054</v>
      </c>
      <c r="D675" s="100">
        <f t="shared" si="79"/>
        <v>445.77777777777789</v>
      </c>
      <c r="E675">
        <f t="shared" si="75"/>
        <v>0</v>
      </c>
      <c r="G675">
        <v>625</v>
      </c>
      <c r="H675" s="15">
        <f t="shared" si="80"/>
        <v>3.3332641781285588E-2</v>
      </c>
      <c r="I675">
        <f t="shared" si="81"/>
        <v>125.33906538625403</v>
      </c>
      <c r="J675">
        <f t="shared" si="76"/>
        <v>473.97922195881966</v>
      </c>
      <c r="K675" s="30">
        <f t="shared" si="77"/>
        <v>7488.8872439064035</v>
      </c>
    </row>
    <row r="676" spans="1:11" x14ac:dyDescent="0.25">
      <c r="A676" s="29">
        <v>626</v>
      </c>
      <c r="B676" s="99">
        <f t="shared" si="78"/>
        <v>0</v>
      </c>
      <c r="C676" s="75">
        <f t="shared" si="82"/>
        <v>104.50616427295054</v>
      </c>
      <c r="D676" s="100">
        <f t="shared" si="79"/>
        <v>445.77777777777789</v>
      </c>
      <c r="E676">
        <f t="shared" si="75"/>
        <v>0</v>
      </c>
      <c r="G676">
        <v>626</v>
      </c>
      <c r="H676" s="15">
        <f t="shared" si="80"/>
        <v>3.3332641781285588E-2</v>
      </c>
      <c r="I676">
        <f t="shared" si="81"/>
        <v>125.37239802803532</v>
      </c>
      <c r="J676">
        <f t="shared" si="76"/>
        <v>474.01081678734124</v>
      </c>
      <c r="K676" s="30">
        <f t="shared" si="77"/>
        <v>7489.8851850154861</v>
      </c>
    </row>
    <row r="677" spans="1:11" x14ac:dyDescent="0.25">
      <c r="A677" s="29">
        <v>627</v>
      </c>
      <c r="B677" s="99">
        <f t="shared" si="78"/>
        <v>0</v>
      </c>
      <c r="C677" s="75">
        <f t="shared" si="82"/>
        <v>104.50616427295054</v>
      </c>
      <c r="D677" s="100">
        <f t="shared" si="79"/>
        <v>445.77777777777789</v>
      </c>
      <c r="E677">
        <f t="shared" si="75"/>
        <v>0</v>
      </c>
      <c r="G677">
        <v>627</v>
      </c>
      <c r="H677" s="15">
        <f t="shared" si="80"/>
        <v>3.3332641781285588E-2</v>
      </c>
      <c r="I677">
        <f t="shared" si="81"/>
        <v>125.40573066981661</v>
      </c>
      <c r="J677">
        <f t="shared" si="76"/>
        <v>474.04238265885044</v>
      </c>
      <c r="K677" s="30">
        <f t="shared" si="77"/>
        <v>7490.882278070806</v>
      </c>
    </row>
    <row r="678" spans="1:11" x14ac:dyDescent="0.25">
      <c r="A678" s="29">
        <v>628</v>
      </c>
      <c r="B678" s="99">
        <f t="shared" si="78"/>
        <v>0</v>
      </c>
      <c r="C678" s="75">
        <f t="shared" si="82"/>
        <v>104.50616427295054</v>
      </c>
      <c r="D678" s="100">
        <f t="shared" si="79"/>
        <v>445.77777777777789</v>
      </c>
      <c r="E678">
        <f t="shared" si="75"/>
        <v>0</v>
      </c>
      <c r="G678">
        <v>628</v>
      </c>
      <c r="H678" s="15">
        <f t="shared" si="80"/>
        <v>3.3332641781285588E-2</v>
      </c>
      <c r="I678">
        <f t="shared" si="81"/>
        <v>125.43906331159789</v>
      </c>
      <c r="J678">
        <f t="shared" si="76"/>
        <v>474.07391961097608</v>
      </c>
      <c r="K678" s="30">
        <f t="shared" si="77"/>
        <v>7491.8785240774569</v>
      </c>
    </row>
    <row r="679" spans="1:11" x14ac:dyDescent="0.25">
      <c r="A679" s="29">
        <v>629</v>
      </c>
      <c r="B679" s="99">
        <f t="shared" si="78"/>
        <v>0</v>
      </c>
      <c r="C679" s="75">
        <f t="shared" si="82"/>
        <v>104.50616427295054</v>
      </c>
      <c r="D679" s="100">
        <f t="shared" si="79"/>
        <v>445.77777777777789</v>
      </c>
      <c r="E679">
        <f t="shared" si="75"/>
        <v>0</v>
      </c>
      <c r="G679">
        <v>629</v>
      </c>
      <c r="H679" s="15">
        <f t="shared" si="80"/>
        <v>3.3332641781285588E-2</v>
      </c>
      <c r="I679">
        <f t="shared" si="81"/>
        <v>125.47239595337918</v>
      </c>
      <c r="J679">
        <f t="shared" si="76"/>
        <v>474.10542768124742</v>
      </c>
      <c r="K679" s="30">
        <f t="shared" si="77"/>
        <v>7492.8739240378718</v>
      </c>
    </row>
    <row r="680" spans="1:11" x14ac:dyDescent="0.25">
      <c r="A680" s="29">
        <v>630</v>
      </c>
      <c r="B680" s="99">
        <f t="shared" si="78"/>
        <v>0</v>
      </c>
      <c r="C680" s="75">
        <f t="shared" si="82"/>
        <v>104.50616427295054</v>
      </c>
      <c r="D680" s="100">
        <f t="shared" si="79"/>
        <v>445.77777777777789</v>
      </c>
      <c r="E680">
        <f t="shared" si="75"/>
        <v>0</v>
      </c>
      <c r="G680">
        <v>630</v>
      </c>
      <c r="H680" s="15">
        <f t="shared" si="80"/>
        <v>3.3332641781285588E-2</v>
      </c>
      <c r="I680">
        <f t="shared" si="81"/>
        <v>125.50572859516046</v>
      </c>
      <c r="J680">
        <f t="shared" si="76"/>
        <v>474.1369069070945</v>
      </c>
      <c r="K680" s="30">
        <f t="shared" si="77"/>
        <v>7493.8684789518402</v>
      </c>
    </row>
    <row r="681" spans="1:11" x14ac:dyDescent="0.25">
      <c r="A681" s="29">
        <v>631</v>
      </c>
      <c r="B681" s="99">
        <f t="shared" si="78"/>
        <v>0</v>
      </c>
      <c r="C681" s="75">
        <f t="shared" si="82"/>
        <v>104.50616427295054</v>
      </c>
      <c r="D681" s="100">
        <f t="shared" si="79"/>
        <v>445.77777777777789</v>
      </c>
      <c r="E681">
        <f t="shared" si="75"/>
        <v>0</v>
      </c>
      <c r="G681">
        <v>631</v>
      </c>
      <c r="H681" s="15">
        <f t="shared" si="80"/>
        <v>3.3332641781285588E-2</v>
      </c>
      <c r="I681">
        <f t="shared" si="81"/>
        <v>125.53906123694175</v>
      </c>
      <c r="J681">
        <f t="shared" si="76"/>
        <v>474.16835732584866</v>
      </c>
      <c r="K681" s="30">
        <f t="shared" si="77"/>
        <v>7494.8621898165084</v>
      </c>
    </row>
    <row r="682" spans="1:11" x14ac:dyDescent="0.25">
      <c r="A682" s="29">
        <v>632</v>
      </c>
      <c r="B682" s="99">
        <f t="shared" si="78"/>
        <v>0</v>
      </c>
      <c r="C682" s="75">
        <f t="shared" si="82"/>
        <v>104.50616427295054</v>
      </c>
      <c r="D682" s="100">
        <f t="shared" si="79"/>
        <v>445.77777777777789</v>
      </c>
      <c r="E682">
        <f t="shared" si="75"/>
        <v>0</v>
      </c>
      <c r="G682">
        <v>632</v>
      </c>
      <c r="H682" s="15">
        <f t="shared" si="80"/>
        <v>3.3332641781285588E-2</v>
      </c>
      <c r="I682">
        <f t="shared" si="81"/>
        <v>125.57239387872303</v>
      </c>
      <c r="J682">
        <f t="shared" si="76"/>
        <v>474.19977897474257</v>
      </c>
      <c r="K682" s="30">
        <f t="shared" si="77"/>
        <v>7495.8550576264015</v>
      </c>
    </row>
    <row r="683" spans="1:11" x14ac:dyDescent="0.25">
      <c r="A683" s="29">
        <v>633</v>
      </c>
      <c r="B683" s="99">
        <f t="shared" si="78"/>
        <v>0</v>
      </c>
      <c r="C683" s="75">
        <f t="shared" si="82"/>
        <v>104.50616427295054</v>
      </c>
      <c r="D683" s="100">
        <f t="shared" si="79"/>
        <v>445.77777777777789</v>
      </c>
      <c r="E683">
        <f t="shared" si="75"/>
        <v>0</v>
      </c>
      <c r="G683">
        <v>633</v>
      </c>
      <c r="H683" s="15">
        <f t="shared" si="80"/>
        <v>3.3332641781285588E-2</v>
      </c>
      <c r="I683">
        <f t="shared" si="81"/>
        <v>125.60572652050432</v>
      </c>
      <c r="J683">
        <f t="shared" si="76"/>
        <v>474.23117189091101</v>
      </c>
      <c r="K683" s="30">
        <f t="shared" si="77"/>
        <v>7496.8470833734173</v>
      </c>
    </row>
    <row r="684" spans="1:11" x14ac:dyDescent="0.25">
      <c r="A684" s="29">
        <v>634</v>
      </c>
      <c r="B684" s="99">
        <f t="shared" si="78"/>
        <v>0</v>
      </c>
      <c r="C684" s="75">
        <f t="shared" si="82"/>
        <v>104.50616427295054</v>
      </c>
      <c r="D684" s="100">
        <f t="shared" si="79"/>
        <v>445.77777777777789</v>
      </c>
      <c r="E684">
        <f t="shared" si="75"/>
        <v>0</v>
      </c>
      <c r="G684">
        <v>634</v>
      </c>
      <c r="H684" s="15">
        <f t="shared" si="80"/>
        <v>3.3332641781285588E-2</v>
      </c>
      <c r="I684">
        <f t="shared" si="81"/>
        <v>125.6390591622856</v>
      </c>
      <c r="J684">
        <f t="shared" si="76"/>
        <v>474.26253611139094</v>
      </c>
      <c r="K684" s="30">
        <f t="shared" si="77"/>
        <v>7497.8382680468494</v>
      </c>
    </row>
    <row r="685" spans="1:11" x14ac:dyDescent="0.25">
      <c r="A685" s="29">
        <v>635</v>
      </c>
      <c r="B685" s="99">
        <f t="shared" si="78"/>
        <v>0</v>
      </c>
      <c r="C685" s="75">
        <f t="shared" si="82"/>
        <v>104.50616427295054</v>
      </c>
      <c r="D685" s="100">
        <f t="shared" si="79"/>
        <v>445.77777777777789</v>
      </c>
      <c r="E685">
        <f t="shared" si="75"/>
        <v>0</v>
      </c>
      <c r="G685">
        <v>635</v>
      </c>
      <c r="H685" s="15">
        <f t="shared" si="80"/>
        <v>3.3332641781285588E-2</v>
      </c>
      <c r="I685">
        <f t="shared" si="81"/>
        <v>125.67239180406689</v>
      </c>
      <c r="J685">
        <f t="shared" si="76"/>
        <v>474.29387167312177</v>
      </c>
      <c r="K685" s="30">
        <f t="shared" si="77"/>
        <v>7498.8286126333869</v>
      </c>
    </row>
    <row r="686" spans="1:11" x14ac:dyDescent="0.25">
      <c r="A686" s="29">
        <v>636</v>
      </c>
      <c r="B686" s="99">
        <f t="shared" si="78"/>
        <v>0</v>
      </c>
      <c r="C686" s="75">
        <f t="shared" si="82"/>
        <v>104.50616427295054</v>
      </c>
      <c r="D686" s="100">
        <f t="shared" si="79"/>
        <v>445.77777777777789</v>
      </c>
      <c r="E686">
        <f t="shared" si="75"/>
        <v>0</v>
      </c>
      <c r="G686">
        <v>636</v>
      </c>
      <c r="H686" s="15">
        <f t="shared" si="80"/>
        <v>3.3332641781285588E-2</v>
      </c>
      <c r="I686">
        <f t="shared" si="81"/>
        <v>125.70572444584818</v>
      </c>
      <c r="J686">
        <f t="shared" si="76"/>
        <v>474.32517861294616</v>
      </c>
      <c r="K686" s="30">
        <f t="shared" si="77"/>
        <v>7499.8181181171312</v>
      </c>
    </row>
    <row r="687" spans="1:11" x14ac:dyDescent="0.25">
      <c r="A687" s="29">
        <v>637</v>
      </c>
      <c r="B687" s="99">
        <f t="shared" si="78"/>
        <v>0</v>
      </c>
      <c r="C687" s="75">
        <f t="shared" si="82"/>
        <v>104.50616427295054</v>
      </c>
      <c r="D687" s="100">
        <f t="shared" si="79"/>
        <v>445.77777777777789</v>
      </c>
      <c r="E687">
        <f t="shared" si="75"/>
        <v>0</v>
      </c>
      <c r="G687">
        <v>637</v>
      </c>
      <c r="H687" s="15">
        <f t="shared" si="80"/>
        <v>3.3332641781285588E-2</v>
      </c>
      <c r="I687">
        <f t="shared" si="81"/>
        <v>125.73905708762946</v>
      </c>
      <c r="J687">
        <f t="shared" si="76"/>
        <v>474.35645696760974</v>
      </c>
      <c r="K687" s="30">
        <f t="shared" si="77"/>
        <v>7500.8067854796</v>
      </c>
    </row>
    <row r="688" spans="1:11" x14ac:dyDescent="0.25">
      <c r="A688" s="29">
        <v>638</v>
      </c>
      <c r="B688" s="99">
        <f t="shared" si="78"/>
        <v>0</v>
      </c>
      <c r="C688" s="75">
        <f t="shared" si="82"/>
        <v>104.50616427295054</v>
      </c>
      <c r="D688" s="100">
        <f t="shared" si="79"/>
        <v>445.77777777777789</v>
      </c>
      <c r="E688">
        <f t="shared" si="75"/>
        <v>0</v>
      </c>
      <c r="G688">
        <v>638</v>
      </c>
      <c r="H688" s="15">
        <f t="shared" si="80"/>
        <v>3.3332641781285588E-2</v>
      </c>
      <c r="I688">
        <f t="shared" si="81"/>
        <v>125.77238972941075</v>
      </c>
      <c r="J688">
        <f t="shared" si="76"/>
        <v>474.38770677376209</v>
      </c>
      <c r="K688" s="30">
        <f t="shared" si="77"/>
        <v>7501.7946156997459</v>
      </c>
    </row>
    <row r="689" spans="1:11" x14ac:dyDescent="0.25">
      <c r="A689" s="29">
        <v>639</v>
      </c>
      <c r="B689" s="99">
        <f t="shared" si="78"/>
        <v>0</v>
      </c>
      <c r="C689" s="75">
        <f t="shared" si="82"/>
        <v>104.50616427295054</v>
      </c>
      <c r="D689" s="100">
        <f t="shared" si="79"/>
        <v>445.77777777777789</v>
      </c>
      <c r="E689">
        <f t="shared" si="75"/>
        <v>0</v>
      </c>
      <c r="G689">
        <v>639</v>
      </c>
      <c r="H689" s="15">
        <f t="shared" si="80"/>
        <v>3.3332641781285588E-2</v>
      </c>
      <c r="I689">
        <f t="shared" si="81"/>
        <v>125.80572237119203</v>
      </c>
      <c r="J689">
        <f t="shared" si="76"/>
        <v>474.41892806795664</v>
      </c>
      <c r="K689" s="30">
        <f t="shared" si="77"/>
        <v>7502.7816097539462</v>
      </c>
    </row>
    <row r="690" spans="1:11" x14ac:dyDescent="0.25">
      <c r="A690" s="29">
        <v>640</v>
      </c>
      <c r="B690" s="99">
        <f t="shared" si="78"/>
        <v>0</v>
      </c>
      <c r="C690" s="75">
        <f t="shared" si="82"/>
        <v>104.50616427295054</v>
      </c>
      <c r="D690" s="100">
        <f t="shared" si="79"/>
        <v>445.77777777777789</v>
      </c>
      <c r="E690">
        <f t="shared" si="75"/>
        <v>0</v>
      </c>
      <c r="G690">
        <v>640</v>
      </c>
      <c r="H690" s="15">
        <f t="shared" si="80"/>
        <v>3.3332641781285588E-2</v>
      </c>
      <c r="I690">
        <f t="shared" si="81"/>
        <v>125.83905501297332</v>
      </c>
      <c r="J690">
        <f t="shared" si="76"/>
        <v>474.45012088665123</v>
      </c>
      <c r="K690" s="30">
        <f t="shared" si="77"/>
        <v>7503.767768616035</v>
      </c>
    </row>
    <row r="691" spans="1:11" x14ac:dyDescent="0.25">
      <c r="A691" s="29">
        <v>641</v>
      </c>
      <c r="B691" s="99">
        <f t="shared" si="78"/>
        <v>0</v>
      </c>
      <c r="C691" s="75">
        <f t="shared" si="82"/>
        <v>104.50616427295054</v>
      </c>
      <c r="D691" s="100">
        <f t="shared" si="79"/>
        <v>445.77777777777789</v>
      </c>
      <c r="E691">
        <f t="shared" ref="E691:E754" si="83">((D691^2)+(D691*D692)+(D692^2))*B692/3</f>
        <v>0</v>
      </c>
      <c r="G691">
        <v>641</v>
      </c>
      <c r="H691" s="15">
        <f t="shared" si="80"/>
        <v>3.3332641781285588E-2</v>
      </c>
      <c r="I691">
        <f t="shared" si="81"/>
        <v>125.8723876547546</v>
      </c>
      <c r="J691">
        <f t="shared" ref="J691:J754" si="84">IF($G$28&lt;$C$14,0,((($C$11^2)-((I691-$C$13)^2))^0.5)+$C$16)</f>
        <v>474.48128526620837</v>
      </c>
      <c r="K691" s="30">
        <f t="shared" ref="K691:K754" si="85">((J691^2)+(J691*J692)+(J692^2))*H692/3</f>
        <v>7504.753093257299</v>
      </c>
    </row>
    <row r="692" spans="1:11" x14ac:dyDescent="0.25">
      <c r="A692" s="29">
        <v>642</v>
      </c>
      <c r="B692" s="99">
        <f t="shared" ref="B692:B755" si="86">C692-C691</f>
        <v>0</v>
      </c>
      <c r="C692" s="75">
        <f t="shared" si="82"/>
        <v>104.50616427295054</v>
      </c>
      <c r="D692" s="100">
        <f t="shared" ref="D692:D755" si="87">IF($G$28&lt;$C$14,0,((($C$11^2)-((C692-$C$13)^2))^0.5)+$C$16)</f>
        <v>445.77777777777789</v>
      </c>
      <c r="E692">
        <f t="shared" si="83"/>
        <v>0</v>
      </c>
      <c r="G692">
        <v>642</v>
      </c>
      <c r="H692" s="15">
        <f t="shared" ref="H692:H755" si="88">I692-I691</f>
        <v>3.3332641781285588E-2</v>
      </c>
      <c r="I692">
        <f t="shared" ref="I692:I755" si="89">($G$27-$C$14)/2000+I691</f>
        <v>125.90572029653589</v>
      </c>
      <c r="J692">
        <f t="shared" si="84"/>
        <v>474.51242124289575</v>
      </c>
      <c r="K692" s="30">
        <f t="shared" si="85"/>
        <v>7505.737584646492</v>
      </c>
    </row>
    <row r="693" spans="1:11" x14ac:dyDescent="0.25">
      <c r="A693" s="29">
        <v>643</v>
      </c>
      <c r="B693" s="99">
        <f t="shared" si="86"/>
        <v>0</v>
      </c>
      <c r="C693" s="75">
        <f t="shared" si="82"/>
        <v>104.50616427295054</v>
      </c>
      <c r="D693" s="100">
        <f t="shared" si="87"/>
        <v>445.77777777777789</v>
      </c>
      <c r="E693">
        <f t="shared" si="83"/>
        <v>0</v>
      </c>
      <c r="G693">
        <v>643</v>
      </c>
      <c r="H693" s="15">
        <f t="shared" si="88"/>
        <v>3.3332641781285588E-2</v>
      </c>
      <c r="I693">
        <f t="shared" si="89"/>
        <v>125.93905293831718</v>
      </c>
      <c r="J693">
        <f t="shared" si="84"/>
        <v>474.54352885288625</v>
      </c>
      <c r="K693" s="30">
        <f t="shared" si="85"/>
        <v>7506.7212437498356</v>
      </c>
    </row>
    <row r="694" spans="1:11" x14ac:dyDescent="0.25">
      <c r="A694" s="29">
        <v>644</v>
      </c>
      <c r="B694" s="99">
        <f t="shared" si="86"/>
        <v>0</v>
      </c>
      <c r="C694" s="75">
        <f t="shared" si="82"/>
        <v>104.50616427295054</v>
      </c>
      <c r="D694" s="100">
        <f t="shared" si="87"/>
        <v>445.77777777777789</v>
      </c>
      <c r="E694">
        <f t="shared" si="83"/>
        <v>0</v>
      </c>
      <c r="G694">
        <v>644</v>
      </c>
      <c r="H694" s="15">
        <f t="shared" si="88"/>
        <v>3.3332641781285588E-2</v>
      </c>
      <c r="I694">
        <f t="shared" si="89"/>
        <v>125.97238558009846</v>
      </c>
      <c r="J694">
        <f t="shared" si="84"/>
        <v>474.57460813225856</v>
      </c>
      <c r="K694" s="30">
        <f t="shared" si="85"/>
        <v>7507.7040715310404</v>
      </c>
    </row>
    <row r="695" spans="1:11" x14ac:dyDescent="0.25">
      <c r="A695" s="29">
        <v>645</v>
      </c>
      <c r="B695" s="99">
        <f t="shared" si="86"/>
        <v>0</v>
      </c>
      <c r="C695" s="75">
        <f t="shared" si="82"/>
        <v>104.50616427295054</v>
      </c>
      <c r="D695" s="100">
        <f t="shared" si="87"/>
        <v>445.77777777777789</v>
      </c>
      <c r="E695">
        <f t="shared" si="83"/>
        <v>0</v>
      </c>
      <c r="G695">
        <v>645</v>
      </c>
      <c r="H695" s="15">
        <f t="shared" si="88"/>
        <v>3.3332641781285588E-2</v>
      </c>
      <c r="I695">
        <f t="shared" si="89"/>
        <v>126.00571822187975</v>
      </c>
      <c r="J695">
        <f t="shared" si="84"/>
        <v>474.60565911699746</v>
      </c>
      <c r="K695" s="30">
        <f t="shared" si="85"/>
        <v>7508.6860689513078</v>
      </c>
    </row>
    <row r="696" spans="1:11" x14ac:dyDescent="0.25">
      <c r="A696" s="29">
        <v>646</v>
      </c>
      <c r="B696" s="99">
        <f t="shared" si="86"/>
        <v>0</v>
      </c>
      <c r="C696" s="75">
        <f t="shared" si="82"/>
        <v>104.50616427295054</v>
      </c>
      <c r="D696" s="100">
        <f t="shared" si="87"/>
        <v>445.77777777777789</v>
      </c>
      <c r="E696">
        <f t="shared" si="83"/>
        <v>0</v>
      </c>
      <c r="G696">
        <v>646</v>
      </c>
      <c r="H696" s="15">
        <f t="shared" si="88"/>
        <v>3.3332641781285588E-2</v>
      </c>
      <c r="I696">
        <f t="shared" si="89"/>
        <v>126.03905086366103</v>
      </c>
      <c r="J696">
        <f t="shared" si="84"/>
        <v>474.63668184299416</v>
      </c>
      <c r="K696" s="30">
        <f t="shared" si="85"/>
        <v>7509.6672369693379</v>
      </c>
    </row>
    <row r="697" spans="1:11" x14ac:dyDescent="0.25">
      <c r="A697" s="29">
        <v>647</v>
      </c>
      <c r="B697" s="99">
        <f t="shared" si="86"/>
        <v>0</v>
      </c>
      <c r="C697" s="75">
        <f t="shared" si="82"/>
        <v>104.50616427295054</v>
      </c>
      <c r="D697" s="100">
        <f t="shared" si="87"/>
        <v>445.77777777777789</v>
      </c>
      <c r="E697">
        <f t="shared" si="83"/>
        <v>0</v>
      </c>
      <c r="G697">
        <v>647</v>
      </c>
      <c r="H697" s="15">
        <f t="shared" si="88"/>
        <v>3.3332641781285588E-2</v>
      </c>
      <c r="I697">
        <f t="shared" si="89"/>
        <v>126.07238350544232</v>
      </c>
      <c r="J697">
        <f t="shared" si="84"/>
        <v>474.66767634604651</v>
      </c>
      <c r="K697" s="30">
        <f t="shared" si="85"/>
        <v>7510.6475765413479</v>
      </c>
    </row>
    <row r="698" spans="1:11" x14ac:dyDescent="0.25">
      <c r="A698" s="29">
        <v>648</v>
      </c>
      <c r="B698" s="99">
        <f t="shared" si="86"/>
        <v>0</v>
      </c>
      <c r="C698" s="75">
        <f t="shared" si="82"/>
        <v>104.50616427295054</v>
      </c>
      <c r="D698" s="100">
        <f t="shared" si="87"/>
        <v>445.77777777777789</v>
      </c>
      <c r="E698">
        <f t="shared" si="83"/>
        <v>0</v>
      </c>
      <c r="G698">
        <v>648</v>
      </c>
      <c r="H698" s="15">
        <f t="shared" si="88"/>
        <v>3.3332641781285588E-2</v>
      </c>
      <c r="I698">
        <f t="shared" si="89"/>
        <v>126.1057161472236</v>
      </c>
      <c r="J698">
        <f t="shared" si="84"/>
        <v>474.69864266185959</v>
      </c>
      <c r="K698" s="30">
        <f t="shared" si="85"/>
        <v>7511.6270886210659</v>
      </c>
    </row>
    <row r="699" spans="1:11" x14ac:dyDescent="0.25">
      <c r="A699" s="29">
        <v>649</v>
      </c>
      <c r="B699" s="99">
        <f t="shared" si="86"/>
        <v>0</v>
      </c>
      <c r="C699" s="75">
        <f t="shared" si="82"/>
        <v>104.50616427295054</v>
      </c>
      <c r="D699" s="100">
        <f t="shared" si="87"/>
        <v>445.77777777777789</v>
      </c>
      <c r="E699">
        <f t="shared" si="83"/>
        <v>0</v>
      </c>
      <c r="G699">
        <v>649</v>
      </c>
      <c r="H699" s="15">
        <f t="shared" si="88"/>
        <v>3.3332641781285588E-2</v>
      </c>
      <c r="I699">
        <f t="shared" si="89"/>
        <v>126.13904878900489</v>
      </c>
      <c r="J699">
        <f t="shared" si="84"/>
        <v>474.72958082604572</v>
      </c>
      <c r="K699" s="30">
        <f t="shared" si="85"/>
        <v>7512.6057741597533</v>
      </c>
    </row>
    <row r="700" spans="1:11" x14ac:dyDescent="0.25">
      <c r="A700" s="29">
        <v>650</v>
      </c>
      <c r="B700" s="99">
        <f t="shared" si="86"/>
        <v>0</v>
      </c>
      <c r="C700" s="75">
        <f t="shared" si="82"/>
        <v>104.50616427295054</v>
      </c>
      <c r="D700" s="100">
        <f t="shared" si="87"/>
        <v>445.77777777777789</v>
      </c>
      <c r="E700">
        <f t="shared" si="83"/>
        <v>0</v>
      </c>
      <c r="G700">
        <v>650</v>
      </c>
      <c r="H700" s="15">
        <f t="shared" si="88"/>
        <v>3.3332641781285588E-2</v>
      </c>
      <c r="I700">
        <f t="shared" si="89"/>
        <v>126.17238143078617</v>
      </c>
      <c r="J700">
        <f t="shared" si="84"/>
        <v>474.76049087412508</v>
      </c>
      <c r="K700" s="30">
        <f t="shared" si="85"/>
        <v>7513.5836341062031</v>
      </c>
    </row>
    <row r="701" spans="1:11" x14ac:dyDescent="0.25">
      <c r="A701" s="29">
        <v>651</v>
      </c>
      <c r="B701" s="99">
        <f t="shared" si="86"/>
        <v>0</v>
      </c>
      <c r="C701" s="75">
        <f t="shared" si="82"/>
        <v>104.50616427295054</v>
      </c>
      <c r="D701" s="100">
        <f t="shared" si="87"/>
        <v>445.77777777777789</v>
      </c>
      <c r="E701">
        <f t="shared" si="83"/>
        <v>0</v>
      </c>
      <c r="G701">
        <v>651</v>
      </c>
      <c r="H701" s="15">
        <f t="shared" si="88"/>
        <v>3.3332641781285588E-2</v>
      </c>
      <c r="I701">
        <f t="shared" si="89"/>
        <v>126.20571407256746</v>
      </c>
      <c r="J701">
        <f t="shared" si="84"/>
        <v>474.79137284152591</v>
      </c>
      <c r="K701" s="30">
        <f t="shared" si="85"/>
        <v>7514.5606694067601</v>
      </c>
    </row>
    <row r="702" spans="1:11" x14ac:dyDescent="0.25">
      <c r="A702" s="29">
        <v>652</v>
      </c>
      <c r="B702" s="99">
        <f t="shared" si="86"/>
        <v>0</v>
      </c>
      <c r="C702" s="75">
        <f t="shared" si="82"/>
        <v>104.50616427295054</v>
      </c>
      <c r="D702" s="100">
        <f t="shared" si="87"/>
        <v>445.77777777777789</v>
      </c>
      <c r="E702">
        <f t="shared" si="83"/>
        <v>0</v>
      </c>
      <c r="G702">
        <v>652</v>
      </c>
      <c r="H702" s="15">
        <f t="shared" si="88"/>
        <v>3.3332641781285588E-2</v>
      </c>
      <c r="I702">
        <f t="shared" si="89"/>
        <v>126.23904671434875</v>
      </c>
      <c r="J702">
        <f t="shared" si="84"/>
        <v>474.82222676358475</v>
      </c>
      <c r="K702" s="30">
        <f t="shared" si="85"/>
        <v>7515.5368810053178</v>
      </c>
    </row>
    <row r="703" spans="1:11" x14ac:dyDescent="0.25">
      <c r="A703" s="29">
        <v>653</v>
      </c>
      <c r="B703" s="99">
        <f t="shared" si="86"/>
        <v>0</v>
      </c>
      <c r="C703" s="75">
        <f t="shared" si="82"/>
        <v>104.50616427295054</v>
      </c>
      <c r="D703" s="100">
        <f t="shared" si="87"/>
        <v>445.77777777777789</v>
      </c>
      <c r="E703">
        <f t="shared" si="83"/>
        <v>0</v>
      </c>
      <c r="G703">
        <v>653</v>
      </c>
      <c r="H703" s="15">
        <f t="shared" si="88"/>
        <v>3.3332641781285588E-2</v>
      </c>
      <c r="I703">
        <f t="shared" si="89"/>
        <v>126.27237935613003</v>
      </c>
      <c r="J703">
        <f t="shared" si="84"/>
        <v>474.85305267554696</v>
      </c>
      <c r="K703" s="30">
        <f t="shared" si="85"/>
        <v>7516.5122698433397</v>
      </c>
    </row>
    <row r="704" spans="1:11" x14ac:dyDescent="0.25">
      <c r="A704" s="29">
        <v>654</v>
      </c>
      <c r="B704" s="99">
        <f t="shared" si="86"/>
        <v>0</v>
      </c>
      <c r="C704" s="75">
        <f t="shared" si="82"/>
        <v>104.50616427295054</v>
      </c>
      <c r="D704" s="100">
        <f t="shared" si="87"/>
        <v>445.77777777777789</v>
      </c>
      <c r="E704">
        <f t="shared" si="83"/>
        <v>0</v>
      </c>
      <c r="G704">
        <v>654</v>
      </c>
      <c r="H704" s="15">
        <f t="shared" si="88"/>
        <v>3.3332641781285588E-2</v>
      </c>
      <c r="I704">
        <f t="shared" si="89"/>
        <v>126.30571199791132</v>
      </c>
      <c r="J704">
        <f t="shared" si="84"/>
        <v>474.8838506125669</v>
      </c>
      <c r="K704" s="30">
        <f t="shared" si="85"/>
        <v>7517.4868368598536</v>
      </c>
    </row>
    <row r="705" spans="1:11" x14ac:dyDescent="0.25">
      <c r="A705" s="29">
        <v>655</v>
      </c>
      <c r="B705" s="99">
        <f t="shared" si="86"/>
        <v>0</v>
      </c>
      <c r="C705" s="75">
        <f t="shared" si="82"/>
        <v>104.50616427295054</v>
      </c>
      <c r="D705" s="100">
        <f t="shared" si="87"/>
        <v>445.77777777777789</v>
      </c>
      <c r="E705">
        <f t="shared" si="83"/>
        <v>0</v>
      </c>
      <c r="G705">
        <v>655</v>
      </c>
      <c r="H705" s="15">
        <f t="shared" si="88"/>
        <v>3.3332641781285588E-2</v>
      </c>
      <c r="I705">
        <f t="shared" si="89"/>
        <v>126.3390446396926</v>
      </c>
      <c r="J705">
        <f t="shared" si="84"/>
        <v>474.91462060970838</v>
      </c>
      <c r="K705" s="30">
        <f t="shared" si="85"/>
        <v>7518.4605829914753</v>
      </c>
    </row>
    <row r="706" spans="1:11" x14ac:dyDescent="0.25">
      <c r="A706" s="29">
        <v>656</v>
      </c>
      <c r="B706" s="99">
        <f t="shared" si="86"/>
        <v>0</v>
      </c>
      <c r="C706" s="75">
        <f t="shared" si="82"/>
        <v>104.50616427295054</v>
      </c>
      <c r="D706" s="100">
        <f t="shared" si="87"/>
        <v>445.77777777777789</v>
      </c>
      <c r="E706">
        <f t="shared" si="83"/>
        <v>0</v>
      </c>
      <c r="G706">
        <v>656</v>
      </c>
      <c r="H706" s="15">
        <f t="shared" si="88"/>
        <v>3.3332641781285588E-2</v>
      </c>
      <c r="I706">
        <f t="shared" si="89"/>
        <v>126.37237728147389</v>
      </c>
      <c r="J706">
        <f t="shared" si="84"/>
        <v>474.94536270194487</v>
      </c>
      <c r="K706" s="30">
        <f t="shared" si="85"/>
        <v>7519.4335091723988</v>
      </c>
    </row>
    <row r="707" spans="1:11" x14ac:dyDescent="0.25">
      <c r="A707" s="29">
        <v>657</v>
      </c>
      <c r="B707" s="99">
        <f t="shared" si="86"/>
        <v>0</v>
      </c>
      <c r="C707" s="75">
        <f t="shared" si="82"/>
        <v>104.50616427295054</v>
      </c>
      <c r="D707" s="100">
        <f t="shared" si="87"/>
        <v>445.77777777777789</v>
      </c>
      <c r="E707">
        <f t="shared" si="83"/>
        <v>0</v>
      </c>
      <c r="G707">
        <v>657</v>
      </c>
      <c r="H707" s="15">
        <f t="shared" si="88"/>
        <v>3.3332641781285588E-2</v>
      </c>
      <c r="I707">
        <f t="shared" si="89"/>
        <v>126.40570992325517</v>
      </c>
      <c r="J707">
        <f t="shared" si="84"/>
        <v>474.97607692415971</v>
      </c>
      <c r="K707" s="30">
        <f t="shared" si="85"/>
        <v>7520.4056163344258</v>
      </c>
    </row>
    <row r="708" spans="1:11" x14ac:dyDescent="0.25">
      <c r="A708" s="29">
        <v>658</v>
      </c>
      <c r="B708" s="99">
        <f t="shared" si="86"/>
        <v>0</v>
      </c>
      <c r="C708" s="75">
        <f t="shared" si="82"/>
        <v>104.50616427295054</v>
      </c>
      <c r="D708" s="100">
        <f t="shared" si="87"/>
        <v>445.77777777777789</v>
      </c>
      <c r="E708">
        <f t="shared" si="83"/>
        <v>0</v>
      </c>
      <c r="G708">
        <v>658</v>
      </c>
      <c r="H708" s="15">
        <f t="shared" si="88"/>
        <v>3.3332641781285588E-2</v>
      </c>
      <c r="I708">
        <f t="shared" si="89"/>
        <v>126.43904256503646</v>
      </c>
      <c r="J708">
        <f t="shared" si="84"/>
        <v>475.00676331114687</v>
      </c>
      <c r="K708" s="30">
        <f t="shared" si="85"/>
        <v>7521.3769054069626</v>
      </c>
    </row>
    <row r="709" spans="1:11" x14ac:dyDescent="0.25">
      <c r="A709" s="29">
        <v>659</v>
      </c>
      <c r="B709" s="99">
        <f t="shared" si="86"/>
        <v>0</v>
      </c>
      <c r="C709" s="75">
        <f t="shared" si="82"/>
        <v>104.50616427295054</v>
      </c>
      <c r="D709" s="100">
        <f t="shared" si="87"/>
        <v>445.77777777777789</v>
      </c>
      <c r="E709">
        <f t="shared" si="83"/>
        <v>0</v>
      </c>
      <c r="G709">
        <v>659</v>
      </c>
      <c r="H709" s="15">
        <f t="shared" si="88"/>
        <v>3.3332641781285588E-2</v>
      </c>
      <c r="I709">
        <f t="shared" si="89"/>
        <v>126.47237520681774</v>
      </c>
      <c r="J709">
        <f t="shared" si="84"/>
        <v>475.03742189761067</v>
      </c>
      <c r="K709" s="30">
        <f t="shared" si="85"/>
        <v>7522.3473773170235</v>
      </c>
    </row>
    <row r="710" spans="1:11" x14ac:dyDescent="0.25">
      <c r="A710" s="29">
        <v>660</v>
      </c>
      <c r="B710" s="99">
        <f t="shared" si="86"/>
        <v>0</v>
      </c>
      <c r="C710" s="75">
        <f t="shared" si="82"/>
        <v>104.50616427295054</v>
      </c>
      <c r="D710" s="100">
        <f t="shared" si="87"/>
        <v>445.77777777777789</v>
      </c>
      <c r="E710">
        <f t="shared" si="83"/>
        <v>0</v>
      </c>
      <c r="G710">
        <v>660</v>
      </c>
      <c r="H710" s="15">
        <f t="shared" si="88"/>
        <v>3.3332641781285588E-2</v>
      </c>
      <c r="I710">
        <f t="shared" si="89"/>
        <v>126.50570784859903</v>
      </c>
      <c r="J710">
        <f t="shared" si="84"/>
        <v>475.06805271816665</v>
      </c>
      <c r="K710" s="30">
        <f t="shared" si="85"/>
        <v>7523.3170329892537</v>
      </c>
    </row>
    <row r="711" spans="1:11" x14ac:dyDescent="0.25">
      <c r="A711" s="29">
        <v>661</v>
      </c>
      <c r="B711" s="99">
        <f t="shared" si="86"/>
        <v>0</v>
      </c>
      <c r="C711" s="75">
        <f t="shared" si="82"/>
        <v>104.50616427295054</v>
      </c>
      <c r="D711" s="100">
        <f t="shared" si="87"/>
        <v>445.77777777777789</v>
      </c>
      <c r="E711">
        <f t="shared" si="83"/>
        <v>0</v>
      </c>
      <c r="G711">
        <v>661</v>
      </c>
      <c r="H711" s="15">
        <f t="shared" si="88"/>
        <v>3.3332641781285588E-2</v>
      </c>
      <c r="I711">
        <f t="shared" si="89"/>
        <v>126.53904049038032</v>
      </c>
      <c r="J711">
        <f t="shared" si="84"/>
        <v>475.0986558073414</v>
      </c>
      <c r="K711" s="30">
        <f t="shared" si="85"/>
        <v>7524.2858733459252</v>
      </c>
    </row>
    <row r="712" spans="1:11" x14ac:dyDescent="0.25">
      <c r="A712" s="29">
        <v>662</v>
      </c>
      <c r="B712" s="99">
        <f t="shared" si="86"/>
        <v>0</v>
      </c>
      <c r="C712" s="75">
        <f t="shared" si="82"/>
        <v>104.50616427295054</v>
      </c>
      <c r="D712" s="100">
        <f t="shared" si="87"/>
        <v>445.77777777777789</v>
      </c>
      <c r="E712">
        <f t="shared" si="83"/>
        <v>0</v>
      </c>
      <c r="G712">
        <v>662</v>
      </c>
      <c r="H712" s="15">
        <f t="shared" si="88"/>
        <v>3.3332641781285588E-2</v>
      </c>
      <c r="I712">
        <f t="shared" si="89"/>
        <v>126.5723731321616</v>
      </c>
      <c r="J712">
        <f t="shared" si="84"/>
        <v>475.12923119957333</v>
      </c>
      <c r="K712" s="30">
        <f t="shared" si="85"/>
        <v>7525.2538993069529</v>
      </c>
    </row>
    <row r="713" spans="1:11" x14ac:dyDescent="0.25">
      <c r="A713" s="29">
        <v>663</v>
      </c>
      <c r="B713" s="99">
        <f t="shared" si="86"/>
        <v>0</v>
      </c>
      <c r="C713" s="75">
        <f t="shared" si="82"/>
        <v>104.50616427295054</v>
      </c>
      <c r="D713" s="100">
        <f t="shared" si="87"/>
        <v>445.77777777777789</v>
      </c>
      <c r="E713">
        <f t="shared" si="83"/>
        <v>0</v>
      </c>
      <c r="G713">
        <v>663</v>
      </c>
      <c r="H713" s="15">
        <f t="shared" si="88"/>
        <v>3.3332641781285588E-2</v>
      </c>
      <c r="I713">
        <f t="shared" si="89"/>
        <v>126.60570577394289</v>
      </c>
      <c r="J713">
        <f t="shared" si="84"/>
        <v>475.15977892921262</v>
      </c>
      <c r="K713" s="30">
        <f t="shared" si="85"/>
        <v>7526.2211117898942</v>
      </c>
    </row>
    <row r="714" spans="1:11" x14ac:dyDescent="0.25">
      <c r="A714" s="29">
        <v>664</v>
      </c>
      <c r="B714" s="99">
        <f t="shared" si="86"/>
        <v>0</v>
      </c>
      <c r="C714" s="75">
        <f t="shared" si="82"/>
        <v>104.50616427295054</v>
      </c>
      <c r="D714" s="100">
        <f t="shared" si="87"/>
        <v>445.77777777777789</v>
      </c>
      <c r="E714">
        <f t="shared" si="83"/>
        <v>0</v>
      </c>
      <c r="G714">
        <v>664</v>
      </c>
      <c r="H714" s="15">
        <f t="shared" si="88"/>
        <v>3.3332641781285588E-2</v>
      </c>
      <c r="I714">
        <f t="shared" si="89"/>
        <v>126.63903841572417</v>
      </c>
      <c r="J714">
        <f t="shared" si="84"/>
        <v>475.19029903052177</v>
      </c>
      <c r="K714" s="30">
        <f t="shared" si="85"/>
        <v>7527.1875117099689</v>
      </c>
    </row>
    <row r="715" spans="1:11" x14ac:dyDescent="0.25">
      <c r="A715" s="29">
        <v>665</v>
      </c>
      <c r="B715" s="99">
        <f t="shared" si="86"/>
        <v>0</v>
      </c>
      <c r="C715" s="75">
        <f t="shared" si="82"/>
        <v>104.50616427295054</v>
      </c>
      <c r="D715" s="100">
        <f t="shared" si="87"/>
        <v>445.77777777777789</v>
      </c>
      <c r="E715">
        <f t="shared" si="83"/>
        <v>0</v>
      </c>
      <c r="G715">
        <v>665</v>
      </c>
      <c r="H715" s="15">
        <f t="shared" si="88"/>
        <v>3.3332641781285588E-2</v>
      </c>
      <c r="I715">
        <f t="shared" si="89"/>
        <v>126.67237105750546</v>
      </c>
      <c r="J715">
        <f t="shared" si="84"/>
        <v>475.22079153767567</v>
      </c>
      <c r="K715" s="30">
        <f t="shared" si="85"/>
        <v>7528.153099980057</v>
      </c>
    </row>
    <row r="716" spans="1:11" x14ac:dyDescent="0.25">
      <c r="A716" s="29">
        <v>666</v>
      </c>
      <c r="B716" s="99">
        <f t="shared" si="86"/>
        <v>0</v>
      </c>
      <c r="C716" s="75">
        <f t="shared" si="82"/>
        <v>104.50616427295054</v>
      </c>
      <c r="D716" s="100">
        <f t="shared" si="87"/>
        <v>445.77777777777789</v>
      </c>
      <c r="E716">
        <f t="shared" si="83"/>
        <v>0</v>
      </c>
      <c r="G716">
        <v>666</v>
      </c>
      <c r="H716" s="15">
        <f t="shared" si="88"/>
        <v>3.3332641781285588E-2</v>
      </c>
      <c r="I716">
        <f t="shared" si="89"/>
        <v>126.70570369928674</v>
      </c>
      <c r="J716">
        <f t="shared" si="84"/>
        <v>475.25125648476211</v>
      </c>
      <c r="K716" s="30">
        <f t="shared" si="85"/>
        <v>7529.1178775107173</v>
      </c>
    </row>
    <row r="717" spans="1:11" x14ac:dyDescent="0.25">
      <c r="A717" s="29">
        <v>667</v>
      </c>
      <c r="B717" s="99">
        <f t="shared" si="86"/>
        <v>0</v>
      </c>
      <c r="C717" s="75">
        <f t="shared" si="82"/>
        <v>104.50616427295054</v>
      </c>
      <c r="D717" s="100">
        <f t="shared" si="87"/>
        <v>445.77777777777789</v>
      </c>
      <c r="E717">
        <f t="shared" si="83"/>
        <v>0</v>
      </c>
      <c r="G717">
        <v>667</v>
      </c>
      <c r="H717" s="15">
        <f t="shared" si="88"/>
        <v>3.3332641781285588E-2</v>
      </c>
      <c r="I717">
        <f t="shared" si="89"/>
        <v>126.73903634106803</v>
      </c>
      <c r="J717">
        <f t="shared" si="84"/>
        <v>475.28169390578216</v>
      </c>
      <c r="K717" s="30">
        <f t="shared" si="85"/>
        <v>7530.0818452101812</v>
      </c>
    </row>
    <row r="718" spans="1:11" x14ac:dyDescent="0.25">
      <c r="A718" s="29">
        <v>668</v>
      </c>
      <c r="B718" s="99">
        <f t="shared" si="86"/>
        <v>0</v>
      </c>
      <c r="C718" s="75">
        <f t="shared" si="82"/>
        <v>104.50616427295054</v>
      </c>
      <c r="D718" s="100">
        <f t="shared" si="87"/>
        <v>445.77777777777789</v>
      </c>
      <c r="E718">
        <f t="shared" si="83"/>
        <v>0</v>
      </c>
      <c r="G718">
        <v>668</v>
      </c>
      <c r="H718" s="15">
        <f t="shared" si="88"/>
        <v>3.3332641781285588E-2</v>
      </c>
      <c r="I718">
        <f t="shared" si="89"/>
        <v>126.77236898284931</v>
      </c>
      <c r="J718">
        <f t="shared" si="84"/>
        <v>475.31210383465009</v>
      </c>
      <c r="K718" s="30">
        <f t="shared" si="85"/>
        <v>7531.0450039843745</v>
      </c>
    </row>
    <row r="719" spans="1:11" x14ac:dyDescent="0.25">
      <c r="A719" s="29">
        <v>669</v>
      </c>
      <c r="B719" s="99">
        <f t="shared" si="86"/>
        <v>0</v>
      </c>
      <c r="C719" s="75">
        <f t="shared" si="82"/>
        <v>104.50616427295054</v>
      </c>
      <c r="D719" s="100">
        <f t="shared" si="87"/>
        <v>445.77777777777789</v>
      </c>
      <c r="E719">
        <f t="shared" si="83"/>
        <v>0</v>
      </c>
      <c r="G719">
        <v>669</v>
      </c>
      <c r="H719" s="15">
        <f t="shared" si="88"/>
        <v>3.3332641781285588E-2</v>
      </c>
      <c r="I719">
        <f t="shared" si="89"/>
        <v>126.8057016246306</v>
      </c>
      <c r="J719">
        <f t="shared" si="84"/>
        <v>475.34248630519409</v>
      </c>
      <c r="K719" s="30">
        <f t="shared" si="85"/>
        <v>7532.0073547369211</v>
      </c>
    </row>
    <row r="720" spans="1:11" x14ac:dyDescent="0.25">
      <c r="A720" s="29">
        <v>670</v>
      </c>
      <c r="B720" s="99">
        <f t="shared" si="86"/>
        <v>0</v>
      </c>
      <c r="C720" s="75">
        <f t="shared" ref="C720:C783" si="90">($C$37-$C$36)/2000+C719</f>
        <v>104.50616427295054</v>
      </c>
      <c r="D720" s="100">
        <f t="shared" si="87"/>
        <v>445.77777777777789</v>
      </c>
      <c r="E720">
        <f t="shared" si="83"/>
        <v>0</v>
      </c>
      <c r="G720">
        <v>670</v>
      </c>
      <c r="H720" s="15">
        <f t="shared" si="88"/>
        <v>3.3332641781285588E-2</v>
      </c>
      <c r="I720">
        <f t="shared" si="89"/>
        <v>126.83903426641189</v>
      </c>
      <c r="J720">
        <f t="shared" si="84"/>
        <v>475.37284135115641</v>
      </c>
      <c r="K720" s="30">
        <f t="shared" si="85"/>
        <v>7532.9688983691476</v>
      </c>
    </row>
    <row r="721" spans="1:11" x14ac:dyDescent="0.25">
      <c r="A721" s="29">
        <v>671</v>
      </c>
      <c r="B721" s="99">
        <f t="shared" si="86"/>
        <v>0</v>
      </c>
      <c r="C721" s="75">
        <f t="shared" si="90"/>
        <v>104.50616427295054</v>
      </c>
      <c r="D721" s="100">
        <f t="shared" si="87"/>
        <v>445.77777777777789</v>
      </c>
      <c r="E721">
        <f t="shared" si="83"/>
        <v>0</v>
      </c>
      <c r="G721">
        <v>671</v>
      </c>
      <c r="H721" s="15">
        <f t="shared" si="88"/>
        <v>3.3332641781285588E-2</v>
      </c>
      <c r="I721">
        <f t="shared" si="89"/>
        <v>126.87236690819317</v>
      </c>
      <c r="J721">
        <f t="shared" si="84"/>
        <v>475.40316900619359</v>
      </c>
      <c r="K721" s="30">
        <f t="shared" si="85"/>
        <v>7533.9296357800949</v>
      </c>
    </row>
    <row r="722" spans="1:11" x14ac:dyDescent="0.25">
      <c r="A722" s="29">
        <v>672</v>
      </c>
      <c r="B722" s="99">
        <f t="shared" si="86"/>
        <v>0</v>
      </c>
      <c r="C722" s="75">
        <f t="shared" si="90"/>
        <v>104.50616427295054</v>
      </c>
      <c r="D722" s="100">
        <f t="shared" si="87"/>
        <v>445.77777777777789</v>
      </c>
      <c r="E722">
        <f t="shared" si="83"/>
        <v>0</v>
      </c>
      <c r="G722">
        <v>672</v>
      </c>
      <c r="H722" s="15">
        <f t="shared" si="88"/>
        <v>3.3332641781285588E-2</v>
      </c>
      <c r="I722">
        <f t="shared" si="89"/>
        <v>126.90569954997446</v>
      </c>
      <c r="J722">
        <f t="shared" si="84"/>
        <v>475.43346930387679</v>
      </c>
      <c r="K722" s="30">
        <f t="shared" si="85"/>
        <v>7534.8895678665249</v>
      </c>
    </row>
    <row r="723" spans="1:11" x14ac:dyDescent="0.25">
      <c r="A723" s="29">
        <v>673</v>
      </c>
      <c r="B723" s="99">
        <f t="shared" si="86"/>
        <v>0</v>
      </c>
      <c r="C723" s="75">
        <f t="shared" si="90"/>
        <v>104.50616427295054</v>
      </c>
      <c r="D723" s="100">
        <f t="shared" si="87"/>
        <v>445.77777777777789</v>
      </c>
      <c r="E723">
        <f t="shared" si="83"/>
        <v>0</v>
      </c>
      <c r="G723">
        <v>673</v>
      </c>
      <c r="H723" s="15">
        <f t="shared" si="88"/>
        <v>3.3332641781285588E-2</v>
      </c>
      <c r="I723">
        <f t="shared" si="89"/>
        <v>126.93903219175574</v>
      </c>
      <c r="J723">
        <f t="shared" si="84"/>
        <v>475.46374227769223</v>
      </c>
      <c r="K723" s="30">
        <f t="shared" si="85"/>
        <v>7535.8486955229282</v>
      </c>
    </row>
    <row r="724" spans="1:11" x14ac:dyDescent="0.25">
      <c r="A724" s="29">
        <v>674</v>
      </c>
      <c r="B724" s="99">
        <f t="shared" si="86"/>
        <v>0</v>
      </c>
      <c r="C724" s="75">
        <f t="shared" si="90"/>
        <v>104.50616427295054</v>
      </c>
      <c r="D724" s="100">
        <f t="shared" si="87"/>
        <v>445.77777777777789</v>
      </c>
      <c r="E724">
        <f t="shared" si="83"/>
        <v>0</v>
      </c>
      <c r="G724">
        <v>674</v>
      </c>
      <c r="H724" s="15">
        <f t="shared" si="88"/>
        <v>3.3332641781285588E-2</v>
      </c>
      <c r="I724">
        <f t="shared" si="89"/>
        <v>126.97236483353703</v>
      </c>
      <c r="J724">
        <f t="shared" si="84"/>
        <v>475.49398796104134</v>
      </c>
      <c r="K724" s="30">
        <f t="shared" si="85"/>
        <v>7536.8070196415356</v>
      </c>
    </row>
    <row r="725" spans="1:11" x14ac:dyDescent="0.25">
      <c r="A725" s="29">
        <v>675</v>
      </c>
      <c r="B725" s="99">
        <f t="shared" si="86"/>
        <v>0</v>
      </c>
      <c r="C725" s="75">
        <f t="shared" si="90"/>
        <v>104.50616427295054</v>
      </c>
      <c r="D725" s="100">
        <f t="shared" si="87"/>
        <v>445.77777777777789</v>
      </c>
      <c r="E725">
        <f t="shared" si="83"/>
        <v>0</v>
      </c>
      <c r="G725">
        <v>675</v>
      </c>
      <c r="H725" s="15">
        <f t="shared" si="88"/>
        <v>3.3332641781285588E-2</v>
      </c>
      <c r="I725">
        <f t="shared" si="89"/>
        <v>127.00569747531831</v>
      </c>
      <c r="J725">
        <f t="shared" si="84"/>
        <v>475.52420638724101</v>
      </c>
      <c r="K725" s="30">
        <f t="shared" si="85"/>
        <v>7537.7645411123194</v>
      </c>
    </row>
    <row r="726" spans="1:11" x14ac:dyDescent="0.25">
      <c r="A726" s="29">
        <v>676</v>
      </c>
      <c r="B726" s="99">
        <f t="shared" si="86"/>
        <v>0</v>
      </c>
      <c r="C726" s="75">
        <f t="shared" si="90"/>
        <v>104.50616427295054</v>
      </c>
      <c r="D726" s="100">
        <f t="shared" si="87"/>
        <v>445.77777777777789</v>
      </c>
      <c r="E726">
        <f t="shared" si="83"/>
        <v>0</v>
      </c>
      <c r="G726">
        <v>676</v>
      </c>
      <c r="H726" s="15">
        <f t="shared" si="88"/>
        <v>3.3332641781285588E-2</v>
      </c>
      <c r="I726">
        <f t="shared" si="89"/>
        <v>127.0390301170996</v>
      </c>
      <c r="J726">
        <f t="shared" si="84"/>
        <v>475.55439758952411</v>
      </c>
      <c r="K726" s="30">
        <f t="shared" si="85"/>
        <v>7538.7212608230075</v>
      </c>
    </row>
    <row r="727" spans="1:11" x14ac:dyDescent="0.25">
      <c r="A727" s="29">
        <v>677</v>
      </c>
      <c r="B727" s="99">
        <f t="shared" si="86"/>
        <v>0</v>
      </c>
      <c r="C727" s="75">
        <f t="shared" si="90"/>
        <v>104.50616427295054</v>
      </c>
      <c r="D727" s="100">
        <f t="shared" si="87"/>
        <v>445.77777777777789</v>
      </c>
      <c r="E727">
        <f t="shared" si="83"/>
        <v>0</v>
      </c>
      <c r="G727">
        <v>677</v>
      </c>
      <c r="H727" s="15">
        <f t="shared" si="88"/>
        <v>3.3332641781285588E-2</v>
      </c>
      <c r="I727">
        <f t="shared" si="89"/>
        <v>127.07236275888089</v>
      </c>
      <c r="J727">
        <f t="shared" si="84"/>
        <v>475.58456160103947</v>
      </c>
      <c r="K727" s="30">
        <f t="shared" si="85"/>
        <v>7539.6771796590829</v>
      </c>
    </row>
    <row r="728" spans="1:11" x14ac:dyDescent="0.25">
      <c r="A728" s="29">
        <v>678</v>
      </c>
      <c r="B728" s="99">
        <f t="shared" si="86"/>
        <v>0</v>
      </c>
      <c r="C728" s="75">
        <f t="shared" si="90"/>
        <v>104.50616427295054</v>
      </c>
      <c r="D728" s="100">
        <f t="shared" si="87"/>
        <v>445.77777777777789</v>
      </c>
      <c r="E728">
        <f t="shared" si="83"/>
        <v>0</v>
      </c>
      <c r="G728">
        <v>678</v>
      </c>
      <c r="H728" s="15">
        <f t="shared" si="88"/>
        <v>3.3332641781285588E-2</v>
      </c>
      <c r="I728">
        <f t="shared" si="89"/>
        <v>127.10569540066217</v>
      </c>
      <c r="J728">
        <f t="shared" si="84"/>
        <v>475.61469845485254</v>
      </c>
      <c r="K728" s="30">
        <f t="shared" si="85"/>
        <v>7540.6322985038059</v>
      </c>
    </row>
    <row r="729" spans="1:11" x14ac:dyDescent="0.25">
      <c r="A729" s="29">
        <v>679</v>
      </c>
      <c r="B729" s="99">
        <f t="shared" si="86"/>
        <v>0</v>
      </c>
      <c r="C729" s="75">
        <f t="shared" si="90"/>
        <v>104.50616427295054</v>
      </c>
      <c r="D729" s="100">
        <f t="shared" si="87"/>
        <v>445.77777777777789</v>
      </c>
      <c r="E729">
        <f t="shared" si="83"/>
        <v>0</v>
      </c>
      <c r="G729">
        <v>679</v>
      </c>
      <c r="H729" s="15">
        <f t="shared" si="88"/>
        <v>3.3332641781285588E-2</v>
      </c>
      <c r="I729">
        <f t="shared" si="89"/>
        <v>127.13902804244346</v>
      </c>
      <c r="J729">
        <f t="shared" si="84"/>
        <v>475.64480818394532</v>
      </c>
      <c r="K729" s="30">
        <f t="shared" si="85"/>
        <v>7541.586618238206</v>
      </c>
    </row>
    <row r="730" spans="1:11" x14ac:dyDescent="0.25">
      <c r="A730" s="29">
        <v>680</v>
      </c>
      <c r="B730" s="99">
        <f t="shared" si="86"/>
        <v>0</v>
      </c>
      <c r="C730" s="75">
        <f t="shared" si="90"/>
        <v>104.50616427295054</v>
      </c>
      <c r="D730" s="100">
        <f t="shared" si="87"/>
        <v>445.77777777777789</v>
      </c>
      <c r="E730">
        <f t="shared" si="83"/>
        <v>0</v>
      </c>
      <c r="G730">
        <v>680</v>
      </c>
      <c r="H730" s="15">
        <f t="shared" si="88"/>
        <v>3.3332641781285588E-2</v>
      </c>
      <c r="I730">
        <f t="shared" si="89"/>
        <v>127.17236068422474</v>
      </c>
      <c r="J730">
        <f t="shared" si="84"/>
        <v>475.67489082121688</v>
      </c>
      <c r="K730" s="30">
        <f t="shared" si="85"/>
        <v>7542.5401397411006</v>
      </c>
    </row>
    <row r="731" spans="1:11" x14ac:dyDescent="0.25">
      <c r="A731" s="29">
        <v>681</v>
      </c>
      <c r="B731" s="99">
        <f t="shared" si="86"/>
        <v>0</v>
      </c>
      <c r="C731" s="75">
        <f t="shared" si="90"/>
        <v>104.50616427295054</v>
      </c>
      <c r="D731" s="100">
        <f t="shared" si="87"/>
        <v>445.77777777777789</v>
      </c>
      <c r="E731">
        <f t="shared" si="83"/>
        <v>0</v>
      </c>
      <c r="G731">
        <v>681</v>
      </c>
      <c r="H731" s="15">
        <f t="shared" si="88"/>
        <v>3.3332641781285588E-2</v>
      </c>
      <c r="I731">
        <f t="shared" si="89"/>
        <v>127.20569332600603</v>
      </c>
      <c r="J731">
        <f t="shared" si="84"/>
        <v>475.70494639948356</v>
      </c>
      <c r="K731" s="30">
        <f t="shared" si="85"/>
        <v>7543.492863889096</v>
      </c>
    </row>
    <row r="732" spans="1:11" x14ac:dyDescent="0.25">
      <c r="A732" s="29">
        <v>682</v>
      </c>
      <c r="B732" s="99">
        <f t="shared" si="86"/>
        <v>0</v>
      </c>
      <c r="C732" s="75">
        <f t="shared" si="90"/>
        <v>104.50616427295054</v>
      </c>
      <c r="D732" s="100">
        <f t="shared" si="87"/>
        <v>445.77777777777789</v>
      </c>
      <c r="E732">
        <f t="shared" si="83"/>
        <v>0</v>
      </c>
      <c r="G732">
        <v>682</v>
      </c>
      <c r="H732" s="15">
        <f t="shared" si="88"/>
        <v>3.3332641781285588E-2</v>
      </c>
      <c r="I732">
        <f t="shared" si="89"/>
        <v>127.23902596778731</v>
      </c>
      <c r="J732">
        <f t="shared" si="84"/>
        <v>475.73497495147933</v>
      </c>
      <c r="K732" s="30">
        <f t="shared" si="85"/>
        <v>7544.4447915565988</v>
      </c>
    </row>
    <row r="733" spans="1:11" x14ac:dyDescent="0.25">
      <c r="A733" s="29">
        <v>683</v>
      </c>
      <c r="B733" s="99">
        <f t="shared" si="86"/>
        <v>0</v>
      </c>
      <c r="C733" s="75">
        <f t="shared" si="90"/>
        <v>104.50616427295054</v>
      </c>
      <c r="D733" s="100">
        <f t="shared" si="87"/>
        <v>445.77777777777789</v>
      </c>
      <c r="E733">
        <f t="shared" si="83"/>
        <v>0</v>
      </c>
      <c r="G733">
        <v>683</v>
      </c>
      <c r="H733" s="15">
        <f t="shared" si="88"/>
        <v>3.3332641781285588E-2</v>
      </c>
      <c r="I733">
        <f t="shared" si="89"/>
        <v>127.2723586095686</v>
      </c>
      <c r="J733">
        <f t="shared" si="84"/>
        <v>475.7649765098559</v>
      </c>
      <c r="K733" s="30">
        <f t="shared" si="85"/>
        <v>7545.3959236158253</v>
      </c>
    </row>
    <row r="734" spans="1:11" x14ac:dyDescent="0.25">
      <c r="A734" s="29">
        <v>684</v>
      </c>
      <c r="B734" s="99">
        <f t="shared" si="86"/>
        <v>0</v>
      </c>
      <c r="C734" s="75">
        <f t="shared" si="90"/>
        <v>104.50616427295054</v>
      </c>
      <c r="D734" s="100">
        <f t="shared" si="87"/>
        <v>445.77777777777789</v>
      </c>
      <c r="E734">
        <f t="shared" si="83"/>
        <v>0</v>
      </c>
      <c r="G734">
        <v>684</v>
      </c>
      <c r="H734" s="15">
        <f t="shared" si="88"/>
        <v>3.3332641781285588E-2</v>
      </c>
      <c r="I734">
        <f t="shared" si="89"/>
        <v>127.30569125134988</v>
      </c>
      <c r="J734">
        <f t="shared" si="84"/>
        <v>475.79495110718324</v>
      </c>
      <c r="K734" s="30">
        <f t="shared" si="85"/>
        <v>7546.3462609367998</v>
      </c>
    </row>
    <row r="735" spans="1:11" x14ac:dyDescent="0.25">
      <c r="A735" s="29">
        <v>685</v>
      </c>
      <c r="B735" s="99">
        <f t="shared" si="86"/>
        <v>0</v>
      </c>
      <c r="C735" s="75">
        <f t="shared" si="90"/>
        <v>104.50616427295054</v>
      </c>
      <c r="D735" s="100">
        <f t="shared" si="87"/>
        <v>445.77777777777789</v>
      </c>
      <c r="E735">
        <f t="shared" si="83"/>
        <v>0</v>
      </c>
      <c r="G735">
        <v>685</v>
      </c>
      <c r="H735" s="15">
        <f t="shared" si="88"/>
        <v>3.3332641781285588E-2</v>
      </c>
      <c r="I735">
        <f t="shared" si="89"/>
        <v>127.33902389313117</v>
      </c>
      <c r="J735">
        <f t="shared" si="84"/>
        <v>475.82489877594969</v>
      </c>
      <c r="K735" s="30">
        <f t="shared" si="85"/>
        <v>7547.2958043873741</v>
      </c>
    </row>
    <row r="736" spans="1:11" x14ac:dyDescent="0.25">
      <c r="A736" s="29">
        <v>686</v>
      </c>
      <c r="B736" s="99">
        <f t="shared" si="86"/>
        <v>0</v>
      </c>
      <c r="C736" s="75">
        <f t="shared" si="90"/>
        <v>104.50616427295054</v>
      </c>
      <c r="D736" s="100">
        <f t="shared" si="87"/>
        <v>445.77777777777789</v>
      </c>
      <c r="E736">
        <f t="shared" si="83"/>
        <v>0</v>
      </c>
      <c r="G736">
        <v>686</v>
      </c>
      <c r="H736" s="15">
        <f t="shared" si="88"/>
        <v>3.3332641781285588E-2</v>
      </c>
      <c r="I736">
        <f t="shared" si="89"/>
        <v>127.37235653491246</v>
      </c>
      <c r="J736">
        <f t="shared" si="84"/>
        <v>475.85481954856232</v>
      </c>
      <c r="K736" s="30">
        <f t="shared" si="85"/>
        <v>7548.2445548332262</v>
      </c>
    </row>
    <row r="737" spans="1:11" x14ac:dyDescent="0.25">
      <c r="A737" s="29">
        <v>687</v>
      </c>
      <c r="B737" s="99">
        <f t="shared" si="86"/>
        <v>0</v>
      </c>
      <c r="C737" s="75">
        <f t="shared" si="90"/>
        <v>104.50616427295054</v>
      </c>
      <c r="D737" s="100">
        <f t="shared" si="87"/>
        <v>445.77777777777789</v>
      </c>
      <c r="E737">
        <f t="shared" si="83"/>
        <v>0</v>
      </c>
      <c r="G737">
        <v>687</v>
      </c>
      <c r="H737" s="15">
        <f t="shared" si="88"/>
        <v>3.3332641781285588E-2</v>
      </c>
      <c r="I737">
        <f t="shared" si="89"/>
        <v>127.40568917669374</v>
      </c>
      <c r="J737">
        <f t="shared" si="84"/>
        <v>475.88471345734717</v>
      </c>
      <c r="K737" s="30">
        <f t="shared" si="85"/>
        <v>7549.1925131378748</v>
      </c>
    </row>
    <row r="738" spans="1:11" x14ac:dyDescent="0.25">
      <c r="A738" s="29">
        <v>688</v>
      </c>
      <c r="B738" s="99">
        <f t="shared" si="86"/>
        <v>0</v>
      </c>
      <c r="C738" s="75">
        <f t="shared" si="90"/>
        <v>104.50616427295054</v>
      </c>
      <c r="D738" s="100">
        <f t="shared" si="87"/>
        <v>445.77777777777789</v>
      </c>
      <c r="E738">
        <f t="shared" si="83"/>
        <v>0</v>
      </c>
      <c r="G738">
        <v>688</v>
      </c>
      <c r="H738" s="15">
        <f t="shared" si="88"/>
        <v>3.3332641781285588E-2</v>
      </c>
      <c r="I738">
        <f t="shared" si="89"/>
        <v>127.43902181847503</v>
      </c>
      <c r="J738">
        <f t="shared" si="84"/>
        <v>475.91458053454949</v>
      </c>
      <c r="K738" s="30">
        <f t="shared" si="85"/>
        <v>7550.1396801626788</v>
      </c>
    </row>
    <row r="739" spans="1:11" x14ac:dyDescent="0.25">
      <c r="A739" s="29">
        <v>689</v>
      </c>
      <c r="B739" s="99">
        <f t="shared" si="86"/>
        <v>0</v>
      </c>
      <c r="C739" s="75">
        <f t="shared" si="90"/>
        <v>104.50616427295054</v>
      </c>
      <c r="D739" s="100">
        <f t="shared" si="87"/>
        <v>445.77777777777789</v>
      </c>
      <c r="E739">
        <f t="shared" si="83"/>
        <v>0</v>
      </c>
      <c r="G739">
        <v>689</v>
      </c>
      <c r="H739" s="15">
        <f t="shared" si="88"/>
        <v>3.3332641781285588E-2</v>
      </c>
      <c r="I739">
        <f t="shared" si="89"/>
        <v>127.47235446025631</v>
      </c>
      <c r="J739">
        <f t="shared" si="84"/>
        <v>475.94442081233422</v>
      </c>
      <c r="K739" s="30">
        <f t="shared" si="85"/>
        <v>7551.0860567668524</v>
      </c>
    </row>
    <row r="740" spans="1:11" x14ac:dyDescent="0.25">
      <c r="A740" s="29">
        <v>690</v>
      </c>
      <c r="B740" s="99">
        <f t="shared" si="86"/>
        <v>0</v>
      </c>
      <c r="C740" s="75">
        <f t="shared" si="90"/>
        <v>104.50616427295054</v>
      </c>
      <c r="D740" s="100">
        <f t="shared" si="87"/>
        <v>445.77777777777789</v>
      </c>
      <c r="E740">
        <f t="shared" si="83"/>
        <v>0</v>
      </c>
      <c r="G740">
        <v>690</v>
      </c>
      <c r="H740" s="15">
        <f t="shared" si="88"/>
        <v>3.3332641781285588E-2</v>
      </c>
      <c r="I740">
        <f t="shared" si="89"/>
        <v>127.5056871020376</v>
      </c>
      <c r="J740">
        <f t="shared" si="84"/>
        <v>475.97423432278595</v>
      </c>
      <c r="K740" s="30">
        <f t="shared" si="85"/>
        <v>7552.0316438074633</v>
      </c>
    </row>
    <row r="741" spans="1:11" x14ac:dyDescent="0.25">
      <c r="A741" s="29">
        <v>691</v>
      </c>
      <c r="B741" s="99">
        <f t="shared" si="86"/>
        <v>0</v>
      </c>
      <c r="C741" s="75">
        <f t="shared" si="90"/>
        <v>104.50616427295054</v>
      </c>
      <c r="D741" s="100">
        <f t="shared" si="87"/>
        <v>445.77777777777789</v>
      </c>
      <c r="E741">
        <f t="shared" si="83"/>
        <v>0</v>
      </c>
      <c r="G741">
        <v>691</v>
      </c>
      <c r="H741" s="15">
        <f t="shared" si="88"/>
        <v>3.3332641781285588E-2</v>
      </c>
      <c r="I741">
        <f t="shared" si="89"/>
        <v>127.53901974381888</v>
      </c>
      <c r="J741">
        <f t="shared" si="84"/>
        <v>476.00402109790946</v>
      </c>
      <c r="K741" s="30">
        <f t="shared" si="85"/>
        <v>7552.976442139453</v>
      </c>
    </row>
    <row r="742" spans="1:11" x14ac:dyDescent="0.25">
      <c r="A742" s="29">
        <v>692</v>
      </c>
      <c r="B742" s="99">
        <f t="shared" si="86"/>
        <v>0</v>
      </c>
      <c r="C742" s="75">
        <f t="shared" si="90"/>
        <v>104.50616427295054</v>
      </c>
      <c r="D742" s="100">
        <f t="shared" si="87"/>
        <v>445.77777777777789</v>
      </c>
      <c r="E742">
        <f t="shared" si="83"/>
        <v>0</v>
      </c>
      <c r="G742">
        <v>692</v>
      </c>
      <c r="H742" s="15">
        <f t="shared" si="88"/>
        <v>3.3332641781285588E-2</v>
      </c>
      <c r="I742">
        <f t="shared" si="89"/>
        <v>127.57235238560017</v>
      </c>
      <c r="J742">
        <f t="shared" si="84"/>
        <v>476.03378116962989</v>
      </c>
      <c r="K742" s="30">
        <f t="shared" si="85"/>
        <v>7553.9204526156318</v>
      </c>
    </row>
    <row r="743" spans="1:11" x14ac:dyDescent="0.25">
      <c r="A743" s="29">
        <v>693</v>
      </c>
      <c r="B743" s="99">
        <f t="shared" si="86"/>
        <v>0</v>
      </c>
      <c r="C743" s="75">
        <f t="shared" si="90"/>
        <v>104.50616427295054</v>
      </c>
      <c r="D743" s="100">
        <f t="shared" si="87"/>
        <v>445.77777777777789</v>
      </c>
      <c r="E743">
        <f t="shared" si="83"/>
        <v>0</v>
      </c>
      <c r="G743">
        <v>693</v>
      </c>
      <c r="H743" s="15">
        <f t="shared" si="88"/>
        <v>3.3332641781285588E-2</v>
      </c>
      <c r="I743">
        <f t="shared" si="89"/>
        <v>127.60568502738145</v>
      </c>
      <c r="J743">
        <f t="shared" si="84"/>
        <v>476.06351456979297</v>
      </c>
      <c r="K743" s="30">
        <f t="shared" si="85"/>
        <v>7554.8636760866912</v>
      </c>
    </row>
    <row r="744" spans="1:11" x14ac:dyDescent="0.25">
      <c r="A744" s="29">
        <v>694</v>
      </c>
      <c r="B744" s="99">
        <f t="shared" si="86"/>
        <v>0</v>
      </c>
      <c r="C744" s="75">
        <f t="shared" si="90"/>
        <v>104.50616427295054</v>
      </c>
      <c r="D744" s="100">
        <f t="shared" si="87"/>
        <v>445.77777777777789</v>
      </c>
      <c r="E744">
        <f t="shared" si="83"/>
        <v>0</v>
      </c>
      <c r="G744">
        <v>694</v>
      </c>
      <c r="H744" s="15">
        <f t="shared" si="88"/>
        <v>3.3332641781285588E-2</v>
      </c>
      <c r="I744">
        <f t="shared" si="89"/>
        <v>127.63901766916274</v>
      </c>
      <c r="J744">
        <f t="shared" si="84"/>
        <v>476.09322133016536</v>
      </c>
      <c r="K744" s="30">
        <f t="shared" si="85"/>
        <v>7555.8061134012132</v>
      </c>
    </row>
    <row r="745" spans="1:11" x14ac:dyDescent="0.25">
      <c r="A745" s="29">
        <v>695</v>
      </c>
      <c r="B745" s="99">
        <f t="shared" si="86"/>
        <v>0</v>
      </c>
      <c r="C745" s="75">
        <f t="shared" si="90"/>
        <v>104.50616427295054</v>
      </c>
      <c r="D745" s="100">
        <f t="shared" si="87"/>
        <v>445.77777777777789</v>
      </c>
      <c r="E745">
        <f t="shared" si="83"/>
        <v>0</v>
      </c>
      <c r="G745">
        <v>695</v>
      </c>
      <c r="H745" s="15">
        <f t="shared" si="88"/>
        <v>3.3332641781285588E-2</v>
      </c>
      <c r="I745">
        <f t="shared" si="89"/>
        <v>127.67235031094403</v>
      </c>
      <c r="J745">
        <f t="shared" si="84"/>
        <v>476.12290148243494</v>
      </c>
      <c r="K745" s="30">
        <f t="shared" si="85"/>
        <v>7556.7477654056756</v>
      </c>
    </row>
    <row r="746" spans="1:11" x14ac:dyDescent="0.25">
      <c r="A746" s="29">
        <v>696</v>
      </c>
      <c r="B746" s="99">
        <f t="shared" si="86"/>
        <v>0</v>
      </c>
      <c r="C746" s="75">
        <f t="shared" si="90"/>
        <v>104.50616427295054</v>
      </c>
      <c r="D746" s="100">
        <f t="shared" si="87"/>
        <v>445.77777777777789</v>
      </c>
      <c r="E746">
        <f t="shared" si="83"/>
        <v>0</v>
      </c>
      <c r="G746">
        <v>696</v>
      </c>
      <c r="H746" s="15">
        <f t="shared" si="88"/>
        <v>3.3332641781285588E-2</v>
      </c>
      <c r="I746">
        <f t="shared" si="89"/>
        <v>127.70568295272531</v>
      </c>
      <c r="J746">
        <f t="shared" si="84"/>
        <v>476.15255505821108</v>
      </c>
      <c r="K746" s="30">
        <f t="shared" si="85"/>
        <v>7557.688632944456</v>
      </c>
    </row>
    <row r="747" spans="1:11" x14ac:dyDescent="0.25">
      <c r="A747" s="29">
        <v>697</v>
      </c>
      <c r="B747" s="99">
        <f t="shared" si="86"/>
        <v>0</v>
      </c>
      <c r="C747" s="75">
        <f t="shared" si="90"/>
        <v>104.50616427295054</v>
      </c>
      <c r="D747" s="100">
        <f t="shared" si="87"/>
        <v>445.77777777777789</v>
      </c>
      <c r="E747">
        <f t="shared" si="83"/>
        <v>0</v>
      </c>
      <c r="G747">
        <v>697</v>
      </c>
      <c r="H747" s="15">
        <f t="shared" si="88"/>
        <v>3.3332641781285588E-2</v>
      </c>
      <c r="I747">
        <f t="shared" si="89"/>
        <v>127.7390155945066</v>
      </c>
      <c r="J747">
        <f t="shared" si="84"/>
        <v>476.18218208902465</v>
      </c>
      <c r="K747" s="30">
        <f t="shared" si="85"/>
        <v>7558.6287168598428</v>
      </c>
    </row>
    <row r="748" spans="1:11" x14ac:dyDescent="0.25">
      <c r="A748" s="29">
        <v>698</v>
      </c>
      <c r="B748" s="99">
        <f t="shared" si="86"/>
        <v>0</v>
      </c>
      <c r="C748" s="75">
        <f t="shared" si="90"/>
        <v>104.50616427295054</v>
      </c>
      <c r="D748" s="100">
        <f t="shared" si="87"/>
        <v>445.77777777777789</v>
      </c>
      <c r="E748">
        <f t="shared" si="83"/>
        <v>0</v>
      </c>
      <c r="G748">
        <v>698</v>
      </c>
      <c r="H748" s="15">
        <f t="shared" si="88"/>
        <v>3.3332641781285588E-2</v>
      </c>
      <c r="I748">
        <f t="shared" si="89"/>
        <v>127.77234823628788</v>
      </c>
      <c r="J748">
        <f t="shared" si="84"/>
        <v>476.21178260632871</v>
      </c>
      <c r="K748" s="30">
        <f t="shared" si="85"/>
        <v>7559.5680179920428</v>
      </c>
    </row>
    <row r="749" spans="1:11" x14ac:dyDescent="0.25">
      <c r="A749" s="29">
        <v>699</v>
      </c>
      <c r="B749" s="99">
        <f t="shared" si="86"/>
        <v>0</v>
      </c>
      <c r="C749" s="75">
        <f t="shared" si="90"/>
        <v>104.50616427295054</v>
      </c>
      <c r="D749" s="100">
        <f t="shared" si="87"/>
        <v>445.77777777777789</v>
      </c>
      <c r="E749">
        <f t="shared" si="83"/>
        <v>0</v>
      </c>
      <c r="G749">
        <v>699</v>
      </c>
      <c r="H749" s="15">
        <f t="shared" si="88"/>
        <v>3.3332641781285588E-2</v>
      </c>
      <c r="I749">
        <f t="shared" si="89"/>
        <v>127.80568087806917</v>
      </c>
      <c r="J749">
        <f t="shared" si="84"/>
        <v>476.2413566414985</v>
      </c>
      <c r="K749" s="30">
        <f t="shared" si="85"/>
        <v>7560.5065371791816</v>
      </c>
    </row>
    <row r="750" spans="1:11" x14ac:dyDescent="0.25">
      <c r="A750" s="29">
        <v>700</v>
      </c>
      <c r="B750" s="99">
        <f t="shared" si="86"/>
        <v>0</v>
      </c>
      <c r="C750" s="75">
        <f t="shared" si="90"/>
        <v>104.50616427295054</v>
      </c>
      <c r="D750" s="100">
        <f t="shared" si="87"/>
        <v>445.77777777777789</v>
      </c>
      <c r="E750">
        <f t="shared" si="83"/>
        <v>0</v>
      </c>
      <c r="G750">
        <v>700</v>
      </c>
      <c r="H750" s="15">
        <f t="shared" si="88"/>
        <v>3.3332641781285588E-2</v>
      </c>
      <c r="I750">
        <f t="shared" si="89"/>
        <v>127.83901351985045</v>
      </c>
      <c r="J750">
        <f t="shared" si="84"/>
        <v>476.27090422583177</v>
      </c>
      <c r="K750" s="30">
        <f t="shared" si="85"/>
        <v>7561.4442752573259</v>
      </c>
    </row>
    <row r="751" spans="1:11" x14ac:dyDescent="0.25">
      <c r="A751" s="29">
        <v>701</v>
      </c>
      <c r="B751" s="99">
        <f t="shared" si="86"/>
        <v>0</v>
      </c>
      <c r="C751" s="75">
        <f t="shared" si="90"/>
        <v>104.50616427295054</v>
      </c>
      <c r="D751" s="100">
        <f t="shared" si="87"/>
        <v>445.77777777777789</v>
      </c>
      <c r="E751">
        <f t="shared" si="83"/>
        <v>0</v>
      </c>
      <c r="G751">
        <v>701</v>
      </c>
      <c r="H751" s="15">
        <f t="shared" si="88"/>
        <v>3.3332641781285588E-2</v>
      </c>
      <c r="I751">
        <f t="shared" si="89"/>
        <v>127.87234616163174</v>
      </c>
      <c r="J751">
        <f t="shared" si="84"/>
        <v>476.30042539054909</v>
      </c>
      <c r="K751" s="30">
        <f t="shared" si="85"/>
        <v>7562.3812330604696</v>
      </c>
    </row>
    <row r="752" spans="1:11" x14ac:dyDescent="0.25">
      <c r="A752" s="29">
        <v>702</v>
      </c>
      <c r="B752" s="99">
        <f t="shared" si="86"/>
        <v>0</v>
      </c>
      <c r="C752" s="75">
        <f t="shared" si="90"/>
        <v>104.50616427295054</v>
      </c>
      <c r="D752" s="100">
        <f t="shared" si="87"/>
        <v>445.77777777777789</v>
      </c>
      <c r="E752">
        <f t="shared" si="83"/>
        <v>0</v>
      </c>
      <c r="G752">
        <v>702</v>
      </c>
      <c r="H752" s="15">
        <f t="shared" si="88"/>
        <v>3.3332641781285588E-2</v>
      </c>
      <c r="I752">
        <f t="shared" si="89"/>
        <v>127.90567880341302</v>
      </c>
      <c r="J752">
        <f t="shared" si="84"/>
        <v>476.32992016679395</v>
      </c>
      <c r="K752" s="30">
        <f t="shared" si="85"/>
        <v>7563.3174114205567</v>
      </c>
    </row>
    <row r="753" spans="1:11" x14ac:dyDescent="0.25">
      <c r="A753" s="29">
        <v>703</v>
      </c>
      <c r="B753" s="99">
        <f t="shared" si="86"/>
        <v>0</v>
      </c>
      <c r="C753" s="75">
        <f t="shared" si="90"/>
        <v>104.50616427295054</v>
      </c>
      <c r="D753" s="100">
        <f t="shared" si="87"/>
        <v>445.77777777777789</v>
      </c>
      <c r="E753">
        <f t="shared" si="83"/>
        <v>0</v>
      </c>
      <c r="G753">
        <v>703</v>
      </c>
      <c r="H753" s="15">
        <f t="shared" si="88"/>
        <v>3.3332641781285588E-2</v>
      </c>
      <c r="I753">
        <f t="shared" si="89"/>
        <v>127.93901144519431</v>
      </c>
      <c r="J753">
        <f t="shared" si="84"/>
        <v>476.35938858563327</v>
      </c>
      <c r="K753" s="30">
        <f t="shared" si="85"/>
        <v>7564.2528111674865</v>
      </c>
    </row>
    <row r="754" spans="1:11" x14ac:dyDescent="0.25">
      <c r="A754" s="29">
        <v>704</v>
      </c>
      <c r="B754" s="99">
        <f t="shared" si="86"/>
        <v>0</v>
      </c>
      <c r="C754" s="75">
        <f t="shared" si="90"/>
        <v>104.50616427295054</v>
      </c>
      <c r="D754" s="100">
        <f t="shared" si="87"/>
        <v>445.77777777777789</v>
      </c>
      <c r="E754">
        <f t="shared" si="83"/>
        <v>0</v>
      </c>
      <c r="G754">
        <v>704</v>
      </c>
      <c r="H754" s="15">
        <f t="shared" si="88"/>
        <v>3.3332641781285588E-2</v>
      </c>
      <c r="I754">
        <f t="shared" si="89"/>
        <v>127.9723440869756</v>
      </c>
      <c r="J754">
        <f t="shared" si="84"/>
        <v>476.38883067805745</v>
      </c>
      <c r="K754" s="30">
        <f t="shared" si="85"/>
        <v>7565.1874331323334</v>
      </c>
    </row>
    <row r="755" spans="1:11" x14ac:dyDescent="0.25">
      <c r="A755" s="29">
        <v>705</v>
      </c>
      <c r="B755" s="99">
        <f t="shared" si="86"/>
        <v>0</v>
      </c>
      <c r="C755" s="75">
        <f t="shared" si="90"/>
        <v>104.50616427295054</v>
      </c>
      <c r="D755" s="100">
        <f t="shared" si="87"/>
        <v>445.77777777777789</v>
      </c>
      <c r="E755">
        <f t="shared" ref="E755:E818" si="91">((D755^2)+(D755*D756)+(D756^2))*B756/3</f>
        <v>0</v>
      </c>
      <c r="G755">
        <v>705</v>
      </c>
      <c r="H755" s="15">
        <f t="shared" si="88"/>
        <v>3.3332641781299799E-2</v>
      </c>
      <c r="I755">
        <f t="shared" si="89"/>
        <v>128.0056767287569</v>
      </c>
      <c r="J755">
        <f t="shared" ref="J755:J818" si="92">IF($G$28&lt;$C$14,0,((($C$11^2)-((I755-$C$13)^2))^0.5)+$C$16)</f>
        <v>476.41824647498072</v>
      </c>
      <c r="K755" s="30">
        <f t="shared" ref="K755:K818" si="93">((J755^2)+(J755*J756)+(J756^2))*H756/3</f>
        <v>7566.1212781344702</v>
      </c>
    </row>
    <row r="756" spans="1:11" x14ac:dyDescent="0.25">
      <c r="A756" s="29">
        <v>706</v>
      </c>
      <c r="B756" s="99">
        <f t="shared" ref="B756:B819" si="94">C756-C755</f>
        <v>0</v>
      </c>
      <c r="C756" s="75">
        <f t="shared" si="90"/>
        <v>104.50616427295054</v>
      </c>
      <c r="D756" s="100">
        <f t="shared" ref="D756:D819" si="95">IF($G$28&lt;$C$14,0,((($C$11^2)-((C756-$C$13)^2))^0.5)+$C$16)</f>
        <v>445.77777777777789</v>
      </c>
      <c r="E756">
        <f t="shared" si="91"/>
        <v>0</v>
      </c>
      <c r="G756">
        <v>706</v>
      </c>
      <c r="H756" s="15">
        <f t="shared" ref="H756:H819" si="96">I756-I755</f>
        <v>3.3332641781299799E-2</v>
      </c>
      <c r="I756">
        <f t="shared" ref="I756:I819" si="97">($G$27-$C$14)/2000+I755</f>
        <v>128.0390093705382</v>
      </c>
      <c r="J756">
        <f t="shared" si="92"/>
        <v>476.44763600724139</v>
      </c>
      <c r="K756" s="30">
        <f t="shared" si="93"/>
        <v>7567.054347000917</v>
      </c>
    </row>
    <row r="757" spans="1:11" x14ac:dyDescent="0.25">
      <c r="A757" s="29">
        <v>707</v>
      </c>
      <c r="B757" s="99">
        <f t="shared" si="94"/>
        <v>0</v>
      </c>
      <c r="C757" s="75">
        <f t="shared" si="90"/>
        <v>104.50616427295054</v>
      </c>
      <c r="D757" s="100">
        <f t="shared" si="95"/>
        <v>445.77777777777789</v>
      </c>
      <c r="E757">
        <f t="shared" si="91"/>
        <v>0</v>
      </c>
      <c r="G757">
        <v>707</v>
      </c>
      <c r="H757" s="15">
        <f t="shared" si="96"/>
        <v>3.3332641781299799E-2</v>
      </c>
      <c r="I757">
        <f t="shared" si="97"/>
        <v>128.0723420123195</v>
      </c>
      <c r="J757">
        <f t="shared" si="92"/>
        <v>476.47699930560208</v>
      </c>
      <c r="K757" s="30">
        <f t="shared" si="93"/>
        <v>7567.9866405534403</v>
      </c>
    </row>
    <row r="758" spans="1:11" x14ac:dyDescent="0.25">
      <c r="A758" s="29">
        <v>708</v>
      </c>
      <c r="B758" s="99">
        <f t="shared" si="94"/>
        <v>0</v>
      </c>
      <c r="C758" s="75">
        <f t="shared" si="90"/>
        <v>104.50616427295054</v>
      </c>
      <c r="D758" s="100">
        <f t="shared" si="95"/>
        <v>445.77777777777789</v>
      </c>
      <c r="E758">
        <f t="shared" si="91"/>
        <v>0</v>
      </c>
      <c r="G758">
        <v>708</v>
      </c>
      <c r="H758" s="15">
        <f t="shared" si="96"/>
        <v>3.3332641781299799E-2</v>
      </c>
      <c r="I758">
        <f t="shared" si="97"/>
        <v>128.1056746541008</v>
      </c>
      <c r="J758">
        <f t="shared" si="92"/>
        <v>476.50633640075</v>
      </c>
      <c r="K758" s="30">
        <f t="shared" si="93"/>
        <v>7568.9181596118033</v>
      </c>
    </row>
    <row r="759" spans="1:11" x14ac:dyDescent="0.25">
      <c r="A759" s="29">
        <v>709</v>
      </c>
      <c r="B759" s="99">
        <f t="shared" si="94"/>
        <v>0</v>
      </c>
      <c r="C759" s="75">
        <f t="shared" si="90"/>
        <v>104.50616427295054</v>
      </c>
      <c r="D759" s="100">
        <f t="shared" si="95"/>
        <v>445.77777777777789</v>
      </c>
      <c r="E759">
        <f t="shared" si="91"/>
        <v>0</v>
      </c>
      <c r="G759">
        <v>709</v>
      </c>
      <c r="H759" s="15">
        <f t="shared" si="96"/>
        <v>3.3332641781299799E-2</v>
      </c>
      <c r="I759">
        <f t="shared" si="97"/>
        <v>128.1390072958821</v>
      </c>
      <c r="J759">
        <f t="shared" si="92"/>
        <v>476.53564732329721</v>
      </c>
      <c r="K759" s="30">
        <f t="shared" si="93"/>
        <v>7569.8489049937562</v>
      </c>
    </row>
    <row r="760" spans="1:11" x14ac:dyDescent="0.25">
      <c r="A760" s="29">
        <v>710</v>
      </c>
      <c r="B760" s="99">
        <f t="shared" si="94"/>
        <v>0</v>
      </c>
      <c r="C760" s="75">
        <f t="shared" si="90"/>
        <v>104.50616427295054</v>
      </c>
      <c r="D760" s="100">
        <f t="shared" si="95"/>
        <v>445.77777777777789</v>
      </c>
      <c r="E760">
        <f t="shared" si="91"/>
        <v>0</v>
      </c>
      <c r="G760">
        <v>710</v>
      </c>
      <c r="H760" s="15">
        <f t="shared" si="96"/>
        <v>3.3332641781299799E-2</v>
      </c>
      <c r="I760">
        <f t="shared" si="97"/>
        <v>128.17233993766339</v>
      </c>
      <c r="J760">
        <f t="shared" si="92"/>
        <v>476.56493210378085</v>
      </c>
      <c r="K760" s="30">
        <f t="shared" si="93"/>
        <v>7570.7788775150502</v>
      </c>
    </row>
    <row r="761" spans="1:11" x14ac:dyDescent="0.25">
      <c r="A761" s="29">
        <v>711</v>
      </c>
      <c r="B761" s="99">
        <f t="shared" si="94"/>
        <v>0</v>
      </c>
      <c r="C761" s="75">
        <f t="shared" si="90"/>
        <v>104.50616427295054</v>
      </c>
      <c r="D761" s="100">
        <f t="shared" si="95"/>
        <v>445.77777777777789</v>
      </c>
      <c r="E761">
        <f t="shared" si="91"/>
        <v>0</v>
      </c>
      <c r="G761">
        <v>711</v>
      </c>
      <c r="H761" s="15">
        <f t="shared" si="96"/>
        <v>3.3332641781299799E-2</v>
      </c>
      <c r="I761">
        <f t="shared" si="97"/>
        <v>128.20567257944469</v>
      </c>
      <c r="J761">
        <f t="shared" si="92"/>
        <v>476.59419077266335</v>
      </c>
      <c r="K761" s="30">
        <f t="shared" si="93"/>
        <v>7571.7080779894395</v>
      </c>
    </row>
    <row r="762" spans="1:11" x14ac:dyDescent="0.25">
      <c r="A762" s="29">
        <v>712</v>
      </c>
      <c r="B762" s="99">
        <f t="shared" si="94"/>
        <v>0</v>
      </c>
      <c r="C762" s="75">
        <f t="shared" si="90"/>
        <v>104.50616427295054</v>
      </c>
      <c r="D762" s="100">
        <f t="shared" si="95"/>
        <v>445.77777777777789</v>
      </c>
      <c r="E762">
        <f t="shared" si="91"/>
        <v>0</v>
      </c>
      <c r="G762">
        <v>712</v>
      </c>
      <c r="H762" s="15">
        <f t="shared" si="96"/>
        <v>3.3332641781299799E-2</v>
      </c>
      <c r="I762">
        <f t="shared" si="97"/>
        <v>128.23900522122599</v>
      </c>
      <c r="J762">
        <f t="shared" si="92"/>
        <v>476.62342336033282</v>
      </c>
      <c r="K762" s="30">
        <f t="shared" si="93"/>
        <v>7572.6365072287017</v>
      </c>
    </row>
    <row r="763" spans="1:11" x14ac:dyDescent="0.25">
      <c r="A763" s="29">
        <v>713</v>
      </c>
      <c r="B763" s="99">
        <f t="shared" si="94"/>
        <v>0</v>
      </c>
      <c r="C763" s="75">
        <f t="shared" si="90"/>
        <v>104.50616427295054</v>
      </c>
      <c r="D763" s="100">
        <f t="shared" si="95"/>
        <v>445.77777777777789</v>
      </c>
      <c r="E763">
        <f t="shared" si="91"/>
        <v>0</v>
      </c>
      <c r="G763">
        <v>713</v>
      </c>
      <c r="H763" s="15">
        <f t="shared" si="96"/>
        <v>3.3332641781299799E-2</v>
      </c>
      <c r="I763">
        <f t="shared" si="97"/>
        <v>128.27233786300729</v>
      </c>
      <c r="J763">
        <f t="shared" si="92"/>
        <v>476.65262989710322</v>
      </c>
      <c r="K763" s="30">
        <f t="shared" si="93"/>
        <v>7573.5641660426227</v>
      </c>
    </row>
    <row r="764" spans="1:11" x14ac:dyDescent="0.25">
      <c r="A764" s="29">
        <v>714</v>
      </c>
      <c r="B764" s="99">
        <f t="shared" si="94"/>
        <v>0</v>
      </c>
      <c r="C764" s="75">
        <f t="shared" si="90"/>
        <v>104.50616427295054</v>
      </c>
      <c r="D764" s="100">
        <f t="shared" si="95"/>
        <v>445.77777777777789</v>
      </c>
      <c r="E764">
        <f t="shared" si="91"/>
        <v>0</v>
      </c>
      <c r="G764">
        <v>714</v>
      </c>
      <c r="H764" s="15">
        <f t="shared" si="96"/>
        <v>3.3332641781299799E-2</v>
      </c>
      <c r="I764">
        <f t="shared" si="97"/>
        <v>128.30567050478859</v>
      </c>
      <c r="J764">
        <f t="shared" si="92"/>
        <v>476.68181041321441</v>
      </c>
      <c r="K764" s="30">
        <f t="shared" si="93"/>
        <v>7574.4910552390211</v>
      </c>
    </row>
    <row r="765" spans="1:11" x14ac:dyDescent="0.25">
      <c r="A765" s="29">
        <v>715</v>
      </c>
      <c r="B765" s="99">
        <f t="shared" si="94"/>
        <v>0</v>
      </c>
      <c r="C765" s="75">
        <f t="shared" si="90"/>
        <v>104.50616427295054</v>
      </c>
      <c r="D765" s="100">
        <f t="shared" si="95"/>
        <v>445.77777777777789</v>
      </c>
      <c r="E765">
        <f t="shared" si="91"/>
        <v>0</v>
      </c>
      <c r="G765">
        <v>715</v>
      </c>
      <c r="H765" s="15">
        <f t="shared" si="96"/>
        <v>3.3332641781299799E-2</v>
      </c>
      <c r="I765">
        <f t="shared" si="97"/>
        <v>128.33900314656989</v>
      </c>
      <c r="J765">
        <f t="shared" si="92"/>
        <v>476.71096493883283</v>
      </c>
      <c r="K765" s="30">
        <f t="shared" si="93"/>
        <v>7575.4171756237483</v>
      </c>
    </row>
    <row r="766" spans="1:11" x14ac:dyDescent="0.25">
      <c r="A766" s="29">
        <v>716</v>
      </c>
      <c r="B766" s="99">
        <f t="shared" si="94"/>
        <v>0</v>
      </c>
      <c r="C766" s="75">
        <f t="shared" si="90"/>
        <v>104.50616427295054</v>
      </c>
      <c r="D766" s="100">
        <f t="shared" si="95"/>
        <v>445.77777777777789</v>
      </c>
      <c r="E766">
        <f t="shared" si="91"/>
        <v>0</v>
      </c>
      <c r="G766">
        <v>716</v>
      </c>
      <c r="H766" s="15">
        <f t="shared" si="96"/>
        <v>3.3332641781299799E-2</v>
      </c>
      <c r="I766">
        <f t="shared" si="97"/>
        <v>128.37233578835119</v>
      </c>
      <c r="J766">
        <f t="shared" si="92"/>
        <v>476.74009350405134</v>
      </c>
      <c r="K766" s="30">
        <f t="shared" si="93"/>
        <v>7576.3425280006913</v>
      </c>
    </row>
    <row r="767" spans="1:11" x14ac:dyDescent="0.25">
      <c r="A767" s="29">
        <v>717</v>
      </c>
      <c r="B767" s="99">
        <f t="shared" si="94"/>
        <v>0</v>
      </c>
      <c r="C767" s="75">
        <f t="shared" si="90"/>
        <v>104.50616427295054</v>
      </c>
      <c r="D767" s="100">
        <f t="shared" si="95"/>
        <v>445.77777777777789</v>
      </c>
      <c r="E767">
        <f t="shared" si="91"/>
        <v>0</v>
      </c>
      <c r="G767">
        <v>717</v>
      </c>
      <c r="H767" s="15">
        <f t="shared" si="96"/>
        <v>3.3332641781299799E-2</v>
      </c>
      <c r="I767">
        <f t="shared" si="97"/>
        <v>128.40566843013249</v>
      </c>
      <c r="J767">
        <f t="shared" si="92"/>
        <v>476.7691961388897</v>
      </c>
      <c r="K767" s="30">
        <f t="shared" si="93"/>
        <v>7577.267113171788</v>
      </c>
    </row>
    <row r="768" spans="1:11" x14ac:dyDescent="0.25">
      <c r="A768" s="29">
        <v>718</v>
      </c>
      <c r="B768" s="99">
        <f t="shared" si="94"/>
        <v>0</v>
      </c>
      <c r="C768" s="75">
        <f t="shared" si="90"/>
        <v>104.50616427295054</v>
      </c>
      <c r="D768" s="100">
        <f t="shared" si="95"/>
        <v>445.77777777777789</v>
      </c>
      <c r="E768">
        <f t="shared" si="91"/>
        <v>0</v>
      </c>
      <c r="G768">
        <v>718</v>
      </c>
      <c r="H768" s="15">
        <f t="shared" si="96"/>
        <v>3.3332641781299799E-2</v>
      </c>
      <c r="I768">
        <f t="shared" si="97"/>
        <v>128.43900107191379</v>
      </c>
      <c r="J768">
        <f t="shared" si="92"/>
        <v>476.79827287329471</v>
      </c>
      <c r="K768" s="30">
        <f t="shared" si="93"/>
        <v>7578.1909319370288</v>
      </c>
    </row>
    <row r="769" spans="1:11" x14ac:dyDescent="0.25">
      <c r="A769" s="29">
        <v>719</v>
      </c>
      <c r="B769" s="99">
        <f t="shared" si="94"/>
        <v>0</v>
      </c>
      <c r="C769" s="75">
        <f t="shared" si="90"/>
        <v>104.50616427295054</v>
      </c>
      <c r="D769" s="100">
        <f t="shared" si="95"/>
        <v>445.77777777777789</v>
      </c>
      <c r="E769">
        <f t="shared" si="91"/>
        <v>0</v>
      </c>
      <c r="G769">
        <v>719</v>
      </c>
      <c r="H769" s="15">
        <f t="shared" si="96"/>
        <v>3.3332641781299799E-2</v>
      </c>
      <c r="I769">
        <f t="shared" si="97"/>
        <v>128.47233371369509</v>
      </c>
      <c r="J769">
        <f t="shared" si="92"/>
        <v>476.82732373714055</v>
      </c>
      <c r="K769" s="30">
        <f t="shared" si="93"/>
        <v>7579.1139850944601</v>
      </c>
    </row>
    <row r="770" spans="1:11" x14ac:dyDescent="0.25">
      <c r="A770" s="29">
        <v>720</v>
      </c>
      <c r="B770" s="99">
        <f t="shared" si="94"/>
        <v>0</v>
      </c>
      <c r="C770" s="75">
        <f t="shared" si="90"/>
        <v>104.50616427295054</v>
      </c>
      <c r="D770" s="100">
        <f t="shared" si="95"/>
        <v>445.77777777777789</v>
      </c>
      <c r="E770">
        <f t="shared" si="91"/>
        <v>0</v>
      </c>
      <c r="G770">
        <v>720</v>
      </c>
      <c r="H770" s="15">
        <f t="shared" si="96"/>
        <v>3.3332641781299799E-2</v>
      </c>
      <c r="I770">
        <f t="shared" si="97"/>
        <v>128.50566635547639</v>
      </c>
      <c r="J770">
        <f t="shared" si="92"/>
        <v>476.8563487602288</v>
      </c>
      <c r="K770" s="30">
        <f t="shared" si="93"/>
        <v>7580.0362734401933</v>
      </c>
    </row>
    <row r="771" spans="1:11" x14ac:dyDescent="0.25">
      <c r="A771" s="29">
        <v>721</v>
      </c>
      <c r="B771" s="99">
        <f t="shared" si="94"/>
        <v>0</v>
      </c>
      <c r="C771" s="75">
        <f t="shared" si="90"/>
        <v>104.50616427295054</v>
      </c>
      <c r="D771" s="100">
        <f t="shared" si="95"/>
        <v>445.77777777777789</v>
      </c>
      <c r="E771">
        <f t="shared" si="91"/>
        <v>0</v>
      </c>
      <c r="G771">
        <v>721</v>
      </c>
      <c r="H771" s="15">
        <f t="shared" si="96"/>
        <v>3.3332641781299799E-2</v>
      </c>
      <c r="I771">
        <f t="shared" si="97"/>
        <v>128.53899899725769</v>
      </c>
      <c r="J771">
        <f t="shared" si="92"/>
        <v>476.88534797228903</v>
      </c>
      <c r="K771" s="30">
        <f t="shared" si="93"/>
        <v>7580.9577977684175</v>
      </c>
    </row>
    <row r="772" spans="1:11" x14ac:dyDescent="0.25">
      <c r="A772" s="29">
        <v>722</v>
      </c>
      <c r="B772" s="99">
        <f t="shared" si="94"/>
        <v>0</v>
      </c>
      <c r="C772" s="75">
        <f t="shared" si="90"/>
        <v>104.50616427295054</v>
      </c>
      <c r="D772" s="100">
        <f t="shared" si="95"/>
        <v>445.77777777777789</v>
      </c>
      <c r="E772">
        <f t="shared" si="91"/>
        <v>0</v>
      </c>
      <c r="G772">
        <v>722</v>
      </c>
      <c r="H772" s="15">
        <f t="shared" si="96"/>
        <v>3.3332641781299799E-2</v>
      </c>
      <c r="I772">
        <f t="shared" si="97"/>
        <v>128.57233163903899</v>
      </c>
      <c r="J772">
        <f t="shared" si="92"/>
        <v>476.91432140297866</v>
      </c>
      <c r="K772" s="30">
        <f t="shared" si="93"/>
        <v>7581.8785588713945</v>
      </c>
    </row>
    <row r="773" spans="1:11" x14ac:dyDescent="0.25">
      <c r="A773" s="29">
        <v>723</v>
      </c>
      <c r="B773" s="99">
        <f t="shared" si="94"/>
        <v>0</v>
      </c>
      <c r="C773" s="75">
        <f t="shared" si="90"/>
        <v>104.50616427295054</v>
      </c>
      <c r="D773" s="100">
        <f t="shared" si="95"/>
        <v>445.77777777777789</v>
      </c>
      <c r="E773">
        <f t="shared" si="91"/>
        <v>0</v>
      </c>
      <c r="G773">
        <v>723</v>
      </c>
      <c r="H773" s="15">
        <f t="shared" si="96"/>
        <v>3.3332641781299799E-2</v>
      </c>
      <c r="I773">
        <f t="shared" si="97"/>
        <v>128.60566428082029</v>
      </c>
      <c r="J773">
        <f t="shared" si="92"/>
        <v>476.94326908188356</v>
      </c>
      <c r="K773" s="30">
        <f t="shared" si="93"/>
        <v>7582.798557539475</v>
      </c>
    </row>
    <row r="774" spans="1:11" x14ac:dyDescent="0.25">
      <c r="A774" s="29">
        <v>724</v>
      </c>
      <c r="B774" s="99">
        <f t="shared" si="94"/>
        <v>0</v>
      </c>
      <c r="C774" s="75">
        <f t="shared" si="90"/>
        <v>104.50616427295054</v>
      </c>
      <c r="D774" s="100">
        <f t="shared" si="95"/>
        <v>445.77777777777789</v>
      </c>
      <c r="E774">
        <f t="shared" si="91"/>
        <v>0</v>
      </c>
      <c r="G774">
        <v>724</v>
      </c>
      <c r="H774" s="15">
        <f t="shared" si="96"/>
        <v>3.3332641781299799E-2</v>
      </c>
      <c r="I774">
        <f t="shared" si="97"/>
        <v>128.63899692260159</v>
      </c>
      <c r="J774">
        <f t="shared" si="92"/>
        <v>476.97219103851802</v>
      </c>
      <c r="K774" s="30">
        <f t="shared" si="93"/>
        <v>7583.7177945610974</v>
      </c>
    </row>
    <row r="775" spans="1:11" x14ac:dyDescent="0.25">
      <c r="A775" s="29">
        <v>725</v>
      </c>
      <c r="B775" s="99">
        <f t="shared" si="94"/>
        <v>0</v>
      </c>
      <c r="C775" s="75">
        <f t="shared" si="90"/>
        <v>104.50616427295054</v>
      </c>
      <c r="D775" s="100">
        <f t="shared" si="95"/>
        <v>445.77777777777789</v>
      </c>
      <c r="E775">
        <f t="shared" si="91"/>
        <v>0</v>
      </c>
      <c r="G775">
        <v>725</v>
      </c>
      <c r="H775" s="15">
        <f t="shared" si="96"/>
        <v>3.3332641781299799E-2</v>
      </c>
      <c r="I775">
        <f t="shared" si="97"/>
        <v>128.67232956438289</v>
      </c>
      <c r="J775">
        <f t="shared" si="92"/>
        <v>477.00108730232506</v>
      </c>
      <c r="K775" s="30">
        <f t="shared" si="93"/>
        <v>7584.6362707228</v>
      </c>
    </row>
    <row r="776" spans="1:11" x14ac:dyDescent="0.25">
      <c r="A776" s="29">
        <v>726</v>
      </c>
      <c r="B776" s="99">
        <f t="shared" si="94"/>
        <v>0</v>
      </c>
      <c r="C776" s="75">
        <f t="shared" si="90"/>
        <v>104.50616427295054</v>
      </c>
      <c r="D776" s="100">
        <f t="shared" si="95"/>
        <v>445.77777777777789</v>
      </c>
      <c r="E776">
        <f t="shared" si="91"/>
        <v>0</v>
      </c>
      <c r="G776">
        <v>726</v>
      </c>
      <c r="H776" s="15">
        <f t="shared" si="96"/>
        <v>3.3332641781299799E-2</v>
      </c>
      <c r="I776">
        <f t="shared" si="97"/>
        <v>128.70566220616419</v>
      </c>
      <c r="J776">
        <f t="shared" si="92"/>
        <v>477.0299579026767</v>
      </c>
      <c r="K776" s="30">
        <f t="shared" si="93"/>
        <v>7585.5539868092228</v>
      </c>
    </row>
    <row r="777" spans="1:11" x14ac:dyDescent="0.25">
      <c r="A777" s="29">
        <v>727</v>
      </c>
      <c r="B777" s="99">
        <f t="shared" si="94"/>
        <v>0</v>
      </c>
      <c r="C777" s="75">
        <f t="shared" si="90"/>
        <v>104.50616427295054</v>
      </c>
      <c r="D777" s="100">
        <f t="shared" si="95"/>
        <v>445.77777777777789</v>
      </c>
      <c r="E777">
        <f t="shared" si="91"/>
        <v>0</v>
      </c>
      <c r="G777">
        <v>727</v>
      </c>
      <c r="H777" s="15">
        <f t="shared" si="96"/>
        <v>3.3332641781299799E-2</v>
      </c>
      <c r="I777">
        <f t="shared" si="97"/>
        <v>128.73899484794549</v>
      </c>
      <c r="J777">
        <f t="shared" si="92"/>
        <v>477.05880286887424</v>
      </c>
      <c r="K777" s="30">
        <f t="shared" si="93"/>
        <v>7586.470943603118</v>
      </c>
    </row>
    <row r="778" spans="1:11" x14ac:dyDescent="0.25">
      <c r="A778" s="29">
        <v>728</v>
      </c>
      <c r="B778" s="99">
        <f t="shared" si="94"/>
        <v>0</v>
      </c>
      <c r="C778" s="75">
        <f t="shared" si="90"/>
        <v>104.50616427295054</v>
      </c>
      <c r="D778" s="100">
        <f t="shared" si="95"/>
        <v>445.77777777777789</v>
      </c>
      <c r="E778">
        <f t="shared" si="91"/>
        <v>0</v>
      </c>
      <c r="G778">
        <v>728</v>
      </c>
      <c r="H778" s="15">
        <f t="shared" si="96"/>
        <v>3.3332641781299799E-2</v>
      </c>
      <c r="I778">
        <f t="shared" si="97"/>
        <v>128.77232748972679</v>
      </c>
      <c r="J778">
        <f t="shared" si="92"/>
        <v>477.08762223014833</v>
      </c>
      <c r="K778" s="30">
        <f t="shared" si="93"/>
        <v>7587.3871418853514</v>
      </c>
    </row>
    <row r="779" spans="1:11" x14ac:dyDescent="0.25">
      <c r="A779" s="29">
        <v>729</v>
      </c>
      <c r="B779" s="99">
        <f t="shared" si="94"/>
        <v>0</v>
      </c>
      <c r="C779" s="75">
        <f t="shared" si="90"/>
        <v>104.50616427295054</v>
      </c>
      <c r="D779" s="100">
        <f t="shared" si="95"/>
        <v>445.77777777777789</v>
      </c>
      <c r="E779">
        <f t="shared" si="91"/>
        <v>0</v>
      </c>
      <c r="G779">
        <v>729</v>
      </c>
      <c r="H779" s="15">
        <f t="shared" si="96"/>
        <v>3.3332641781299799E-2</v>
      </c>
      <c r="I779">
        <f t="shared" si="97"/>
        <v>128.80566013150809</v>
      </c>
      <c r="J779">
        <f t="shared" si="92"/>
        <v>477.11641601565941</v>
      </c>
      <c r="K779" s="30">
        <f t="shared" si="93"/>
        <v>7588.302582434917</v>
      </c>
    </row>
    <row r="780" spans="1:11" x14ac:dyDescent="0.25">
      <c r="A780" s="29">
        <v>730</v>
      </c>
      <c r="B780" s="99">
        <f t="shared" si="94"/>
        <v>0</v>
      </c>
      <c r="C780" s="75">
        <f t="shared" si="90"/>
        <v>104.50616427295054</v>
      </c>
      <c r="D780" s="100">
        <f t="shared" si="95"/>
        <v>445.77777777777789</v>
      </c>
      <c r="E780">
        <f t="shared" si="91"/>
        <v>0</v>
      </c>
      <c r="G780">
        <v>730</v>
      </c>
      <c r="H780" s="15">
        <f t="shared" si="96"/>
        <v>3.3332641781299799E-2</v>
      </c>
      <c r="I780">
        <f t="shared" si="97"/>
        <v>128.83899277328939</v>
      </c>
      <c r="J780">
        <f t="shared" si="92"/>
        <v>477.14518425449785</v>
      </c>
      <c r="K780" s="30">
        <f t="shared" si="93"/>
        <v>7589.2172660289316</v>
      </c>
    </row>
    <row r="781" spans="1:11" x14ac:dyDescent="0.25">
      <c r="A781" s="29">
        <v>731</v>
      </c>
      <c r="B781" s="99">
        <f t="shared" si="94"/>
        <v>0</v>
      </c>
      <c r="C781" s="75">
        <f t="shared" si="90"/>
        <v>104.50616427295054</v>
      </c>
      <c r="D781" s="100">
        <f t="shared" si="95"/>
        <v>445.77777777777789</v>
      </c>
      <c r="E781">
        <f t="shared" si="91"/>
        <v>0</v>
      </c>
      <c r="G781">
        <v>731</v>
      </c>
      <c r="H781" s="15">
        <f t="shared" si="96"/>
        <v>3.3332641781299799E-2</v>
      </c>
      <c r="I781">
        <f t="shared" si="97"/>
        <v>128.87232541507069</v>
      </c>
      <c r="J781">
        <f t="shared" si="92"/>
        <v>477.17392697568397</v>
      </c>
      <c r="K781" s="30">
        <f t="shared" si="93"/>
        <v>7590.1311934426449</v>
      </c>
    </row>
    <row r="782" spans="1:11" x14ac:dyDescent="0.25">
      <c r="A782" s="29">
        <v>732</v>
      </c>
      <c r="B782" s="99">
        <f t="shared" si="94"/>
        <v>0</v>
      </c>
      <c r="C782" s="75">
        <f t="shared" si="90"/>
        <v>104.50616427295054</v>
      </c>
      <c r="D782" s="100">
        <f t="shared" si="95"/>
        <v>445.77777777777789</v>
      </c>
      <c r="E782">
        <f t="shared" si="91"/>
        <v>0</v>
      </c>
      <c r="G782">
        <v>732</v>
      </c>
      <c r="H782" s="15">
        <f t="shared" si="96"/>
        <v>3.3332641781299799E-2</v>
      </c>
      <c r="I782">
        <f t="shared" si="97"/>
        <v>128.90565805685199</v>
      </c>
      <c r="J782">
        <f t="shared" si="92"/>
        <v>477.20264420816869</v>
      </c>
      <c r="K782" s="30">
        <f t="shared" si="93"/>
        <v>7591.0443654494566</v>
      </c>
    </row>
    <row r="783" spans="1:11" x14ac:dyDescent="0.25">
      <c r="A783" s="29">
        <v>733</v>
      </c>
      <c r="B783" s="99">
        <f t="shared" si="94"/>
        <v>0</v>
      </c>
      <c r="C783" s="75">
        <f t="shared" si="90"/>
        <v>104.50616427295054</v>
      </c>
      <c r="D783" s="100">
        <f t="shared" si="95"/>
        <v>445.77777777777789</v>
      </c>
      <c r="E783">
        <f t="shared" si="91"/>
        <v>0</v>
      </c>
      <c r="G783">
        <v>733</v>
      </c>
      <c r="H783" s="15">
        <f t="shared" si="96"/>
        <v>3.3332641781299799E-2</v>
      </c>
      <c r="I783">
        <f t="shared" si="97"/>
        <v>128.93899069863329</v>
      </c>
      <c r="J783">
        <f t="shared" si="92"/>
        <v>477.23133598083348</v>
      </c>
      <c r="K783" s="30">
        <f t="shared" si="93"/>
        <v>7591.9567828209065</v>
      </c>
    </row>
    <row r="784" spans="1:11" x14ac:dyDescent="0.25">
      <c r="A784" s="29">
        <v>734</v>
      </c>
      <c r="B784" s="99">
        <f t="shared" si="94"/>
        <v>0</v>
      </c>
      <c r="C784" s="75">
        <f t="shared" ref="C784:C847" si="98">($C$37-$C$36)/2000+C783</f>
        <v>104.50616427295054</v>
      </c>
      <c r="D784" s="100">
        <f t="shared" si="95"/>
        <v>445.77777777777789</v>
      </c>
      <c r="E784">
        <f t="shared" si="91"/>
        <v>0</v>
      </c>
      <c r="G784">
        <v>734</v>
      </c>
      <c r="H784" s="15">
        <f t="shared" si="96"/>
        <v>3.3332641781299799E-2</v>
      </c>
      <c r="I784">
        <f t="shared" si="97"/>
        <v>128.97232334041459</v>
      </c>
      <c r="J784">
        <f t="shared" si="92"/>
        <v>477.26000232249055</v>
      </c>
      <c r="K784" s="30">
        <f t="shared" si="93"/>
        <v>7592.8684463266882</v>
      </c>
    </row>
    <row r="785" spans="1:11" x14ac:dyDescent="0.25">
      <c r="A785" s="29">
        <v>735</v>
      </c>
      <c r="B785" s="99">
        <f t="shared" si="94"/>
        <v>0</v>
      </c>
      <c r="C785" s="75">
        <f t="shared" si="98"/>
        <v>104.50616427295054</v>
      </c>
      <c r="D785" s="100">
        <f t="shared" si="95"/>
        <v>445.77777777777789</v>
      </c>
      <c r="E785">
        <f t="shared" si="91"/>
        <v>0</v>
      </c>
      <c r="G785">
        <v>735</v>
      </c>
      <c r="H785" s="15">
        <f t="shared" si="96"/>
        <v>3.3332641781299799E-2</v>
      </c>
      <c r="I785">
        <f t="shared" si="97"/>
        <v>129.00565598219589</v>
      </c>
      <c r="J785">
        <f t="shared" si="92"/>
        <v>477.28864326188329</v>
      </c>
      <c r="K785" s="30">
        <f t="shared" si="93"/>
        <v>7593.7793567346562</v>
      </c>
    </row>
    <row r="786" spans="1:11" x14ac:dyDescent="0.25">
      <c r="A786" s="29">
        <v>736</v>
      </c>
      <c r="B786" s="99">
        <f t="shared" si="94"/>
        <v>0</v>
      </c>
      <c r="C786" s="75">
        <f t="shared" si="98"/>
        <v>104.50616427295054</v>
      </c>
      <c r="D786" s="100">
        <f t="shared" si="95"/>
        <v>445.77777777777789</v>
      </c>
      <c r="E786">
        <f t="shared" si="91"/>
        <v>0</v>
      </c>
      <c r="G786">
        <v>736</v>
      </c>
      <c r="H786" s="15">
        <f t="shared" si="96"/>
        <v>3.3332641781299799E-2</v>
      </c>
      <c r="I786">
        <f t="shared" si="97"/>
        <v>129.03898862397719</v>
      </c>
      <c r="J786">
        <f t="shared" si="92"/>
        <v>477.31725882768637</v>
      </c>
      <c r="K786" s="30">
        <f t="shared" si="93"/>
        <v>7594.6895148108297</v>
      </c>
    </row>
    <row r="787" spans="1:11" x14ac:dyDescent="0.25">
      <c r="A787" s="29">
        <v>737</v>
      </c>
      <c r="B787" s="99">
        <f t="shared" si="94"/>
        <v>0</v>
      </c>
      <c r="C787" s="75">
        <f t="shared" si="98"/>
        <v>104.50616427295054</v>
      </c>
      <c r="D787" s="100">
        <f t="shared" si="95"/>
        <v>445.77777777777789</v>
      </c>
      <c r="E787">
        <f t="shared" si="91"/>
        <v>0</v>
      </c>
      <c r="G787">
        <v>737</v>
      </c>
      <c r="H787" s="15">
        <f t="shared" si="96"/>
        <v>3.3332641781299799E-2</v>
      </c>
      <c r="I787">
        <f t="shared" si="97"/>
        <v>129.07232126575849</v>
      </c>
      <c r="J787">
        <f t="shared" si="92"/>
        <v>477.34584904850584</v>
      </c>
      <c r="K787" s="30">
        <f t="shared" si="93"/>
        <v>7595.598921319397</v>
      </c>
    </row>
    <row r="788" spans="1:11" x14ac:dyDescent="0.25">
      <c r="A788" s="29">
        <v>738</v>
      </c>
      <c r="B788" s="99">
        <f t="shared" si="94"/>
        <v>0</v>
      </c>
      <c r="C788" s="75">
        <f t="shared" si="98"/>
        <v>104.50616427295054</v>
      </c>
      <c r="D788" s="100">
        <f t="shared" si="95"/>
        <v>445.77777777777789</v>
      </c>
      <c r="E788">
        <f t="shared" si="91"/>
        <v>0</v>
      </c>
      <c r="G788">
        <v>738</v>
      </c>
      <c r="H788" s="15">
        <f t="shared" si="96"/>
        <v>3.3332641781299799E-2</v>
      </c>
      <c r="I788">
        <f t="shared" si="97"/>
        <v>129.10565390753979</v>
      </c>
      <c r="J788">
        <f t="shared" si="92"/>
        <v>477.37441395287959</v>
      </c>
      <c r="K788" s="30">
        <f t="shared" si="93"/>
        <v>7596.5075770227277</v>
      </c>
    </row>
    <row r="789" spans="1:11" x14ac:dyDescent="0.25">
      <c r="A789" s="29">
        <v>739</v>
      </c>
      <c r="B789" s="99">
        <f t="shared" si="94"/>
        <v>0</v>
      </c>
      <c r="C789" s="75">
        <f t="shared" si="98"/>
        <v>104.50616427295054</v>
      </c>
      <c r="D789" s="100">
        <f t="shared" si="95"/>
        <v>445.77777777777789</v>
      </c>
      <c r="E789">
        <f t="shared" si="91"/>
        <v>0</v>
      </c>
      <c r="G789">
        <v>739</v>
      </c>
      <c r="H789" s="15">
        <f t="shared" si="96"/>
        <v>3.3332641781299799E-2</v>
      </c>
      <c r="I789">
        <f t="shared" si="97"/>
        <v>129.13898654932109</v>
      </c>
      <c r="J789">
        <f t="shared" si="92"/>
        <v>477.40295356927749</v>
      </c>
      <c r="K789" s="30">
        <f t="shared" si="93"/>
        <v>7597.4154826813719</v>
      </c>
    </row>
    <row r="790" spans="1:11" x14ac:dyDescent="0.25">
      <c r="A790" s="29">
        <v>740</v>
      </c>
      <c r="B790" s="99">
        <f t="shared" si="94"/>
        <v>0</v>
      </c>
      <c r="C790" s="75">
        <f t="shared" si="98"/>
        <v>104.50616427295054</v>
      </c>
      <c r="D790" s="100">
        <f t="shared" si="95"/>
        <v>445.77777777777789</v>
      </c>
      <c r="E790">
        <f t="shared" si="91"/>
        <v>0</v>
      </c>
      <c r="G790">
        <v>740</v>
      </c>
      <c r="H790" s="15">
        <f t="shared" si="96"/>
        <v>3.3332641781299799E-2</v>
      </c>
      <c r="I790">
        <f t="shared" si="97"/>
        <v>129.17231919110239</v>
      </c>
      <c r="J790">
        <f t="shared" si="92"/>
        <v>477.43146792610156</v>
      </c>
      <c r="K790" s="30">
        <f t="shared" si="93"/>
        <v>7598.3226390540685</v>
      </c>
    </row>
    <row r="791" spans="1:11" x14ac:dyDescent="0.25">
      <c r="A791" s="29">
        <v>741</v>
      </c>
      <c r="B791" s="99">
        <f t="shared" si="94"/>
        <v>0</v>
      </c>
      <c r="C791" s="75">
        <f t="shared" si="98"/>
        <v>104.50616427295054</v>
      </c>
      <c r="D791" s="100">
        <f t="shared" si="95"/>
        <v>445.77777777777789</v>
      </c>
      <c r="E791">
        <f t="shared" si="91"/>
        <v>0</v>
      </c>
      <c r="G791">
        <v>741</v>
      </c>
      <c r="H791" s="15">
        <f t="shared" si="96"/>
        <v>3.3332641781299799E-2</v>
      </c>
      <c r="I791">
        <f t="shared" si="97"/>
        <v>129.20565183288369</v>
      </c>
      <c r="J791">
        <f t="shared" si="92"/>
        <v>477.45995705168622</v>
      </c>
      <c r="K791" s="30">
        <f t="shared" si="93"/>
        <v>7599.2290468977526</v>
      </c>
    </row>
    <row r="792" spans="1:11" x14ac:dyDescent="0.25">
      <c r="A792" s="29">
        <v>742</v>
      </c>
      <c r="B792" s="99">
        <f t="shared" si="94"/>
        <v>0</v>
      </c>
      <c r="C792" s="75">
        <f t="shared" si="98"/>
        <v>104.50616427295054</v>
      </c>
      <c r="D792" s="100">
        <f t="shared" si="95"/>
        <v>445.77777777777789</v>
      </c>
      <c r="E792">
        <f t="shared" si="91"/>
        <v>0</v>
      </c>
      <c r="G792">
        <v>742</v>
      </c>
      <c r="H792" s="15">
        <f t="shared" si="96"/>
        <v>3.3332641781299799E-2</v>
      </c>
      <c r="I792">
        <f t="shared" si="97"/>
        <v>129.23898447466499</v>
      </c>
      <c r="J792">
        <f t="shared" si="92"/>
        <v>477.48842097429849</v>
      </c>
      <c r="K792" s="30">
        <f t="shared" si="93"/>
        <v>7600.1347069675585</v>
      </c>
    </row>
    <row r="793" spans="1:11" x14ac:dyDescent="0.25">
      <c r="A793" s="29">
        <v>743</v>
      </c>
      <c r="B793" s="99">
        <f t="shared" si="94"/>
        <v>0</v>
      </c>
      <c r="C793" s="75">
        <f t="shared" si="98"/>
        <v>104.50616427295054</v>
      </c>
      <c r="D793" s="100">
        <f t="shared" si="95"/>
        <v>445.77777777777789</v>
      </c>
      <c r="E793">
        <f t="shared" si="91"/>
        <v>0</v>
      </c>
      <c r="G793">
        <v>743</v>
      </c>
      <c r="H793" s="15">
        <f t="shared" si="96"/>
        <v>3.3332641781299799E-2</v>
      </c>
      <c r="I793">
        <f t="shared" si="97"/>
        <v>129.27231711644629</v>
      </c>
      <c r="J793">
        <f t="shared" si="92"/>
        <v>477.51685972213824</v>
      </c>
      <c r="K793" s="30">
        <f t="shared" si="93"/>
        <v>7601.0396200168298</v>
      </c>
    </row>
    <row r="794" spans="1:11" x14ac:dyDescent="0.25">
      <c r="A794" s="29">
        <v>744</v>
      </c>
      <c r="B794" s="99">
        <f t="shared" si="94"/>
        <v>0</v>
      </c>
      <c r="C794" s="75">
        <f t="shared" si="98"/>
        <v>104.50616427295054</v>
      </c>
      <c r="D794" s="100">
        <f t="shared" si="95"/>
        <v>445.77777777777789</v>
      </c>
      <c r="E794">
        <f t="shared" si="91"/>
        <v>0</v>
      </c>
      <c r="G794">
        <v>744</v>
      </c>
      <c r="H794" s="15">
        <f t="shared" si="96"/>
        <v>3.3332641781299799E-2</v>
      </c>
      <c r="I794">
        <f t="shared" si="97"/>
        <v>129.30564975822759</v>
      </c>
      <c r="J794">
        <f t="shared" si="92"/>
        <v>477.54527332333839</v>
      </c>
      <c r="K794" s="30">
        <f t="shared" si="93"/>
        <v>7601.9437867971201</v>
      </c>
    </row>
    <row r="795" spans="1:11" x14ac:dyDescent="0.25">
      <c r="A795" s="29">
        <v>745</v>
      </c>
      <c r="B795" s="99">
        <f t="shared" si="94"/>
        <v>0</v>
      </c>
      <c r="C795" s="75">
        <f t="shared" si="98"/>
        <v>104.50616427295054</v>
      </c>
      <c r="D795" s="100">
        <f t="shared" si="95"/>
        <v>445.77777777777789</v>
      </c>
      <c r="E795">
        <f t="shared" si="91"/>
        <v>0</v>
      </c>
      <c r="G795">
        <v>745</v>
      </c>
      <c r="H795" s="15">
        <f t="shared" si="96"/>
        <v>3.3332641781299799E-2</v>
      </c>
      <c r="I795">
        <f t="shared" si="97"/>
        <v>129.33898240000889</v>
      </c>
      <c r="J795">
        <f t="shared" si="92"/>
        <v>477.57366180596523</v>
      </c>
      <c r="K795" s="30">
        <f t="shared" si="93"/>
        <v>7602.8472080582023</v>
      </c>
    </row>
    <row r="796" spans="1:11" x14ac:dyDescent="0.25">
      <c r="A796" s="29">
        <v>746</v>
      </c>
      <c r="B796" s="99">
        <f t="shared" si="94"/>
        <v>0</v>
      </c>
      <c r="C796" s="75">
        <f t="shared" si="98"/>
        <v>104.50616427295054</v>
      </c>
      <c r="D796" s="100">
        <f t="shared" si="95"/>
        <v>445.77777777777789</v>
      </c>
      <c r="E796">
        <f t="shared" si="91"/>
        <v>0</v>
      </c>
      <c r="G796">
        <v>746</v>
      </c>
      <c r="H796" s="15">
        <f t="shared" si="96"/>
        <v>3.3332641781299799E-2</v>
      </c>
      <c r="I796">
        <f t="shared" si="97"/>
        <v>129.37231504179019</v>
      </c>
      <c r="J796">
        <f t="shared" si="92"/>
        <v>477.60202519801845</v>
      </c>
      <c r="K796" s="30">
        <f t="shared" si="93"/>
        <v>7603.7498845480741</v>
      </c>
    </row>
    <row r="797" spans="1:11" x14ac:dyDescent="0.25">
      <c r="A797" s="29">
        <v>747</v>
      </c>
      <c r="B797" s="99">
        <f t="shared" si="94"/>
        <v>0</v>
      </c>
      <c r="C797" s="75">
        <f t="shared" si="98"/>
        <v>104.50616427295054</v>
      </c>
      <c r="D797" s="100">
        <f t="shared" si="95"/>
        <v>445.77777777777789</v>
      </c>
      <c r="E797">
        <f t="shared" si="91"/>
        <v>0</v>
      </c>
      <c r="G797">
        <v>747</v>
      </c>
      <c r="H797" s="15">
        <f t="shared" si="96"/>
        <v>3.3332641781299799E-2</v>
      </c>
      <c r="I797">
        <f t="shared" si="97"/>
        <v>129.40564768357149</v>
      </c>
      <c r="J797">
        <f t="shared" si="92"/>
        <v>477.63036352743148</v>
      </c>
      <c r="K797" s="30">
        <f t="shared" si="93"/>
        <v>7604.6518170129611</v>
      </c>
    </row>
    <row r="798" spans="1:11" x14ac:dyDescent="0.25">
      <c r="A798" s="29">
        <v>748</v>
      </c>
      <c r="B798" s="99">
        <f t="shared" si="94"/>
        <v>0</v>
      </c>
      <c r="C798" s="75">
        <f t="shared" si="98"/>
        <v>104.50616427295054</v>
      </c>
      <c r="D798" s="100">
        <f t="shared" si="95"/>
        <v>445.77777777777789</v>
      </c>
      <c r="E798">
        <f t="shared" si="91"/>
        <v>0</v>
      </c>
      <c r="G798">
        <v>748</v>
      </c>
      <c r="H798" s="15">
        <f t="shared" si="96"/>
        <v>3.3332641781299799E-2</v>
      </c>
      <c r="I798">
        <f t="shared" si="97"/>
        <v>129.43898032535279</v>
      </c>
      <c r="J798">
        <f t="shared" si="92"/>
        <v>477.65867682207158</v>
      </c>
      <c r="K798" s="30">
        <f t="shared" si="93"/>
        <v>7605.553006197325</v>
      </c>
    </row>
    <row r="799" spans="1:11" x14ac:dyDescent="0.25">
      <c r="A799" s="29">
        <v>749</v>
      </c>
      <c r="B799" s="99">
        <f t="shared" si="94"/>
        <v>0</v>
      </c>
      <c r="C799" s="75">
        <f t="shared" si="98"/>
        <v>104.50616427295054</v>
      </c>
      <c r="D799" s="100">
        <f t="shared" si="95"/>
        <v>445.77777777777789</v>
      </c>
      <c r="E799">
        <f t="shared" si="91"/>
        <v>0</v>
      </c>
      <c r="G799">
        <v>749</v>
      </c>
      <c r="H799" s="15">
        <f t="shared" si="96"/>
        <v>3.3332641781299799E-2</v>
      </c>
      <c r="I799">
        <f t="shared" si="97"/>
        <v>129.47231296713409</v>
      </c>
      <c r="J799">
        <f t="shared" si="92"/>
        <v>477.6869651097403</v>
      </c>
      <c r="K799" s="30">
        <f t="shared" si="93"/>
        <v>7606.4534528438699</v>
      </c>
    </row>
    <row r="800" spans="1:11" x14ac:dyDescent="0.25">
      <c r="A800" s="29">
        <v>750</v>
      </c>
      <c r="B800" s="99">
        <f t="shared" si="94"/>
        <v>0</v>
      </c>
      <c r="C800" s="75">
        <f t="shared" si="98"/>
        <v>104.50616427295054</v>
      </c>
      <c r="D800" s="100">
        <f t="shared" si="95"/>
        <v>445.77777777777789</v>
      </c>
      <c r="E800">
        <f t="shared" si="91"/>
        <v>0</v>
      </c>
      <c r="G800">
        <v>750</v>
      </c>
      <c r="H800" s="15">
        <f t="shared" si="96"/>
        <v>3.3332641781299799E-2</v>
      </c>
      <c r="I800">
        <f t="shared" si="97"/>
        <v>129.50564560891539</v>
      </c>
      <c r="J800">
        <f t="shared" si="92"/>
        <v>477.71522841817341</v>
      </c>
      <c r="K800" s="30">
        <f t="shared" si="93"/>
        <v>7607.3531576935466</v>
      </c>
    </row>
    <row r="801" spans="1:11" x14ac:dyDescent="0.25">
      <c r="A801" s="29">
        <v>751</v>
      </c>
      <c r="B801" s="99">
        <f t="shared" si="94"/>
        <v>0</v>
      </c>
      <c r="C801" s="75">
        <f t="shared" si="98"/>
        <v>104.50616427295054</v>
      </c>
      <c r="D801" s="100">
        <f t="shared" si="95"/>
        <v>445.77777777777789</v>
      </c>
      <c r="E801">
        <f t="shared" si="91"/>
        <v>0</v>
      </c>
      <c r="G801">
        <v>751</v>
      </c>
      <c r="H801" s="15">
        <f t="shared" si="96"/>
        <v>3.3332641781299799E-2</v>
      </c>
      <c r="I801">
        <f t="shared" si="97"/>
        <v>129.53897825069669</v>
      </c>
      <c r="J801">
        <f t="shared" si="92"/>
        <v>477.74346677504138</v>
      </c>
      <c r="K801" s="30">
        <f t="shared" si="93"/>
        <v>7608.2521214855597</v>
      </c>
    </row>
    <row r="802" spans="1:11" x14ac:dyDescent="0.25">
      <c r="A802" s="29">
        <v>752</v>
      </c>
      <c r="B802" s="99">
        <f t="shared" si="94"/>
        <v>0</v>
      </c>
      <c r="C802" s="75">
        <f t="shared" si="98"/>
        <v>104.50616427295054</v>
      </c>
      <c r="D802" s="100">
        <f t="shared" si="95"/>
        <v>445.77777777777789</v>
      </c>
      <c r="E802">
        <f t="shared" si="91"/>
        <v>0</v>
      </c>
      <c r="G802">
        <v>752</v>
      </c>
      <c r="H802" s="15">
        <f t="shared" si="96"/>
        <v>3.3332641781299799E-2</v>
      </c>
      <c r="I802">
        <f t="shared" si="97"/>
        <v>129.57231089247799</v>
      </c>
      <c r="J802">
        <f t="shared" si="92"/>
        <v>477.77168020794932</v>
      </c>
      <c r="K802" s="30">
        <f t="shared" si="93"/>
        <v>7609.1503449573684</v>
      </c>
    </row>
    <row r="803" spans="1:11" x14ac:dyDescent="0.25">
      <c r="A803" s="29">
        <v>753</v>
      </c>
      <c r="B803" s="99">
        <f t="shared" si="94"/>
        <v>0</v>
      </c>
      <c r="C803" s="75">
        <f t="shared" si="98"/>
        <v>104.50616427295054</v>
      </c>
      <c r="D803" s="100">
        <f t="shared" si="95"/>
        <v>445.77777777777789</v>
      </c>
      <c r="E803">
        <f t="shared" si="91"/>
        <v>0</v>
      </c>
      <c r="G803">
        <v>753</v>
      </c>
      <c r="H803" s="15">
        <f t="shared" si="96"/>
        <v>3.3332641781299799E-2</v>
      </c>
      <c r="I803">
        <f t="shared" si="97"/>
        <v>129.60564353425929</v>
      </c>
      <c r="J803">
        <f t="shared" si="92"/>
        <v>477.79986874443739</v>
      </c>
      <c r="K803" s="30">
        <f t="shared" si="93"/>
        <v>7610.0478288447002</v>
      </c>
    </row>
    <row r="804" spans="1:11" x14ac:dyDescent="0.25">
      <c r="A804" s="29">
        <v>754</v>
      </c>
      <c r="B804" s="99">
        <f t="shared" si="94"/>
        <v>0</v>
      </c>
      <c r="C804" s="75">
        <f t="shared" si="98"/>
        <v>104.50616427295054</v>
      </c>
      <c r="D804" s="100">
        <f t="shared" si="95"/>
        <v>445.77777777777789</v>
      </c>
      <c r="E804">
        <f t="shared" si="91"/>
        <v>0</v>
      </c>
      <c r="G804">
        <v>754</v>
      </c>
      <c r="H804" s="15">
        <f t="shared" si="96"/>
        <v>3.3332641781299799E-2</v>
      </c>
      <c r="I804">
        <f t="shared" si="97"/>
        <v>129.63897617604059</v>
      </c>
      <c r="J804">
        <f t="shared" si="92"/>
        <v>477.82803241198098</v>
      </c>
      <c r="K804" s="30">
        <f t="shared" si="93"/>
        <v>7610.9445738815448</v>
      </c>
    </row>
    <row r="805" spans="1:11" x14ac:dyDescent="0.25">
      <c r="A805" s="29">
        <v>755</v>
      </c>
      <c r="B805" s="99">
        <f t="shared" si="94"/>
        <v>0</v>
      </c>
      <c r="C805" s="75">
        <f t="shared" si="98"/>
        <v>104.50616427295054</v>
      </c>
      <c r="D805" s="100">
        <f t="shared" si="95"/>
        <v>445.77777777777789</v>
      </c>
      <c r="E805">
        <f t="shared" si="91"/>
        <v>0</v>
      </c>
      <c r="G805">
        <v>755</v>
      </c>
      <c r="H805" s="15">
        <f t="shared" si="96"/>
        <v>3.3332641781299799E-2</v>
      </c>
      <c r="I805">
        <f t="shared" si="97"/>
        <v>129.67230881782189</v>
      </c>
      <c r="J805">
        <f t="shared" si="92"/>
        <v>477.85617123799068</v>
      </c>
      <c r="K805" s="30">
        <f t="shared" si="93"/>
        <v>7611.8405808001771</v>
      </c>
    </row>
    <row r="806" spans="1:11" x14ac:dyDescent="0.25">
      <c r="A806" s="29">
        <v>756</v>
      </c>
      <c r="B806" s="99">
        <f t="shared" si="94"/>
        <v>0</v>
      </c>
      <c r="C806" s="75">
        <f t="shared" si="98"/>
        <v>104.50616427295054</v>
      </c>
      <c r="D806" s="100">
        <f t="shared" si="95"/>
        <v>445.77777777777789</v>
      </c>
      <c r="E806">
        <f t="shared" si="91"/>
        <v>0</v>
      </c>
      <c r="G806">
        <v>756</v>
      </c>
      <c r="H806" s="15">
        <f t="shared" si="96"/>
        <v>3.3332641781299799E-2</v>
      </c>
      <c r="I806">
        <f t="shared" si="97"/>
        <v>129.70564145960319</v>
      </c>
      <c r="J806">
        <f t="shared" si="92"/>
        <v>477.88428524981293</v>
      </c>
      <c r="K806" s="30">
        <f t="shared" si="93"/>
        <v>7612.7358503311443</v>
      </c>
    </row>
    <row r="807" spans="1:11" x14ac:dyDescent="0.25">
      <c r="A807" s="29">
        <v>757</v>
      </c>
      <c r="B807" s="99">
        <f t="shared" si="94"/>
        <v>0</v>
      </c>
      <c r="C807" s="75">
        <f t="shared" si="98"/>
        <v>104.50616427295054</v>
      </c>
      <c r="D807" s="100">
        <f t="shared" si="95"/>
        <v>445.77777777777789</v>
      </c>
      <c r="E807">
        <f t="shared" si="91"/>
        <v>0</v>
      </c>
      <c r="G807">
        <v>757</v>
      </c>
      <c r="H807" s="15">
        <f t="shared" si="96"/>
        <v>3.3332641781299799E-2</v>
      </c>
      <c r="I807">
        <f t="shared" si="97"/>
        <v>129.73897410138449</v>
      </c>
      <c r="J807">
        <f t="shared" si="92"/>
        <v>477.91237447472992</v>
      </c>
      <c r="K807" s="30">
        <f t="shared" si="93"/>
        <v>7613.6303832032827</v>
      </c>
    </row>
    <row r="808" spans="1:11" x14ac:dyDescent="0.25">
      <c r="A808" s="29">
        <v>758</v>
      </c>
      <c r="B808" s="99">
        <f t="shared" si="94"/>
        <v>0</v>
      </c>
      <c r="C808" s="75">
        <f t="shared" si="98"/>
        <v>104.50616427295054</v>
      </c>
      <c r="D808" s="100">
        <f t="shared" si="95"/>
        <v>445.77777777777789</v>
      </c>
      <c r="E808">
        <f t="shared" si="91"/>
        <v>0</v>
      </c>
      <c r="G808">
        <v>758</v>
      </c>
      <c r="H808" s="15">
        <f t="shared" si="96"/>
        <v>3.3332641781299799E-2</v>
      </c>
      <c r="I808">
        <f t="shared" si="97"/>
        <v>129.77230674316579</v>
      </c>
      <c r="J808">
        <f t="shared" si="92"/>
        <v>477.94043893995973</v>
      </c>
      <c r="K808" s="30">
        <f t="shared" si="93"/>
        <v>7614.5241801437187</v>
      </c>
    </row>
    <row r="809" spans="1:11" x14ac:dyDescent="0.25">
      <c r="A809" s="29">
        <v>759</v>
      </c>
      <c r="B809" s="99">
        <f t="shared" si="94"/>
        <v>0</v>
      </c>
      <c r="C809" s="75">
        <f t="shared" si="98"/>
        <v>104.50616427295054</v>
      </c>
      <c r="D809" s="100">
        <f t="shared" si="95"/>
        <v>445.77777777777789</v>
      </c>
      <c r="E809">
        <f t="shared" si="91"/>
        <v>0</v>
      </c>
      <c r="G809">
        <v>759</v>
      </c>
      <c r="H809" s="15">
        <f t="shared" si="96"/>
        <v>3.3332641781299799E-2</v>
      </c>
      <c r="I809">
        <f t="shared" si="97"/>
        <v>129.80563938494709</v>
      </c>
      <c r="J809">
        <f t="shared" si="92"/>
        <v>477.96847867265683</v>
      </c>
      <c r="K809" s="30">
        <f t="shared" si="93"/>
        <v>7615.4172418778799</v>
      </c>
    </row>
    <row r="810" spans="1:11" x14ac:dyDescent="0.25">
      <c r="A810" s="29">
        <v>760</v>
      </c>
      <c r="B810" s="99">
        <f t="shared" si="94"/>
        <v>0</v>
      </c>
      <c r="C810" s="75">
        <f t="shared" si="98"/>
        <v>104.50616427295054</v>
      </c>
      <c r="D810" s="100">
        <f t="shared" si="95"/>
        <v>445.77777777777789</v>
      </c>
      <c r="E810">
        <f t="shared" si="91"/>
        <v>0</v>
      </c>
      <c r="G810">
        <v>760</v>
      </c>
      <c r="H810" s="15">
        <f t="shared" si="96"/>
        <v>3.3332641781299799E-2</v>
      </c>
      <c r="I810">
        <f t="shared" si="97"/>
        <v>129.83897202672838</v>
      </c>
      <c r="J810">
        <f t="shared" si="92"/>
        <v>477.99649369991209</v>
      </c>
      <c r="K810" s="30">
        <f t="shared" si="93"/>
        <v>7616.309569129492</v>
      </c>
    </row>
    <row r="811" spans="1:11" x14ac:dyDescent="0.25">
      <c r="A811" s="29">
        <v>761</v>
      </c>
      <c r="B811" s="99">
        <f t="shared" si="94"/>
        <v>0</v>
      </c>
      <c r="C811" s="75">
        <f t="shared" si="98"/>
        <v>104.50616427295054</v>
      </c>
      <c r="D811" s="100">
        <f t="shared" si="95"/>
        <v>445.77777777777789</v>
      </c>
      <c r="E811">
        <f t="shared" si="91"/>
        <v>0</v>
      </c>
      <c r="G811">
        <v>761</v>
      </c>
      <c r="H811" s="15">
        <f t="shared" si="96"/>
        <v>3.3332641781299799E-2</v>
      </c>
      <c r="I811">
        <f t="shared" si="97"/>
        <v>129.87230466850968</v>
      </c>
      <c r="J811">
        <f t="shared" si="92"/>
        <v>478.02448404875287</v>
      </c>
      <c r="K811" s="30">
        <f t="shared" si="93"/>
        <v>7617.2011626205895</v>
      </c>
    </row>
    <row r="812" spans="1:11" x14ac:dyDescent="0.25">
      <c r="A812" s="29">
        <v>762</v>
      </c>
      <c r="B812" s="99">
        <f t="shared" si="94"/>
        <v>0</v>
      </c>
      <c r="C812" s="75">
        <f t="shared" si="98"/>
        <v>104.50616427295054</v>
      </c>
      <c r="D812" s="100">
        <f t="shared" si="95"/>
        <v>445.77777777777789</v>
      </c>
      <c r="E812">
        <f t="shared" si="91"/>
        <v>0</v>
      </c>
      <c r="G812">
        <v>762</v>
      </c>
      <c r="H812" s="15">
        <f t="shared" si="96"/>
        <v>3.3332641781299799E-2</v>
      </c>
      <c r="I812">
        <f t="shared" si="97"/>
        <v>129.90563731029098</v>
      </c>
      <c r="J812">
        <f t="shared" si="92"/>
        <v>478.05244974614351</v>
      </c>
      <c r="K812" s="30">
        <f t="shared" si="93"/>
        <v>7618.092023071521</v>
      </c>
    </row>
    <row r="813" spans="1:11" x14ac:dyDescent="0.25">
      <c r="A813" s="29">
        <v>763</v>
      </c>
      <c r="B813" s="99">
        <f t="shared" si="94"/>
        <v>0</v>
      </c>
      <c r="C813" s="75">
        <f t="shared" si="98"/>
        <v>104.50616427295054</v>
      </c>
      <c r="D813" s="100">
        <f t="shared" si="95"/>
        <v>445.77777777777789</v>
      </c>
      <c r="E813">
        <f t="shared" si="91"/>
        <v>0</v>
      </c>
      <c r="G813">
        <v>763</v>
      </c>
      <c r="H813" s="15">
        <f t="shared" si="96"/>
        <v>3.3332641781299799E-2</v>
      </c>
      <c r="I813">
        <f t="shared" si="97"/>
        <v>129.93896995207228</v>
      </c>
      <c r="J813">
        <f t="shared" si="92"/>
        <v>478.08039081898539</v>
      </c>
      <c r="K813" s="30">
        <f t="shared" si="93"/>
        <v>7618.9821512009521</v>
      </c>
    </row>
    <row r="814" spans="1:11" x14ac:dyDescent="0.25">
      <c r="A814" s="29">
        <v>764</v>
      </c>
      <c r="B814" s="99">
        <f t="shared" si="94"/>
        <v>0</v>
      </c>
      <c r="C814" s="75">
        <f t="shared" si="98"/>
        <v>104.50616427295054</v>
      </c>
      <c r="D814" s="100">
        <f t="shared" si="95"/>
        <v>445.77777777777789</v>
      </c>
      <c r="E814">
        <f t="shared" si="91"/>
        <v>0</v>
      </c>
      <c r="G814">
        <v>764</v>
      </c>
      <c r="H814" s="15">
        <f t="shared" si="96"/>
        <v>3.3332641781299799E-2</v>
      </c>
      <c r="I814">
        <f t="shared" si="97"/>
        <v>129.97230259385358</v>
      </c>
      <c r="J814">
        <f t="shared" si="92"/>
        <v>478.10830729411703</v>
      </c>
      <c r="K814" s="30">
        <f t="shared" si="93"/>
        <v>7619.8715477258766</v>
      </c>
    </row>
    <row r="815" spans="1:11" x14ac:dyDescent="0.25">
      <c r="A815" s="29">
        <v>765</v>
      </c>
      <c r="B815" s="99">
        <f t="shared" si="94"/>
        <v>0</v>
      </c>
      <c r="C815" s="75">
        <f t="shared" si="98"/>
        <v>104.50616427295054</v>
      </c>
      <c r="D815" s="100">
        <f t="shared" si="95"/>
        <v>445.77777777777789</v>
      </c>
      <c r="E815">
        <f t="shared" si="91"/>
        <v>0</v>
      </c>
      <c r="G815">
        <v>765</v>
      </c>
      <c r="H815" s="15">
        <f t="shared" si="96"/>
        <v>3.3332641781299799E-2</v>
      </c>
      <c r="I815">
        <f t="shared" si="97"/>
        <v>130.00563523563488</v>
      </c>
      <c r="J815">
        <f t="shared" si="92"/>
        <v>478.13619919831444</v>
      </c>
      <c r="K815" s="30">
        <f t="shared" si="93"/>
        <v>7620.7602133616092</v>
      </c>
    </row>
    <row r="816" spans="1:11" x14ac:dyDescent="0.25">
      <c r="A816" s="29">
        <v>766</v>
      </c>
      <c r="B816" s="99">
        <f t="shared" si="94"/>
        <v>0</v>
      </c>
      <c r="C816" s="75">
        <f t="shared" si="98"/>
        <v>104.50616427295054</v>
      </c>
      <c r="D816" s="100">
        <f t="shared" si="95"/>
        <v>445.77777777777789</v>
      </c>
      <c r="E816">
        <f t="shared" si="91"/>
        <v>0</v>
      </c>
      <c r="G816">
        <v>766</v>
      </c>
      <c r="H816" s="15">
        <f t="shared" si="96"/>
        <v>3.3332641781299799E-2</v>
      </c>
      <c r="I816">
        <f t="shared" si="97"/>
        <v>130.03896787741618</v>
      </c>
      <c r="J816">
        <f t="shared" si="92"/>
        <v>478.16406655829121</v>
      </c>
      <c r="K816" s="30">
        <f t="shared" si="93"/>
        <v>7621.6481488218087</v>
      </c>
    </row>
    <row r="817" spans="1:11" x14ac:dyDescent="0.25">
      <c r="A817" s="29">
        <v>767</v>
      </c>
      <c r="B817" s="99">
        <f t="shared" si="94"/>
        <v>0</v>
      </c>
      <c r="C817" s="75">
        <f t="shared" si="98"/>
        <v>104.50616427295054</v>
      </c>
      <c r="D817" s="100">
        <f t="shared" si="95"/>
        <v>445.77777777777789</v>
      </c>
      <c r="E817">
        <f t="shared" si="91"/>
        <v>0</v>
      </c>
      <c r="G817">
        <v>767</v>
      </c>
      <c r="H817" s="15">
        <f t="shared" si="96"/>
        <v>3.3332641781299799E-2</v>
      </c>
      <c r="I817">
        <f t="shared" si="97"/>
        <v>130.07230051919748</v>
      </c>
      <c r="J817">
        <f t="shared" si="92"/>
        <v>478.19190940069893</v>
      </c>
      <c r="K817" s="30">
        <f t="shared" si="93"/>
        <v>7622.5353548184685</v>
      </c>
    </row>
    <row r="818" spans="1:11" x14ac:dyDescent="0.25">
      <c r="A818" s="29">
        <v>768</v>
      </c>
      <c r="B818" s="99">
        <f t="shared" si="94"/>
        <v>0</v>
      </c>
      <c r="C818" s="75">
        <f t="shared" si="98"/>
        <v>104.50616427295054</v>
      </c>
      <c r="D818" s="100">
        <f t="shared" si="95"/>
        <v>445.77777777777789</v>
      </c>
      <c r="E818">
        <f t="shared" si="91"/>
        <v>0</v>
      </c>
      <c r="G818">
        <v>768</v>
      </c>
      <c r="H818" s="15">
        <f t="shared" si="96"/>
        <v>3.3332641781299799E-2</v>
      </c>
      <c r="I818">
        <f t="shared" si="97"/>
        <v>130.10563316097878</v>
      </c>
      <c r="J818">
        <f t="shared" si="92"/>
        <v>478.21972775212703</v>
      </c>
      <c r="K818" s="30">
        <f t="shared" si="93"/>
        <v>7623.4218320619302</v>
      </c>
    </row>
    <row r="819" spans="1:11" x14ac:dyDescent="0.25">
      <c r="A819" s="29">
        <v>769</v>
      </c>
      <c r="B819" s="99">
        <f t="shared" si="94"/>
        <v>0</v>
      </c>
      <c r="C819" s="75">
        <f t="shared" si="98"/>
        <v>104.50616427295054</v>
      </c>
      <c r="D819" s="100">
        <f t="shared" si="95"/>
        <v>445.77777777777789</v>
      </c>
      <c r="E819">
        <f t="shared" ref="E819:E882" si="99">((D819^2)+(D819*D820)+(D820^2))*B820/3</f>
        <v>0</v>
      </c>
      <c r="G819">
        <v>769</v>
      </c>
      <c r="H819" s="15">
        <f t="shared" si="96"/>
        <v>3.3332641781299799E-2</v>
      </c>
      <c r="I819">
        <f t="shared" si="97"/>
        <v>130.13896580276008</v>
      </c>
      <c r="J819">
        <f t="shared" ref="J819:J882" si="100">IF($G$28&lt;$C$14,0,((($C$11^2)-((I819-$C$13)^2))^0.5)+$C$16)</f>
        <v>478.2475216391033</v>
      </c>
      <c r="K819" s="30">
        <f t="shared" ref="K819:K882" si="101">((J819^2)+(J819*J820)+(J820^2))*H820/3</f>
        <v>7624.3075812608813</v>
      </c>
    </row>
    <row r="820" spans="1:11" x14ac:dyDescent="0.25">
      <c r="A820" s="29">
        <v>770</v>
      </c>
      <c r="B820" s="99">
        <f t="shared" ref="B820:B883" si="102">C820-C819</f>
        <v>0</v>
      </c>
      <c r="C820" s="75">
        <f t="shared" si="98"/>
        <v>104.50616427295054</v>
      </c>
      <c r="D820" s="100">
        <f t="shared" ref="D820:D883" si="103">IF($G$28&lt;$C$14,0,((($C$11^2)-((C820-$C$13)^2))^0.5)+$C$16)</f>
        <v>445.77777777777789</v>
      </c>
      <c r="E820">
        <f t="shared" si="99"/>
        <v>0</v>
      </c>
      <c r="G820">
        <v>770</v>
      </c>
      <c r="H820" s="15">
        <f t="shared" ref="H820:H883" si="104">I820-I819</f>
        <v>3.3332641781299799E-2</v>
      </c>
      <c r="I820">
        <f t="shared" ref="I820:I883" si="105">($G$27-$C$14)/2000+I819</f>
        <v>130.17229844454138</v>
      </c>
      <c r="J820">
        <f t="shared" si="100"/>
        <v>478.27529108809381</v>
      </c>
      <c r="K820" s="30">
        <f t="shared" si="101"/>
        <v>7625.1926031223693</v>
      </c>
    </row>
    <row r="821" spans="1:11" x14ac:dyDescent="0.25">
      <c r="A821" s="29">
        <v>771</v>
      </c>
      <c r="B821" s="99">
        <f t="shared" si="102"/>
        <v>0</v>
      </c>
      <c r="C821" s="75">
        <f t="shared" si="98"/>
        <v>104.50616427295054</v>
      </c>
      <c r="D821" s="100">
        <f t="shared" si="103"/>
        <v>445.77777777777789</v>
      </c>
      <c r="E821">
        <f t="shared" si="99"/>
        <v>0</v>
      </c>
      <c r="G821">
        <v>771</v>
      </c>
      <c r="H821" s="15">
        <f t="shared" si="104"/>
        <v>3.3332641781299799E-2</v>
      </c>
      <c r="I821">
        <f t="shared" si="105"/>
        <v>130.20563108632268</v>
      </c>
      <c r="J821">
        <f t="shared" si="100"/>
        <v>478.30303612550335</v>
      </c>
      <c r="K821" s="30">
        <f t="shared" si="101"/>
        <v>7626.0768983518019</v>
      </c>
    </row>
    <row r="822" spans="1:11" x14ac:dyDescent="0.25">
      <c r="A822" s="29">
        <v>772</v>
      </c>
      <c r="B822" s="99">
        <f t="shared" si="102"/>
        <v>0</v>
      </c>
      <c r="C822" s="75">
        <f t="shared" si="98"/>
        <v>104.50616427295054</v>
      </c>
      <c r="D822" s="100">
        <f t="shared" si="103"/>
        <v>445.77777777777789</v>
      </c>
      <c r="E822">
        <f t="shared" si="99"/>
        <v>0</v>
      </c>
      <c r="G822">
        <v>772</v>
      </c>
      <c r="H822" s="15">
        <f t="shared" si="104"/>
        <v>3.3332641781299799E-2</v>
      </c>
      <c r="I822">
        <f t="shared" si="105"/>
        <v>130.23896372810398</v>
      </c>
      <c r="J822">
        <f t="shared" si="100"/>
        <v>478.33075677767556</v>
      </c>
      <c r="K822" s="30">
        <f t="shared" si="101"/>
        <v>7626.9604676529498</v>
      </c>
    </row>
    <row r="823" spans="1:11" x14ac:dyDescent="0.25">
      <c r="A823" s="29">
        <v>773</v>
      </c>
      <c r="B823" s="99">
        <f t="shared" si="102"/>
        <v>0</v>
      </c>
      <c r="C823" s="75">
        <f t="shared" si="98"/>
        <v>104.50616427295054</v>
      </c>
      <c r="D823" s="100">
        <f t="shared" si="103"/>
        <v>445.77777777777789</v>
      </c>
      <c r="E823">
        <f t="shared" si="99"/>
        <v>0</v>
      </c>
      <c r="G823">
        <v>773</v>
      </c>
      <c r="H823" s="15">
        <f t="shared" si="104"/>
        <v>3.3332641781299799E-2</v>
      </c>
      <c r="I823">
        <f t="shared" si="105"/>
        <v>130.27229636988528</v>
      </c>
      <c r="J823">
        <f t="shared" si="100"/>
        <v>478.35845307089301</v>
      </c>
      <c r="K823" s="30">
        <f t="shared" si="101"/>
        <v>7627.8433117279574</v>
      </c>
    </row>
    <row r="824" spans="1:11" x14ac:dyDescent="0.25">
      <c r="A824" s="29">
        <v>774</v>
      </c>
      <c r="B824" s="99">
        <f t="shared" si="102"/>
        <v>0</v>
      </c>
      <c r="C824" s="75">
        <f t="shared" si="98"/>
        <v>104.50616427295054</v>
      </c>
      <c r="D824" s="100">
        <f t="shared" si="103"/>
        <v>445.77777777777789</v>
      </c>
      <c r="E824">
        <f t="shared" si="99"/>
        <v>0</v>
      </c>
      <c r="G824">
        <v>774</v>
      </c>
      <c r="H824" s="15">
        <f t="shared" si="104"/>
        <v>3.3332641781299799E-2</v>
      </c>
      <c r="I824">
        <f t="shared" si="105"/>
        <v>130.30562901166658</v>
      </c>
      <c r="J824">
        <f t="shared" si="100"/>
        <v>478.3861250313775</v>
      </c>
      <c r="K824" s="30">
        <f t="shared" si="101"/>
        <v>7628.7254312773466</v>
      </c>
    </row>
    <row r="825" spans="1:11" x14ac:dyDescent="0.25">
      <c r="A825" s="29">
        <v>775</v>
      </c>
      <c r="B825" s="99">
        <f t="shared" si="102"/>
        <v>0</v>
      </c>
      <c r="C825" s="75">
        <f t="shared" si="98"/>
        <v>104.50616427295054</v>
      </c>
      <c r="D825" s="100">
        <f t="shared" si="103"/>
        <v>445.77777777777789</v>
      </c>
      <c r="E825">
        <f t="shared" si="99"/>
        <v>0</v>
      </c>
      <c r="G825">
        <v>775</v>
      </c>
      <c r="H825" s="15">
        <f t="shared" si="104"/>
        <v>3.3332641781299799E-2</v>
      </c>
      <c r="I825">
        <f t="shared" si="105"/>
        <v>130.33896165344788</v>
      </c>
      <c r="J825">
        <f t="shared" si="100"/>
        <v>478.41377268529016</v>
      </c>
      <c r="K825" s="30">
        <f t="shared" si="101"/>
        <v>7629.6068270000169</v>
      </c>
    </row>
    <row r="826" spans="1:11" x14ac:dyDescent="0.25">
      <c r="A826" s="29">
        <v>776</v>
      </c>
      <c r="B826" s="99">
        <f t="shared" si="102"/>
        <v>0</v>
      </c>
      <c r="C826" s="75">
        <f t="shared" si="98"/>
        <v>104.50616427295054</v>
      </c>
      <c r="D826" s="100">
        <f t="shared" si="103"/>
        <v>445.77777777777789</v>
      </c>
      <c r="E826">
        <f t="shared" si="99"/>
        <v>0</v>
      </c>
      <c r="G826">
        <v>776</v>
      </c>
      <c r="H826" s="15">
        <f t="shared" si="104"/>
        <v>3.3332641781299799E-2</v>
      </c>
      <c r="I826">
        <f t="shared" si="105"/>
        <v>130.37229429522918</v>
      </c>
      <c r="J826">
        <f t="shared" si="100"/>
        <v>478.44139605873175</v>
      </c>
      <c r="K826" s="30">
        <f t="shared" si="101"/>
        <v>7630.4874995932596</v>
      </c>
    </row>
    <row r="827" spans="1:11" x14ac:dyDescent="0.25">
      <c r="A827" s="29">
        <v>777</v>
      </c>
      <c r="B827" s="99">
        <f t="shared" si="102"/>
        <v>0</v>
      </c>
      <c r="C827" s="75">
        <f t="shared" si="98"/>
        <v>104.50616427295054</v>
      </c>
      <c r="D827" s="100">
        <f t="shared" si="103"/>
        <v>445.77777777777789</v>
      </c>
      <c r="E827">
        <f t="shared" si="99"/>
        <v>0</v>
      </c>
      <c r="G827">
        <v>777</v>
      </c>
      <c r="H827" s="15">
        <f t="shared" si="104"/>
        <v>3.3332641781299799E-2</v>
      </c>
      <c r="I827">
        <f t="shared" si="105"/>
        <v>130.40562693701048</v>
      </c>
      <c r="J827">
        <f t="shared" si="100"/>
        <v>478.4689951777429</v>
      </c>
      <c r="K827" s="30">
        <f t="shared" si="101"/>
        <v>7631.3674497527527</v>
      </c>
    </row>
    <row r="828" spans="1:11" x14ac:dyDescent="0.25">
      <c r="A828" s="29">
        <v>778</v>
      </c>
      <c r="B828" s="99">
        <f t="shared" si="102"/>
        <v>0</v>
      </c>
      <c r="C828" s="75">
        <f t="shared" si="98"/>
        <v>104.50616427295054</v>
      </c>
      <c r="D828" s="100">
        <f t="shared" si="103"/>
        <v>445.77777777777789</v>
      </c>
      <c r="E828">
        <f t="shared" si="99"/>
        <v>0</v>
      </c>
      <c r="G828">
        <v>778</v>
      </c>
      <c r="H828" s="15">
        <f t="shared" si="104"/>
        <v>3.3332641781299799E-2</v>
      </c>
      <c r="I828">
        <f t="shared" si="105"/>
        <v>130.43895957879178</v>
      </c>
      <c r="J828">
        <f t="shared" si="100"/>
        <v>478.49657006830398</v>
      </c>
      <c r="K828" s="30">
        <f t="shared" si="101"/>
        <v>7632.2466781725716</v>
      </c>
    </row>
    <row r="829" spans="1:11" x14ac:dyDescent="0.25">
      <c r="A829" s="29">
        <v>779</v>
      </c>
      <c r="B829" s="99">
        <f t="shared" si="102"/>
        <v>0</v>
      </c>
      <c r="C829" s="75">
        <f t="shared" si="98"/>
        <v>104.50616427295054</v>
      </c>
      <c r="D829" s="100">
        <f t="shared" si="103"/>
        <v>445.77777777777789</v>
      </c>
      <c r="E829">
        <f t="shared" si="99"/>
        <v>0</v>
      </c>
      <c r="G829">
        <v>779</v>
      </c>
      <c r="H829" s="15">
        <f t="shared" si="104"/>
        <v>3.3332641781299799E-2</v>
      </c>
      <c r="I829">
        <f t="shared" si="105"/>
        <v>130.47229222057308</v>
      </c>
      <c r="J829">
        <f t="shared" si="100"/>
        <v>478.52412075633566</v>
      </c>
      <c r="K829" s="30">
        <f t="shared" si="101"/>
        <v>7633.1251855451992</v>
      </c>
    </row>
    <row r="830" spans="1:11" x14ac:dyDescent="0.25">
      <c r="A830" s="29">
        <v>780</v>
      </c>
      <c r="B830" s="99">
        <f t="shared" si="102"/>
        <v>0</v>
      </c>
      <c r="C830" s="75">
        <f t="shared" si="98"/>
        <v>104.50616427295054</v>
      </c>
      <c r="D830" s="100">
        <f t="shared" si="103"/>
        <v>445.77777777777789</v>
      </c>
      <c r="E830">
        <f t="shared" si="99"/>
        <v>0</v>
      </c>
      <c r="G830">
        <v>780</v>
      </c>
      <c r="H830" s="15">
        <f t="shared" si="104"/>
        <v>3.3332641781299799E-2</v>
      </c>
      <c r="I830">
        <f t="shared" si="105"/>
        <v>130.50562486235438</v>
      </c>
      <c r="J830">
        <f t="shared" si="100"/>
        <v>478.55164726769897</v>
      </c>
      <c r="K830" s="30">
        <f t="shared" si="101"/>
        <v>7634.0029725615177</v>
      </c>
    </row>
    <row r="831" spans="1:11" x14ac:dyDescent="0.25">
      <c r="A831" s="29">
        <v>781</v>
      </c>
      <c r="B831" s="99">
        <f t="shared" si="102"/>
        <v>0</v>
      </c>
      <c r="C831" s="75">
        <f t="shared" si="98"/>
        <v>104.50616427295054</v>
      </c>
      <c r="D831" s="100">
        <f t="shared" si="103"/>
        <v>445.77777777777789</v>
      </c>
      <c r="E831">
        <f t="shared" si="99"/>
        <v>0</v>
      </c>
      <c r="G831">
        <v>781</v>
      </c>
      <c r="H831" s="15">
        <f t="shared" si="104"/>
        <v>3.3332641781299799E-2</v>
      </c>
      <c r="I831">
        <f t="shared" si="105"/>
        <v>130.53895750413568</v>
      </c>
      <c r="J831">
        <f t="shared" si="100"/>
        <v>478.57914962819535</v>
      </c>
      <c r="K831" s="30">
        <f t="shared" si="101"/>
        <v>7634.880039910825</v>
      </c>
    </row>
    <row r="832" spans="1:11" x14ac:dyDescent="0.25">
      <c r="A832" s="29">
        <v>782</v>
      </c>
      <c r="B832" s="99">
        <f t="shared" si="102"/>
        <v>0</v>
      </c>
      <c r="C832" s="75">
        <f t="shared" si="98"/>
        <v>104.50616427295054</v>
      </c>
      <c r="D832" s="100">
        <f t="shared" si="103"/>
        <v>445.77777777777789</v>
      </c>
      <c r="E832">
        <f t="shared" si="99"/>
        <v>0</v>
      </c>
      <c r="G832">
        <v>782</v>
      </c>
      <c r="H832" s="15">
        <f t="shared" si="104"/>
        <v>3.3332641781299799E-2</v>
      </c>
      <c r="I832">
        <f t="shared" si="105"/>
        <v>130.57229014591698</v>
      </c>
      <c r="J832">
        <f t="shared" si="100"/>
        <v>478.60662786356704</v>
      </c>
      <c r="K832" s="30">
        <f t="shared" si="101"/>
        <v>7635.7563882808327</v>
      </c>
    </row>
    <row r="833" spans="1:11" x14ac:dyDescent="0.25">
      <c r="A833" s="29">
        <v>783</v>
      </c>
      <c r="B833" s="99">
        <f t="shared" si="102"/>
        <v>0</v>
      </c>
      <c r="C833" s="75">
        <f t="shared" si="98"/>
        <v>104.50616427295054</v>
      </c>
      <c r="D833" s="100">
        <f t="shared" si="103"/>
        <v>445.77777777777789</v>
      </c>
      <c r="E833">
        <f t="shared" si="99"/>
        <v>0</v>
      </c>
      <c r="G833">
        <v>783</v>
      </c>
      <c r="H833" s="15">
        <f t="shared" si="104"/>
        <v>3.3332641781299799E-2</v>
      </c>
      <c r="I833">
        <f t="shared" si="105"/>
        <v>130.60562278769828</v>
      </c>
      <c r="J833">
        <f t="shared" si="100"/>
        <v>478.63408199949714</v>
      </c>
      <c r="K833" s="30">
        <f t="shared" si="101"/>
        <v>7636.6320183576781</v>
      </c>
    </row>
    <row r="834" spans="1:11" x14ac:dyDescent="0.25">
      <c r="A834" s="29">
        <v>784</v>
      </c>
      <c r="B834" s="99">
        <f t="shared" si="102"/>
        <v>0</v>
      </c>
      <c r="C834" s="75">
        <f t="shared" si="98"/>
        <v>104.50616427295054</v>
      </c>
      <c r="D834" s="100">
        <f t="shared" si="103"/>
        <v>445.77777777777789</v>
      </c>
      <c r="E834">
        <f t="shared" si="99"/>
        <v>0</v>
      </c>
      <c r="G834">
        <v>784</v>
      </c>
      <c r="H834" s="15">
        <f t="shared" si="104"/>
        <v>3.3332641781299799E-2</v>
      </c>
      <c r="I834">
        <f t="shared" si="105"/>
        <v>130.63895542947958</v>
      </c>
      <c r="J834">
        <f t="shared" si="100"/>
        <v>478.66151206160981</v>
      </c>
      <c r="K834" s="30">
        <f t="shared" si="101"/>
        <v>7637.5069308259226</v>
      </c>
    </row>
    <row r="835" spans="1:11" x14ac:dyDescent="0.25">
      <c r="A835" s="29">
        <v>785</v>
      </c>
      <c r="B835" s="99">
        <f t="shared" si="102"/>
        <v>0</v>
      </c>
      <c r="C835" s="75">
        <f t="shared" si="98"/>
        <v>104.50616427295054</v>
      </c>
      <c r="D835" s="100">
        <f t="shared" si="103"/>
        <v>445.77777777777789</v>
      </c>
      <c r="E835">
        <f t="shared" si="99"/>
        <v>0</v>
      </c>
      <c r="G835">
        <v>785</v>
      </c>
      <c r="H835" s="15">
        <f t="shared" si="104"/>
        <v>3.3332641781299799E-2</v>
      </c>
      <c r="I835">
        <f t="shared" si="105"/>
        <v>130.67228807126088</v>
      </c>
      <c r="J835">
        <f t="shared" si="100"/>
        <v>478.6889180754705</v>
      </c>
      <c r="K835" s="30">
        <f t="shared" si="101"/>
        <v>7638.3811263685575</v>
      </c>
    </row>
    <row r="836" spans="1:11" x14ac:dyDescent="0.25">
      <c r="A836" s="29">
        <v>786</v>
      </c>
      <c r="B836" s="99">
        <f t="shared" si="102"/>
        <v>0</v>
      </c>
      <c r="C836" s="75">
        <f t="shared" si="98"/>
        <v>104.50616427295054</v>
      </c>
      <c r="D836" s="100">
        <f t="shared" si="103"/>
        <v>445.77777777777789</v>
      </c>
      <c r="E836">
        <f t="shared" si="99"/>
        <v>0</v>
      </c>
      <c r="G836">
        <v>786</v>
      </c>
      <c r="H836" s="15">
        <f t="shared" si="104"/>
        <v>3.3332641781299799E-2</v>
      </c>
      <c r="I836">
        <f t="shared" si="105"/>
        <v>130.70562071304218</v>
      </c>
      <c r="J836">
        <f t="shared" si="100"/>
        <v>478.71630006658614</v>
      </c>
      <c r="K836" s="30">
        <f t="shared" si="101"/>
        <v>7639.2546056670171</v>
      </c>
    </row>
    <row r="837" spans="1:11" x14ac:dyDescent="0.25">
      <c r="A837" s="29">
        <v>787</v>
      </c>
      <c r="B837" s="99">
        <f t="shared" si="102"/>
        <v>0</v>
      </c>
      <c r="C837" s="75">
        <f t="shared" si="98"/>
        <v>104.50616427295054</v>
      </c>
      <c r="D837" s="100">
        <f t="shared" si="103"/>
        <v>445.77777777777789</v>
      </c>
      <c r="E837">
        <f t="shared" si="99"/>
        <v>0</v>
      </c>
      <c r="G837">
        <v>787</v>
      </c>
      <c r="H837" s="15">
        <f t="shared" si="104"/>
        <v>3.3332641781299799E-2</v>
      </c>
      <c r="I837">
        <f t="shared" si="105"/>
        <v>130.73895335482348</v>
      </c>
      <c r="J837">
        <f t="shared" si="100"/>
        <v>478.74365806040521</v>
      </c>
      <c r="K837" s="30">
        <f t="shared" si="101"/>
        <v>7640.1273694011679</v>
      </c>
    </row>
    <row r="838" spans="1:11" x14ac:dyDescent="0.25">
      <c r="A838" s="29">
        <v>788</v>
      </c>
      <c r="B838" s="99">
        <f t="shared" si="102"/>
        <v>0</v>
      </c>
      <c r="C838" s="75">
        <f t="shared" si="98"/>
        <v>104.50616427295054</v>
      </c>
      <c r="D838" s="100">
        <f t="shared" si="103"/>
        <v>445.77777777777789</v>
      </c>
      <c r="E838">
        <f t="shared" si="99"/>
        <v>0</v>
      </c>
      <c r="G838">
        <v>788</v>
      </c>
      <c r="H838" s="15">
        <f t="shared" si="104"/>
        <v>3.3332641781299799E-2</v>
      </c>
      <c r="I838">
        <f t="shared" si="105"/>
        <v>130.77228599660478</v>
      </c>
      <c r="J838">
        <f t="shared" si="100"/>
        <v>478.77099208231812</v>
      </c>
      <c r="K838" s="30">
        <f t="shared" si="101"/>
        <v>7640.9994182493292</v>
      </c>
    </row>
    <row r="839" spans="1:11" x14ac:dyDescent="0.25">
      <c r="A839" s="29">
        <v>789</v>
      </c>
      <c r="B839" s="99">
        <f t="shared" si="102"/>
        <v>0</v>
      </c>
      <c r="C839" s="75">
        <f t="shared" si="98"/>
        <v>104.50616427295054</v>
      </c>
      <c r="D839" s="100">
        <f t="shared" si="103"/>
        <v>445.77777777777789</v>
      </c>
      <c r="E839">
        <f t="shared" si="99"/>
        <v>0</v>
      </c>
      <c r="G839">
        <v>789</v>
      </c>
      <c r="H839" s="15">
        <f t="shared" si="104"/>
        <v>3.3332641781299799E-2</v>
      </c>
      <c r="I839">
        <f t="shared" si="105"/>
        <v>130.80561863838608</v>
      </c>
      <c r="J839">
        <f t="shared" si="100"/>
        <v>478.79830215765708</v>
      </c>
      <c r="K839" s="30">
        <f t="shared" si="101"/>
        <v>7641.8707528882687</v>
      </c>
    </row>
    <row r="840" spans="1:11" x14ac:dyDescent="0.25">
      <c r="A840" s="29">
        <v>790</v>
      </c>
      <c r="B840" s="99">
        <f t="shared" si="102"/>
        <v>0</v>
      </c>
      <c r="C840" s="75">
        <f t="shared" si="98"/>
        <v>104.50616427295054</v>
      </c>
      <c r="D840" s="100">
        <f t="shared" si="103"/>
        <v>445.77777777777789</v>
      </c>
      <c r="E840">
        <f t="shared" si="99"/>
        <v>0</v>
      </c>
      <c r="G840">
        <v>790</v>
      </c>
      <c r="H840" s="15">
        <f t="shared" si="104"/>
        <v>3.3332641781299799E-2</v>
      </c>
      <c r="I840">
        <f t="shared" si="105"/>
        <v>130.83895128016738</v>
      </c>
      <c r="J840">
        <f t="shared" si="100"/>
        <v>478.82558831169672</v>
      </c>
      <c r="K840" s="30">
        <f t="shared" si="101"/>
        <v>7642.7413739932117</v>
      </c>
    </row>
    <row r="841" spans="1:11" x14ac:dyDescent="0.25">
      <c r="A841" s="29">
        <v>791</v>
      </c>
      <c r="B841" s="99">
        <f t="shared" si="102"/>
        <v>0</v>
      </c>
      <c r="C841" s="75">
        <f t="shared" si="98"/>
        <v>104.50616427295054</v>
      </c>
      <c r="D841" s="100">
        <f t="shared" si="103"/>
        <v>445.77777777777789</v>
      </c>
      <c r="E841">
        <f t="shared" si="99"/>
        <v>0</v>
      </c>
      <c r="G841">
        <v>791</v>
      </c>
      <c r="H841" s="15">
        <f t="shared" si="104"/>
        <v>3.3332641781299799E-2</v>
      </c>
      <c r="I841">
        <f t="shared" si="105"/>
        <v>130.87228392194868</v>
      </c>
      <c r="J841">
        <f t="shared" si="100"/>
        <v>478.85285056965387</v>
      </c>
      <c r="K841" s="30">
        <f t="shared" si="101"/>
        <v>7643.6112822378391</v>
      </c>
    </row>
    <row r="842" spans="1:11" x14ac:dyDescent="0.25">
      <c r="A842" s="29">
        <v>792</v>
      </c>
      <c r="B842" s="99">
        <f t="shared" si="102"/>
        <v>0</v>
      </c>
      <c r="C842" s="75">
        <f t="shared" si="98"/>
        <v>104.50616427295054</v>
      </c>
      <c r="D842" s="100">
        <f t="shared" si="103"/>
        <v>445.77777777777789</v>
      </c>
      <c r="E842">
        <f t="shared" si="99"/>
        <v>0</v>
      </c>
      <c r="G842">
        <v>792</v>
      </c>
      <c r="H842" s="15">
        <f t="shared" si="104"/>
        <v>3.3332641781299799E-2</v>
      </c>
      <c r="I842">
        <f t="shared" si="105"/>
        <v>130.90561656372998</v>
      </c>
      <c r="J842">
        <f t="shared" si="100"/>
        <v>478.88008895668781</v>
      </c>
      <c r="K842" s="30">
        <f t="shared" si="101"/>
        <v>7644.4804782943029</v>
      </c>
    </row>
    <row r="843" spans="1:11" x14ac:dyDescent="0.25">
      <c r="A843" s="29">
        <v>793</v>
      </c>
      <c r="B843" s="99">
        <f t="shared" si="102"/>
        <v>0</v>
      </c>
      <c r="C843" s="75">
        <f t="shared" si="98"/>
        <v>104.50616427295054</v>
      </c>
      <c r="D843" s="100">
        <f t="shared" si="103"/>
        <v>445.77777777777789</v>
      </c>
      <c r="E843">
        <f t="shared" si="99"/>
        <v>0</v>
      </c>
      <c r="G843">
        <v>793</v>
      </c>
      <c r="H843" s="15">
        <f t="shared" si="104"/>
        <v>3.3332641781299799E-2</v>
      </c>
      <c r="I843">
        <f t="shared" si="105"/>
        <v>130.93894920551128</v>
      </c>
      <c r="J843">
        <f t="shared" si="100"/>
        <v>478.90730349790078</v>
      </c>
      <c r="K843" s="30">
        <f t="shared" si="101"/>
        <v>7645.3489628332245</v>
      </c>
    </row>
    <row r="844" spans="1:11" x14ac:dyDescent="0.25">
      <c r="A844" s="29">
        <v>794</v>
      </c>
      <c r="B844" s="99">
        <f t="shared" si="102"/>
        <v>0</v>
      </c>
      <c r="C844" s="75">
        <f t="shared" si="98"/>
        <v>104.50616427295054</v>
      </c>
      <c r="D844" s="100">
        <f t="shared" si="103"/>
        <v>445.77777777777789</v>
      </c>
      <c r="E844">
        <f t="shared" si="99"/>
        <v>0</v>
      </c>
      <c r="G844">
        <v>794</v>
      </c>
      <c r="H844" s="15">
        <f t="shared" si="104"/>
        <v>3.3332641781299799E-2</v>
      </c>
      <c r="I844">
        <f t="shared" si="105"/>
        <v>130.97228184729258</v>
      </c>
      <c r="J844">
        <f t="shared" si="100"/>
        <v>478.9344942183377</v>
      </c>
      <c r="K844" s="30">
        <f t="shared" si="101"/>
        <v>7646.2167365236955</v>
      </c>
    </row>
    <row r="845" spans="1:11" x14ac:dyDescent="0.25">
      <c r="A845" s="29">
        <v>795</v>
      </c>
      <c r="B845" s="99">
        <f t="shared" si="102"/>
        <v>0</v>
      </c>
      <c r="C845" s="75">
        <f t="shared" si="98"/>
        <v>104.50616427295054</v>
      </c>
      <c r="D845" s="100">
        <f t="shared" si="103"/>
        <v>445.77777777777789</v>
      </c>
      <c r="E845">
        <f t="shared" si="99"/>
        <v>0</v>
      </c>
      <c r="G845">
        <v>795</v>
      </c>
      <c r="H845" s="15">
        <f t="shared" si="104"/>
        <v>3.3332641781299799E-2</v>
      </c>
      <c r="I845">
        <f t="shared" si="105"/>
        <v>131.00561448907388</v>
      </c>
      <c r="J845">
        <f t="shared" si="100"/>
        <v>478.9616611429866</v>
      </c>
      <c r="K845" s="30">
        <f t="shared" si="101"/>
        <v>7647.0838000332915</v>
      </c>
    </row>
    <row r="846" spans="1:11" x14ac:dyDescent="0.25">
      <c r="A846" s="29">
        <v>796</v>
      </c>
      <c r="B846" s="99">
        <f t="shared" si="102"/>
        <v>0</v>
      </c>
      <c r="C846" s="75">
        <f t="shared" si="98"/>
        <v>104.50616427295054</v>
      </c>
      <c r="D846" s="100">
        <f t="shared" si="103"/>
        <v>445.77777777777789</v>
      </c>
      <c r="E846">
        <f t="shared" si="99"/>
        <v>0</v>
      </c>
      <c r="G846">
        <v>796</v>
      </c>
      <c r="H846" s="15">
        <f t="shared" si="104"/>
        <v>3.3332641781299799E-2</v>
      </c>
      <c r="I846">
        <f t="shared" si="105"/>
        <v>131.03894713085518</v>
      </c>
      <c r="J846">
        <f t="shared" si="100"/>
        <v>478.98880429677882</v>
      </c>
      <c r="K846" s="30">
        <f t="shared" si="101"/>
        <v>7647.950154028068</v>
      </c>
    </row>
    <row r="847" spans="1:11" x14ac:dyDescent="0.25">
      <c r="A847" s="29">
        <v>797</v>
      </c>
      <c r="B847" s="99">
        <f t="shared" si="102"/>
        <v>0</v>
      </c>
      <c r="C847" s="75">
        <f t="shared" si="98"/>
        <v>104.50616427295054</v>
      </c>
      <c r="D847" s="100">
        <f t="shared" si="103"/>
        <v>445.77777777777789</v>
      </c>
      <c r="E847">
        <f t="shared" si="99"/>
        <v>0</v>
      </c>
      <c r="G847">
        <v>797</v>
      </c>
      <c r="H847" s="15">
        <f t="shared" si="104"/>
        <v>3.3332641781299799E-2</v>
      </c>
      <c r="I847">
        <f t="shared" si="105"/>
        <v>131.07227977263648</v>
      </c>
      <c r="J847">
        <f t="shared" si="100"/>
        <v>479.015923704589</v>
      </c>
      <c r="K847" s="30">
        <f t="shared" si="101"/>
        <v>7648.8157991725757</v>
      </c>
    </row>
    <row r="848" spans="1:11" x14ac:dyDescent="0.25">
      <c r="A848" s="29">
        <v>798</v>
      </c>
      <c r="B848" s="99">
        <f t="shared" si="102"/>
        <v>0</v>
      </c>
      <c r="C848" s="75">
        <f t="shared" ref="C848:C911" si="106">($C$37-$C$36)/2000+C847</f>
        <v>104.50616427295054</v>
      </c>
      <c r="D848" s="100">
        <f t="shared" si="103"/>
        <v>445.77777777777789</v>
      </c>
      <c r="E848">
        <f t="shared" si="99"/>
        <v>0</v>
      </c>
      <c r="G848">
        <v>798</v>
      </c>
      <c r="H848" s="15">
        <f t="shared" si="104"/>
        <v>3.3332641781299799E-2</v>
      </c>
      <c r="I848">
        <f t="shared" si="105"/>
        <v>131.10561241441778</v>
      </c>
      <c r="J848">
        <f t="shared" si="100"/>
        <v>479.04301939123548</v>
      </c>
      <c r="K848" s="30">
        <f t="shared" si="101"/>
        <v>7649.6807361298552</v>
      </c>
    </row>
    <row r="849" spans="1:11" x14ac:dyDescent="0.25">
      <c r="A849" s="29">
        <v>799</v>
      </c>
      <c r="B849" s="99">
        <f t="shared" si="102"/>
        <v>0</v>
      </c>
      <c r="C849" s="75">
        <f t="shared" si="106"/>
        <v>104.50616427295054</v>
      </c>
      <c r="D849" s="100">
        <f t="shared" si="103"/>
        <v>445.77777777777789</v>
      </c>
      <c r="E849">
        <f t="shared" si="99"/>
        <v>0</v>
      </c>
      <c r="G849">
        <v>799</v>
      </c>
      <c r="H849" s="15">
        <f t="shared" si="104"/>
        <v>3.3332641781299799E-2</v>
      </c>
      <c r="I849">
        <f t="shared" si="105"/>
        <v>131.13894505619908</v>
      </c>
      <c r="J849">
        <f t="shared" si="100"/>
        <v>479.07009138148032</v>
      </c>
      <c r="K849" s="30">
        <f t="shared" si="101"/>
        <v>7650.5449655614457</v>
      </c>
    </row>
    <row r="850" spans="1:11" x14ac:dyDescent="0.25">
      <c r="A850" s="29">
        <v>800</v>
      </c>
      <c r="B850" s="99">
        <f t="shared" si="102"/>
        <v>0</v>
      </c>
      <c r="C850" s="75">
        <f t="shared" si="106"/>
        <v>104.50616427295054</v>
      </c>
      <c r="D850" s="100">
        <f t="shared" si="103"/>
        <v>445.77777777777789</v>
      </c>
      <c r="E850">
        <f t="shared" si="99"/>
        <v>0</v>
      </c>
      <c r="G850">
        <v>800</v>
      </c>
      <c r="H850" s="15">
        <f t="shared" si="104"/>
        <v>3.3332641781299799E-2</v>
      </c>
      <c r="I850">
        <f t="shared" si="105"/>
        <v>131.17227769798038</v>
      </c>
      <c r="J850">
        <f t="shared" si="100"/>
        <v>479.09713970002952</v>
      </c>
      <c r="K850" s="30">
        <f t="shared" si="101"/>
        <v>7651.4084881273857</v>
      </c>
    </row>
    <row r="851" spans="1:11" x14ac:dyDescent="0.25">
      <c r="A851" s="29">
        <v>801</v>
      </c>
      <c r="B851" s="99">
        <f t="shared" si="102"/>
        <v>0</v>
      </c>
      <c r="C851" s="75">
        <f t="shared" si="106"/>
        <v>104.50616427295054</v>
      </c>
      <c r="D851" s="100">
        <f t="shared" si="103"/>
        <v>445.77777777777789</v>
      </c>
      <c r="E851">
        <f t="shared" si="99"/>
        <v>0</v>
      </c>
      <c r="G851">
        <v>801</v>
      </c>
      <c r="H851" s="15">
        <f t="shared" si="104"/>
        <v>3.3332641781299799E-2</v>
      </c>
      <c r="I851">
        <f t="shared" si="105"/>
        <v>131.20561033976168</v>
      </c>
      <c r="J851">
        <f t="shared" si="100"/>
        <v>479.12416437153308</v>
      </c>
      <c r="K851" s="30">
        <f t="shared" si="101"/>
        <v>7652.2713044862285</v>
      </c>
    </row>
    <row r="852" spans="1:11" x14ac:dyDescent="0.25">
      <c r="A852" s="29">
        <v>802</v>
      </c>
      <c r="B852" s="99">
        <f t="shared" si="102"/>
        <v>0</v>
      </c>
      <c r="C852" s="75">
        <f t="shared" si="106"/>
        <v>104.50616427295054</v>
      </c>
      <c r="D852" s="100">
        <f t="shared" si="103"/>
        <v>445.77777777777789</v>
      </c>
      <c r="E852">
        <f t="shared" si="99"/>
        <v>0</v>
      </c>
      <c r="G852">
        <v>802</v>
      </c>
      <c r="H852" s="15">
        <f t="shared" si="104"/>
        <v>3.3332641781299799E-2</v>
      </c>
      <c r="I852">
        <f t="shared" si="105"/>
        <v>131.23894298154298</v>
      </c>
      <c r="J852">
        <f t="shared" si="100"/>
        <v>479.15116542058558</v>
      </c>
      <c r="K852" s="30">
        <f t="shared" si="101"/>
        <v>7653.133415295034</v>
      </c>
    </row>
    <row r="853" spans="1:11" x14ac:dyDescent="0.25">
      <c r="A853" s="29">
        <v>803</v>
      </c>
      <c r="B853" s="99">
        <f t="shared" si="102"/>
        <v>0</v>
      </c>
      <c r="C853" s="75">
        <f t="shared" si="106"/>
        <v>104.50616427295054</v>
      </c>
      <c r="D853" s="100">
        <f t="shared" si="103"/>
        <v>445.77777777777789</v>
      </c>
      <c r="E853">
        <f t="shared" si="99"/>
        <v>0</v>
      </c>
      <c r="G853">
        <v>803</v>
      </c>
      <c r="H853" s="15">
        <f t="shared" si="104"/>
        <v>3.3332641781299799E-2</v>
      </c>
      <c r="I853">
        <f t="shared" si="105"/>
        <v>131.27227562332428</v>
      </c>
      <c r="J853">
        <f t="shared" si="100"/>
        <v>479.17814287172564</v>
      </c>
      <c r="K853" s="30">
        <f t="shared" si="101"/>
        <v>7653.9948212093796</v>
      </c>
    </row>
    <row r="854" spans="1:11" x14ac:dyDescent="0.25">
      <c r="A854" s="29">
        <v>804</v>
      </c>
      <c r="B854" s="99">
        <f t="shared" si="102"/>
        <v>0</v>
      </c>
      <c r="C854" s="75">
        <f t="shared" si="106"/>
        <v>104.50616427295054</v>
      </c>
      <c r="D854" s="100">
        <f t="shared" si="103"/>
        <v>445.77777777777789</v>
      </c>
      <c r="E854">
        <f t="shared" si="99"/>
        <v>0</v>
      </c>
      <c r="G854">
        <v>804</v>
      </c>
      <c r="H854" s="15">
        <f t="shared" si="104"/>
        <v>3.3332641781299799E-2</v>
      </c>
      <c r="I854">
        <f t="shared" si="105"/>
        <v>131.30560826510558</v>
      </c>
      <c r="J854">
        <f t="shared" si="100"/>
        <v>479.2050967494369</v>
      </c>
      <c r="K854" s="30">
        <f t="shared" si="101"/>
        <v>7654.8555228833648</v>
      </c>
    </row>
    <row r="855" spans="1:11" x14ac:dyDescent="0.25">
      <c r="A855" s="29">
        <v>805</v>
      </c>
      <c r="B855" s="99">
        <f t="shared" si="102"/>
        <v>0</v>
      </c>
      <c r="C855" s="75">
        <f t="shared" si="106"/>
        <v>104.50616427295054</v>
      </c>
      <c r="D855" s="100">
        <f t="shared" si="103"/>
        <v>445.77777777777789</v>
      </c>
      <c r="E855">
        <f t="shared" si="99"/>
        <v>0</v>
      </c>
      <c r="G855">
        <v>805</v>
      </c>
      <c r="H855" s="15">
        <f t="shared" si="104"/>
        <v>3.3332641781299799E-2</v>
      </c>
      <c r="I855">
        <f t="shared" si="105"/>
        <v>131.33894090688688</v>
      </c>
      <c r="J855">
        <f t="shared" si="100"/>
        <v>479.2320270781475</v>
      </c>
      <c r="K855" s="30">
        <f t="shared" si="101"/>
        <v>7655.7155209696139</v>
      </c>
    </row>
    <row r="856" spans="1:11" x14ac:dyDescent="0.25">
      <c r="A856" s="29">
        <v>806</v>
      </c>
      <c r="B856" s="99">
        <f t="shared" si="102"/>
        <v>0</v>
      </c>
      <c r="C856" s="75">
        <f t="shared" si="106"/>
        <v>104.50616427295054</v>
      </c>
      <c r="D856" s="100">
        <f t="shared" si="103"/>
        <v>445.77777777777789</v>
      </c>
      <c r="E856">
        <f t="shared" si="99"/>
        <v>0</v>
      </c>
      <c r="G856">
        <v>806</v>
      </c>
      <c r="H856" s="15">
        <f t="shared" si="104"/>
        <v>3.3332641781299799E-2</v>
      </c>
      <c r="I856">
        <f t="shared" si="105"/>
        <v>131.37227354866818</v>
      </c>
      <c r="J856">
        <f t="shared" si="100"/>
        <v>479.25893388223068</v>
      </c>
      <c r="K856" s="30">
        <f t="shared" si="101"/>
        <v>7656.5748161192832</v>
      </c>
    </row>
    <row r="857" spans="1:11" x14ac:dyDescent="0.25">
      <c r="A857" s="29">
        <v>807</v>
      </c>
      <c r="B857" s="99">
        <f t="shared" si="102"/>
        <v>0</v>
      </c>
      <c r="C857" s="75">
        <f t="shared" si="106"/>
        <v>104.50616427295054</v>
      </c>
      <c r="D857" s="100">
        <f t="shared" si="103"/>
        <v>445.77777777777789</v>
      </c>
      <c r="E857">
        <f t="shared" si="99"/>
        <v>0</v>
      </c>
      <c r="G857">
        <v>807</v>
      </c>
      <c r="H857" s="15">
        <f t="shared" si="104"/>
        <v>3.3332641781299799E-2</v>
      </c>
      <c r="I857">
        <f t="shared" si="105"/>
        <v>131.40560619044948</v>
      </c>
      <c r="J857">
        <f t="shared" si="100"/>
        <v>479.28581718600481</v>
      </c>
      <c r="K857" s="30">
        <f t="shared" si="101"/>
        <v>7657.4334089820622</v>
      </c>
    </row>
    <row r="858" spans="1:11" x14ac:dyDescent="0.25">
      <c r="A858" s="29">
        <v>808</v>
      </c>
      <c r="B858" s="99">
        <f t="shared" si="102"/>
        <v>0</v>
      </c>
      <c r="C858" s="75">
        <f t="shared" si="106"/>
        <v>104.50616427295054</v>
      </c>
      <c r="D858" s="100">
        <f t="shared" si="103"/>
        <v>445.77777777777789</v>
      </c>
      <c r="E858">
        <f t="shared" si="99"/>
        <v>0</v>
      </c>
      <c r="G858">
        <v>808</v>
      </c>
      <c r="H858" s="15">
        <f t="shared" si="104"/>
        <v>3.3332641781299799E-2</v>
      </c>
      <c r="I858">
        <f t="shared" si="105"/>
        <v>131.43893883223078</v>
      </c>
      <c r="J858">
        <f t="shared" si="100"/>
        <v>479.31267701373349</v>
      </c>
      <c r="K858" s="30">
        <f t="shared" si="101"/>
        <v>7658.2913002061759</v>
      </c>
    </row>
    <row r="859" spans="1:11" x14ac:dyDescent="0.25">
      <c r="A859" s="29">
        <v>809</v>
      </c>
      <c r="B859" s="99">
        <f t="shared" si="102"/>
        <v>0</v>
      </c>
      <c r="C859" s="75">
        <f t="shared" si="106"/>
        <v>104.50616427295054</v>
      </c>
      <c r="D859" s="100">
        <f t="shared" si="103"/>
        <v>445.77777777777789</v>
      </c>
      <c r="E859">
        <f t="shared" si="99"/>
        <v>0</v>
      </c>
      <c r="G859">
        <v>809</v>
      </c>
      <c r="H859" s="15">
        <f t="shared" si="104"/>
        <v>3.3332641781299799E-2</v>
      </c>
      <c r="I859">
        <f t="shared" si="105"/>
        <v>131.47227147401208</v>
      </c>
      <c r="J859">
        <f t="shared" si="100"/>
        <v>479.33951338962584</v>
      </c>
      <c r="K859" s="30">
        <f t="shared" si="101"/>
        <v>7659.1484904384015</v>
      </c>
    </row>
    <row r="860" spans="1:11" x14ac:dyDescent="0.25">
      <c r="A860" s="29">
        <v>810</v>
      </c>
      <c r="B860" s="99">
        <f t="shared" si="102"/>
        <v>0</v>
      </c>
      <c r="C860" s="75">
        <f t="shared" si="106"/>
        <v>104.50616427295054</v>
      </c>
      <c r="D860" s="100">
        <f t="shared" si="103"/>
        <v>445.77777777777789</v>
      </c>
      <c r="E860">
        <f t="shared" si="99"/>
        <v>0</v>
      </c>
      <c r="G860">
        <v>810</v>
      </c>
      <c r="H860" s="15">
        <f t="shared" si="104"/>
        <v>3.3332641781299799E-2</v>
      </c>
      <c r="I860">
        <f t="shared" si="105"/>
        <v>131.50560411579337</v>
      </c>
      <c r="J860">
        <f t="shared" si="100"/>
        <v>479.36632633783665</v>
      </c>
      <c r="K860" s="30">
        <f t="shared" si="101"/>
        <v>7660.0049803240581</v>
      </c>
    </row>
    <row r="861" spans="1:11" x14ac:dyDescent="0.25">
      <c r="A861" s="29">
        <v>811</v>
      </c>
      <c r="B861" s="99">
        <f t="shared" si="102"/>
        <v>0</v>
      </c>
      <c r="C861" s="75">
        <f t="shared" si="106"/>
        <v>104.50616427295054</v>
      </c>
      <c r="D861" s="100">
        <f t="shared" si="103"/>
        <v>445.77777777777789</v>
      </c>
      <c r="E861">
        <f t="shared" si="99"/>
        <v>0</v>
      </c>
      <c r="G861">
        <v>811</v>
      </c>
      <c r="H861" s="15">
        <f t="shared" si="104"/>
        <v>3.3332641781299799E-2</v>
      </c>
      <c r="I861">
        <f t="shared" si="105"/>
        <v>131.53893675757467</v>
      </c>
      <c r="J861">
        <f t="shared" si="100"/>
        <v>479.3931158824663</v>
      </c>
      <c r="K861" s="30">
        <f t="shared" si="101"/>
        <v>7660.8607705070162</v>
      </c>
    </row>
    <row r="862" spans="1:11" x14ac:dyDescent="0.25">
      <c r="A862" s="29">
        <v>812</v>
      </c>
      <c r="B862" s="99">
        <f t="shared" si="102"/>
        <v>0</v>
      </c>
      <c r="C862" s="75">
        <f t="shared" si="106"/>
        <v>104.50616427295054</v>
      </c>
      <c r="D862" s="100">
        <f t="shared" si="103"/>
        <v>445.77777777777789</v>
      </c>
      <c r="E862">
        <f t="shared" si="99"/>
        <v>0</v>
      </c>
      <c r="G862">
        <v>812</v>
      </c>
      <c r="H862" s="15">
        <f t="shared" si="104"/>
        <v>3.3332641781299799E-2</v>
      </c>
      <c r="I862">
        <f t="shared" si="105"/>
        <v>131.57226939935597</v>
      </c>
      <c r="J862">
        <f t="shared" si="100"/>
        <v>479.41988204756149</v>
      </c>
      <c r="K862" s="30">
        <f t="shared" si="101"/>
        <v>7661.7158616297093</v>
      </c>
    </row>
    <row r="863" spans="1:11" x14ac:dyDescent="0.25">
      <c r="A863" s="29">
        <v>813</v>
      </c>
      <c r="B863" s="99">
        <f t="shared" si="102"/>
        <v>0</v>
      </c>
      <c r="C863" s="75">
        <f t="shared" si="106"/>
        <v>104.50616427295054</v>
      </c>
      <c r="D863" s="100">
        <f t="shared" si="103"/>
        <v>445.77777777777789</v>
      </c>
      <c r="E863">
        <f t="shared" si="99"/>
        <v>0</v>
      </c>
      <c r="G863">
        <v>813</v>
      </c>
      <c r="H863" s="15">
        <f t="shared" si="104"/>
        <v>3.3332641781299799E-2</v>
      </c>
      <c r="I863">
        <f t="shared" si="105"/>
        <v>131.60560204113727</v>
      </c>
      <c r="J863">
        <f t="shared" si="100"/>
        <v>479.44662485711467</v>
      </c>
      <c r="K863" s="30">
        <f t="shared" si="101"/>
        <v>7662.5702543331254</v>
      </c>
    </row>
    <row r="864" spans="1:11" x14ac:dyDescent="0.25">
      <c r="A864" s="29">
        <v>814</v>
      </c>
      <c r="B864" s="99">
        <f t="shared" si="102"/>
        <v>0</v>
      </c>
      <c r="C864" s="75">
        <f t="shared" si="106"/>
        <v>104.50616427295054</v>
      </c>
      <c r="D864" s="100">
        <f t="shared" si="103"/>
        <v>445.77777777777789</v>
      </c>
      <c r="E864">
        <f t="shared" si="99"/>
        <v>0</v>
      </c>
      <c r="G864">
        <v>814</v>
      </c>
      <c r="H864" s="15">
        <f t="shared" si="104"/>
        <v>3.3332641781299799E-2</v>
      </c>
      <c r="I864">
        <f t="shared" si="105"/>
        <v>131.63893468291857</v>
      </c>
      <c r="J864">
        <f t="shared" si="100"/>
        <v>479.47334433506478</v>
      </c>
      <c r="K864" s="30">
        <f t="shared" si="101"/>
        <v>7663.4239492568222</v>
      </c>
    </row>
    <row r="865" spans="1:11" x14ac:dyDescent="0.25">
      <c r="A865" s="29">
        <v>815</v>
      </c>
      <c r="B865" s="99">
        <f t="shared" si="102"/>
        <v>0</v>
      </c>
      <c r="C865" s="75">
        <f t="shared" si="106"/>
        <v>104.50616427295054</v>
      </c>
      <c r="D865" s="100">
        <f t="shared" si="103"/>
        <v>445.77777777777789</v>
      </c>
      <c r="E865">
        <f t="shared" si="99"/>
        <v>0</v>
      </c>
      <c r="G865">
        <v>815</v>
      </c>
      <c r="H865" s="15">
        <f t="shared" si="104"/>
        <v>3.3332641781299799E-2</v>
      </c>
      <c r="I865">
        <f t="shared" si="105"/>
        <v>131.67226732469987</v>
      </c>
      <c r="J865">
        <f t="shared" si="100"/>
        <v>479.50004050529725</v>
      </c>
      <c r="K865" s="30">
        <f t="shared" si="101"/>
        <v>7664.2769470389258</v>
      </c>
    </row>
    <row r="866" spans="1:11" x14ac:dyDescent="0.25">
      <c r="A866" s="29">
        <v>816</v>
      </c>
      <c r="B866" s="99">
        <f t="shared" si="102"/>
        <v>0</v>
      </c>
      <c r="C866" s="75">
        <f t="shared" si="106"/>
        <v>104.50616427295054</v>
      </c>
      <c r="D866" s="100">
        <f t="shared" si="103"/>
        <v>445.77777777777789</v>
      </c>
      <c r="E866">
        <f t="shared" si="99"/>
        <v>0</v>
      </c>
      <c r="G866">
        <v>816</v>
      </c>
      <c r="H866" s="15">
        <f t="shared" si="104"/>
        <v>3.3332641781299799E-2</v>
      </c>
      <c r="I866">
        <f t="shared" si="105"/>
        <v>131.70559996648117</v>
      </c>
      <c r="J866">
        <f t="shared" si="100"/>
        <v>479.52671339164402</v>
      </c>
      <c r="K866" s="30">
        <f t="shared" si="101"/>
        <v>7665.1292483161387</v>
      </c>
    </row>
    <row r="867" spans="1:11" x14ac:dyDescent="0.25">
      <c r="A867" s="29">
        <v>817</v>
      </c>
      <c r="B867" s="99">
        <f t="shared" si="102"/>
        <v>0</v>
      </c>
      <c r="C867" s="75">
        <f t="shared" si="106"/>
        <v>104.50616427295054</v>
      </c>
      <c r="D867" s="100">
        <f t="shared" si="103"/>
        <v>445.77777777777789</v>
      </c>
      <c r="E867">
        <f t="shared" si="99"/>
        <v>0</v>
      </c>
      <c r="G867">
        <v>817</v>
      </c>
      <c r="H867" s="15">
        <f t="shared" si="104"/>
        <v>3.3332641781299799E-2</v>
      </c>
      <c r="I867">
        <f t="shared" si="105"/>
        <v>131.73893260826247</v>
      </c>
      <c r="J867">
        <f t="shared" si="100"/>
        <v>479.55336301788384</v>
      </c>
      <c r="K867" s="30">
        <f t="shared" si="101"/>
        <v>7665.9808537237404</v>
      </c>
    </row>
    <row r="868" spans="1:11" x14ac:dyDescent="0.25">
      <c r="A868" s="29">
        <v>818</v>
      </c>
      <c r="B868" s="99">
        <f t="shared" si="102"/>
        <v>0</v>
      </c>
      <c r="C868" s="75">
        <f t="shared" si="106"/>
        <v>104.50616427295054</v>
      </c>
      <c r="D868" s="100">
        <f t="shared" si="103"/>
        <v>445.77777777777789</v>
      </c>
      <c r="E868">
        <f t="shared" si="99"/>
        <v>0</v>
      </c>
      <c r="G868">
        <v>818</v>
      </c>
      <c r="H868" s="15">
        <f t="shared" si="104"/>
        <v>3.3332641781299799E-2</v>
      </c>
      <c r="I868">
        <f t="shared" si="105"/>
        <v>131.77226525004377</v>
      </c>
      <c r="J868">
        <f t="shared" si="100"/>
        <v>479.5799894077424</v>
      </c>
      <c r="K868" s="30">
        <f t="shared" si="101"/>
        <v>7666.8317638955896</v>
      </c>
    </row>
    <row r="869" spans="1:11" x14ac:dyDescent="0.25">
      <c r="A869" s="29">
        <v>819</v>
      </c>
      <c r="B869" s="99">
        <f t="shared" si="102"/>
        <v>0</v>
      </c>
      <c r="C869" s="75">
        <f t="shared" si="106"/>
        <v>104.50616427295054</v>
      </c>
      <c r="D869" s="100">
        <f t="shared" si="103"/>
        <v>445.77777777777789</v>
      </c>
      <c r="E869">
        <f t="shared" si="99"/>
        <v>0</v>
      </c>
      <c r="G869">
        <v>819</v>
      </c>
      <c r="H869" s="15">
        <f t="shared" si="104"/>
        <v>3.3332641781299799E-2</v>
      </c>
      <c r="I869">
        <f t="shared" si="105"/>
        <v>131.80559789182507</v>
      </c>
      <c r="J869">
        <f t="shared" si="100"/>
        <v>479.6065925848925</v>
      </c>
      <c r="K869" s="30">
        <f t="shared" si="101"/>
        <v>7667.6819794641415</v>
      </c>
    </row>
    <row r="870" spans="1:11" x14ac:dyDescent="0.25">
      <c r="A870" s="29">
        <v>820</v>
      </c>
      <c r="B870" s="99">
        <f t="shared" si="102"/>
        <v>0</v>
      </c>
      <c r="C870" s="75">
        <f t="shared" si="106"/>
        <v>104.50616427295054</v>
      </c>
      <c r="D870" s="100">
        <f t="shared" si="103"/>
        <v>445.77777777777789</v>
      </c>
      <c r="E870">
        <f t="shared" si="99"/>
        <v>0</v>
      </c>
      <c r="G870">
        <v>820</v>
      </c>
      <c r="H870" s="15">
        <f t="shared" si="104"/>
        <v>3.3332641781299799E-2</v>
      </c>
      <c r="I870">
        <f t="shared" si="105"/>
        <v>131.83893053360637</v>
      </c>
      <c r="J870">
        <f t="shared" si="100"/>
        <v>479.63317257295415</v>
      </c>
      <c r="K870" s="30">
        <f t="shared" si="101"/>
        <v>7668.5315010604354</v>
      </c>
    </row>
    <row r="871" spans="1:11" x14ac:dyDescent="0.25">
      <c r="A871" s="29">
        <v>821</v>
      </c>
      <c r="B871" s="99">
        <f t="shared" si="102"/>
        <v>0</v>
      </c>
      <c r="C871" s="75">
        <f t="shared" si="106"/>
        <v>104.50616427295054</v>
      </c>
      <c r="D871" s="100">
        <f t="shared" si="103"/>
        <v>445.77777777777789</v>
      </c>
      <c r="E871">
        <f t="shared" si="99"/>
        <v>0</v>
      </c>
      <c r="G871">
        <v>821</v>
      </c>
      <c r="H871" s="15">
        <f t="shared" si="104"/>
        <v>3.3332641781299799E-2</v>
      </c>
      <c r="I871">
        <f t="shared" si="105"/>
        <v>131.87226317538767</v>
      </c>
      <c r="J871">
        <f t="shared" si="100"/>
        <v>479.65972939549488</v>
      </c>
      <c r="K871" s="30">
        <f t="shared" si="101"/>
        <v>7669.3803293141073</v>
      </c>
    </row>
    <row r="872" spans="1:11" x14ac:dyDescent="0.25">
      <c r="A872" s="29">
        <v>822</v>
      </c>
      <c r="B872" s="99">
        <f t="shared" si="102"/>
        <v>0</v>
      </c>
      <c r="C872" s="75">
        <f t="shared" si="106"/>
        <v>104.50616427295054</v>
      </c>
      <c r="D872" s="100">
        <f t="shared" si="103"/>
        <v>445.77777777777789</v>
      </c>
      <c r="E872">
        <f t="shared" si="99"/>
        <v>0</v>
      </c>
      <c r="G872">
        <v>822</v>
      </c>
      <c r="H872" s="15">
        <f t="shared" si="104"/>
        <v>3.3332641781299799E-2</v>
      </c>
      <c r="I872">
        <f t="shared" si="105"/>
        <v>131.90559581716897</v>
      </c>
      <c r="J872">
        <f t="shared" si="100"/>
        <v>479.68626307602966</v>
      </c>
      <c r="K872" s="30">
        <f t="shared" si="101"/>
        <v>7670.228464853396</v>
      </c>
    </row>
    <row r="873" spans="1:11" x14ac:dyDescent="0.25">
      <c r="A873" s="29">
        <v>823</v>
      </c>
      <c r="B873" s="99">
        <f t="shared" si="102"/>
        <v>0</v>
      </c>
      <c r="C873" s="75">
        <f t="shared" si="106"/>
        <v>104.50616427295054</v>
      </c>
      <c r="D873" s="100">
        <f t="shared" si="103"/>
        <v>445.77777777777789</v>
      </c>
      <c r="E873">
        <f t="shared" si="99"/>
        <v>0</v>
      </c>
      <c r="G873">
        <v>823</v>
      </c>
      <c r="H873" s="15">
        <f t="shared" si="104"/>
        <v>3.3332641781299799E-2</v>
      </c>
      <c r="I873">
        <f t="shared" si="105"/>
        <v>131.93892845895027</v>
      </c>
      <c r="J873">
        <f t="shared" si="100"/>
        <v>479.71277363802136</v>
      </c>
      <c r="K873" s="30">
        <f t="shared" si="101"/>
        <v>7671.0759083051416</v>
      </c>
    </row>
    <row r="874" spans="1:11" x14ac:dyDescent="0.25">
      <c r="A874" s="29">
        <v>824</v>
      </c>
      <c r="B874" s="99">
        <f t="shared" si="102"/>
        <v>0</v>
      </c>
      <c r="C874" s="75">
        <f t="shared" si="106"/>
        <v>104.50616427295054</v>
      </c>
      <c r="D874" s="100">
        <f t="shared" si="103"/>
        <v>445.77777777777789</v>
      </c>
      <c r="E874">
        <f t="shared" si="99"/>
        <v>0</v>
      </c>
      <c r="G874">
        <v>824</v>
      </c>
      <c r="H874" s="15">
        <f t="shared" si="104"/>
        <v>3.3332641781299799E-2</v>
      </c>
      <c r="I874">
        <f t="shared" si="105"/>
        <v>131.97226110073157</v>
      </c>
      <c r="J874">
        <f t="shared" si="100"/>
        <v>479.7392611048806</v>
      </c>
      <c r="K874" s="30">
        <f t="shared" si="101"/>
        <v>7671.9226602947929</v>
      </c>
    </row>
    <row r="875" spans="1:11" x14ac:dyDescent="0.25">
      <c r="A875" s="29">
        <v>825</v>
      </c>
      <c r="B875" s="99">
        <f t="shared" si="102"/>
        <v>0</v>
      </c>
      <c r="C875" s="75">
        <f t="shared" si="106"/>
        <v>104.50616427295054</v>
      </c>
      <c r="D875" s="100">
        <f t="shared" si="103"/>
        <v>445.77777777777789</v>
      </c>
      <c r="E875">
        <f t="shared" si="99"/>
        <v>0</v>
      </c>
      <c r="G875">
        <v>825</v>
      </c>
      <c r="H875" s="15">
        <f t="shared" si="104"/>
        <v>3.3332641781299799E-2</v>
      </c>
      <c r="I875">
        <f t="shared" si="105"/>
        <v>132.00559374251287</v>
      </c>
      <c r="J875">
        <f t="shared" si="100"/>
        <v>479.76572549996604</v>
      </c>
      <c r="K875" s="30">
        <f t="shared" si="101"/>
        <v>7672.7687214464122</v>
      </c>
    </row>
    <row r="876" spans="1:11" x14ac:dyDescent="0.25">
      <c r="A876" s="29">
        <v>826</v>
      </c>
      <c r="B876" s="99">
        <f t="shared" si="102"/>
        <v>0</v>
      </c>
      <c r="C876" s="75">
        <f t="shared" si="106"/>
        <v>104.50616427295054</v>
      </c>
      <c r="D876" s="100">
        <f t="shared" si="103"/>
        <v>445.77777777777789</v>
      </c>
      <c r="E876">
        <f t="shared" si="99"/>
        <v>0</v>
      </c>
      <c r="G876">
        <v>826</v>
      </c>
      <c r="H876" s="15">
        <f t="shared" si="104"/>
        <v>3.3332641781299799E-2</v>
      </c>
      <c r="I876">
        <f t="shared" si="105"/>
        <v>132.03892638429417</v>
      </c>
      <c r="J876">
        <f t="shared" si="100"/>
        <v>479.79216684658468</v>
      </c>
      <c r="K876" s="30">
        <f t="shared" si="101"/>
        <v>7673.6140923826824</v>
      </c>
    </row>
    <row r="877" spans="1:11" x14ac:dyDescent="0.25">
      <c r="A877" s="29">
        <v>827</v>
      </c>
      <c r="B877" s="99">
        <f t="shared" si="102"/>
        <v>0</v>
      </c>
      <c r="C877" s="75">
        <f t="shared" si="106"/>
        <v>104.50616427295054</v>
      </c>
      <c r="D877" s="100">
        <f t="shared" si="103"/>
        <v>445.77777777777789</v>
      </c>
      <c r="E877">
        <f t="shared" si="99"/>
        <v>0</v>
      </c>
      <c r="G877">
        <v>827</v>
      </c>
      <c r="H877" s="15">
        <f t="shared" si="104"/>
        <v>3.3332641781299799E-2</v>
      </c>
      <c r="I877">
        <f t="shared" si="105"/>
        <v>132.07225902607547</v>
      </c>
      <c r="J877">
        <f t="shared" si="100"/>
        <v>479.81858516799184</v>
      </c>
      <c r="K877" s="30">
        <f t="shared" si="101"/>
        <v>7674.4587737248985</v>
      </c>
    </row>
    <row r="878" spans="1:11" x14ac:dyDescent="0.25">
      <c r="A878" s="29">
        <v>828</v>
      </c>
      <c r="B878" s="99">
        <f t="shared" si="102"/>
        <v>0</v>
      </c>
      <c r="C878" s="75">
        <f t="shared" si="106"/>
        <v>104.50616427295054</v>
      </c>
      <c r="D878" s="100">
        <f t="shared" si="103"/>
        <v>445.77777777777789</v>
      </c>
      <c r="E878">
        <f t="shared" si="99"/>
        <v>0</v>
      </c>
      <c r="G878">
        <v>828</v>
      </c>
      <c r="H878" s="15">
        <f t="shared" si="104"/>
        <v>3.3332641781299799E-2</v>
      </c>
      <c r="I878">
        <f t="shared" si="105"/>
        <v>132.10559166785677</v>
      </c>
      <c r="J878">
        <f t="shared" si="100"/>
        <v>479.84498048739124</v>
      </c>
      <c r="K878" s="30">
        <f t="shared" si="101"/>
        <v>7675.3027660929883</v>
      </c>
    </row>
    <row r="879" spans="1:11" x14ac:dyDescent="0.25">
      <c r="A879" s="29">
        <v>829</v>
      </c>
      <c r="B879" s="99">
        <f t="shared" si="102"/>
        <v>0</v>
      </c>
      <c r="C879" s="75">
        <f t="shared" si="106"/>
        <v>104.50616427295054</v>
      </c>
      <c r="D879" s="100">
        <f t="shared" si="103"/>
        <v>445.77777777777789</v>
      </c>
      <c r="E879">
        <f t="shared" si="99"/>
        <v>0</v>
      </c>
      <c r="G879">
        <v>829</v>
      </c>
      <c r="H879" s="15">
        <f t="shared" si="104"/>
        <v>3.3332641781299799E-2</v>
      </c>
      <c r="I879">
        <f t="shared" si="105"/>
        <v>132.13892430963807</v>
      </c>
      <c r="J879">
        <f t="shared" si="100"/>
        <v>479.87135282793531</v>
      </c>
      <c r="K879" s="30">
        <f t="shared" si="101"/>
        <v>7676.1460701055066</v>
      </c>
    </row>
    <row r="880" spans="1:11" x14ac:dyDescent="0.25">
      <c r="A880" s="29">
        <v>830</v>
      </c>
      <c r="B880" s="99">
        <f t="shared" si="102"/>
        <v>0</v>
      </c>
      <c r="C880" s="75">
        <f t="shared" si="106"/>
        <v>104.50616427295054</v>
      </c>
      <c r="D880" s="100">
        <f t="shared" si="103"/>
        <v>445.77777777777789</v>
      </c>
      <c r="E880">
        <f t="shared" si="99"/>
        <v>0</v>
      </c>
      <c r="G880">
        <v>830</v>
      </c>
      <c r="H880" s="15">
        <f t="shared" si="104"/>
        <v>3.3332641781299799E-2</v>
      </c>
      <c r="I880">
        <f t="shared" si="105"/>
        <v>132.17225695141937</v>
      </c>
      <c r="J880">
        <f t="shared" si="100"/>
        <v>479.89770221272545</v>
      </c>
      <c r="K880" s="30">
        <f t="shared" si="101"/>
        <v>7676.9886863796382</v>
      </c>
    </row>
    <row r="881" spans="1:11" x14ac:dyDescent="0.25">
      <c r="A881" s="29">
        <v>831</v>
      </c>
      <c r="B881" s="99">
        <f t="shared" si="102"/>
        <v>0</v>
      </c>
      <c r="C881" s="75">
        <f t="shared" si="106"/>
        <v>104.50616427295054</v>
      </c>
      <c r="D881" s="100">
        <f t="shared" si="103"/>
        <v>445.77777777777789</v>
      </c>
      <c r="E881">
        <f t="shared" si="99"/>
        <v>0</v>
      </c>
      <c r="G881">
        <v>831</v>
      </c>
      <c r="H881" s="15">
        <f t="shared" si="104"/>
        <v>3.3332641781299799E-2</v>
      </c>
      <c r="I881">
        <f t="shared" si="105"/>
        <v>132.20558959320067</v>
      </c>
      <c r="J881">
        <f t="shared" si="100"/>
        <v>479.92402866481189</v>
      </c>
      <c r="K881" s="30">
        <f t="shared" si="101"/>
        <v>7677.8306155312093</v>
      </c>
    </row>
    <row r="882" spans="1:11" x14ac:dyDescent="0.25">
      <c r="A882" s="29">
        <v>832</v>
      </c>
      <c r="B882" s="99">
        <f t="shared" si="102"/>
        <v>0</v>
      </c>
      <c r="C882" s="75">
        <f t="shared" si="106"/>
        <v>104.50616427295054</v>
      </c>
      <c r="D882" s="100">
        <f t="shared" si="103"/>
        <v>445.77777777777789</v>
      </c>
      <c r="E882">
        <f t="shared" si="99"/>
        <v>0</v>
      </c>
      <c r="G882">
        <v>832</v>
      </c>
      <c r="H882" s="15">
        <f t="shared" si="104"/>
        <v>3.3332641781299799E-2</v>
      </c>
      <c r="I882">
        <f t="shared" si="105"/>
        <v>132.23892223498197</v>
      </c>
      <c r="J882">
        <f t="shared" si="100"/>
        <v>479.95033220719404</v>
      </c>
      <c r="K882" s="30">
        <f t="shared" si="101"/>
        <v>7678.6718581746863</v>
      </c>
    </row>
    <row r="883" spans="1:11" x14ac:dyDescent="0.25">
      <c r="A883" s="29">
        <v>833</v>
      </c>
      <c r="B883" s="99">
        <f t="shared" si="102"/>
        <v>0</v>
      </c>
      <c r="C883" s="75">
        <f t="shared" si="106"/>
        <v>104.50616427295054</v>
      </c>
      <c r="D883" s="100">
        <f t="shared" si="103"/>
        <v>445.77777777777789</v>
      </c>
      <c r="E883">
        <f t="shared" ref="E883:E946" si="107">((D883^2)+(D883*D884)+(D884^2))*B884/3</f>
        <v>0</v>
      </c>
      <c r="G883">
        <v>833</v>
      </c>
      <c r="H883" s="15">
        <f t="shared" si="104"/>
        <v>3.3332641781299799E-2</v>
      </c>
      <c r="I883">
        <f t="shared" si="105"/>
        <v>132.27225487676327</v>
      </c>
      <c r="J883">
        <f t="shared" ref="J883:J946" si="108">IF($G$28&lt;$C$14,0,((($C$11^2)-((I883-$C$13)^2))^0.5)+$C$16)</f>
        <v>479.97661286282056</v>
      </c>
      <c r="K883" s="30">
        <f t="shared" ref="K883:K946" si="109">((J883^2)+(J883*J884)+(J884^2))*H884/3</f>
        <v>7679.5124149231815</v>
      </c>
    </row>
    <row r="884" spans="1:11" x14ac:dyDescent="0.25">
      <c r="A884" s="29">
        <v>834</v>
      </c>
      <c r="B884" s="99">
        <f t="shared" ref="B884:B947" si="110">C884-C883</f>
        <v>0</v>
      </c>
      <c r="C884" s="75">
        <f t="shared" si="106"/>
        <v>104.50616427295054</v>
      </c>
      <c r="D884" s="100">
        <f t="shared" ref="D884:D947" si="111">IF($G$28&lt;$C$14,0,((($C$11^2)-((C884-$C$13)^2))^0.5)+$C$16)</f>
        <v>445.77777777777789</v>
      </c>
      <c r="E884">
        <f t="shared" si="107"/>
        <v>0</v>
      </c>
      <c r="G884">
        <v>834</v>
      </c>
      <c r="H884" s="15">
        <f t="shared" ref="H884:H947" si="112">I884-I883</f>
        <v>3.3332641781299799E-2</v>
      </c>
      <c r="I884">
        <f t="shared" ref="I884:I947" si="113">($G$27-$C$14)/2000+I883</f>
        <v>132.30558751854457</v>
      </c>
      <c r="J884">
        <f t="shared" si="108"/>
        <v>480.00287065458951</v>
      </c>
      <c r="K884" s="30">
        <f t="shared" si="109"/>
        <v>7680.3522863884546</v>
      </c>
    </row>
    <row r="885" spans="1:11" x14ac:dyDescent="0.25">
      <c r="A885" s="29">
        <v>835</v>
      </c>
      <c r="B885" s="99">
        <f t="shared" si="110"/>
        <v>0</v>
      </c>
      <c r="C885" s="75">
        <f t="shared" si="106"/>
        <v>104.50616427295054</v>
      </c>
      <c r="D885" s="100">
        <f t="shared" si="111"/>
        <v>445.77777777777789</v>
      </c>
      <c r="E885">
        <f t="shared" si="107"/>
        <v>0</v>
      </c>
      <c r="G885">
        <v>835</v>
      </c>
      <c r="H885" s="15">
        <f t="shared" si="112"/>
        <v>3.3332641781299799E-2</v>
      </c>
      <c r="I885">
        <f t="shared" si="113"/>
        <v>132.33892016032587</v>
      </c>
      <c r="J885">
        <f t="shared" si="108"/>
        <v>480.02910560534866</v>
      </c>
      <c r="K885" s="30">
        <f t="shared" si="109"/>
        <v>7681.1914731809202</v>
      </c>
    </row>
    <row r="886" spans="1:11" x14ac:dyDescent="0.25">
      <c r="A886" s="29">
        <v>836</v>
      </c>
      <c r="B886" s="99">
        <f t="shared" si="110"/>
        <v>0</v>
      </c>
      <c r="C886" s="75">
        <f t="shared" si="106"/>
        <v>104.50616427295054</v>
      </c>
      <c r="D886" s="100">
        <f t="shared" si="111"/>
        <v>445.77777777777789</v>
      </c>
      <c r="E886">
        <f t="shared" si="107"/>
        <v>0</v>
      </c>
      <c r="G886">
        <v>836</v>
      </c>
      <c r="H886" s="15">
        <f t="shared" si="112"/>
        <v>3.3332641781299799E-2</v>
      </c>
      <c r="I886">
        <f t="shared" si="113"/>
        <v>132.37225280210717</v>
      </c>
      <c r="J886">
        <f t="shared" si="108"/>
        <v>480.05531773789539</v>
      </c>
      <c r="K886" s="30">
        <f t="shared" si="109"/>
        <v>7682.0299759096524</v>
      </c>
    </row>
    <row r="887" spans="1:11" x14ac:dyDescent="0.25">
      <c r="A887" s="29">
        <v>837</v>
      </c>
      <c r="B887" s="99">
        <f t="shared" si="110"/>
        <v>0</v>
      </c>
      <c r="C887" s="75">
        <f t="shared" si="106"/>
        <v>104.50616427295054</v>
      </c>
      <c r="D887" s="100">
        <f t="shared" si="111"/>
        <v>445.77777777777789</v>
      </c>
      <c r="E887">
        <f t="shared" si="107"/>
        <v>0</v>
      </c>
      <c r="G887">
        <v>837</v>
      </c>
      <c r="H887" s="15">
        <f t="shared" si="112"/>
        <v>3.3332641781299799E-2</v>
      </c>
      <c r="I887">
        <f t="shared" si="113"/>
        <v>132.40558544388847</v>
      </c>
      <c r="J887">
        <f t="shared" si="108"/>
        <v>480.08150707497708</v>
      </c>
      <c r="K887" s="30">
        <f t="shared" si="109"/>
        <v>7682.8677951823847</v>
      </c>
    </row>
    <row r="888" spans="1:11" x14ac:dyDescent="0.25">
      <c r="A888" s="29">
        <v>838</v>
      </c>
      <c r="B888" s="99">
        <f t="shared" si="110"/>
        <v>0</v>
      </c>
      <c r="C888" s="75">
        <f t="shared" si="106"/>
        <v>104.50616427295054</v>
      </c>
      <c r="D888" s="100">
        <f t="shared" si="111"/>
        <v>445.77777777777789</v>
      </c>
      <c r="E888">
        <f t="shared" si="107"/>
        <v>0</v>
      </c>
      <c r="G888">
        <v>838</v>
      </c>
      <c r="H888" s="15">
        <f t="shared" si="112"/>
        <v>3.3332641781299799E-2</v>
      </c>
      <c r="I888">
        <f t="shared" si="113"/>
        <v>132.43891808566977</v>
      </c>
      <c r="J888">
        <f t="shared" si="108"/>
        <v>480.10767363929097</v>
      </c>
      <c r="K888" s="30">
        <f t="shared" si="109"/>
        <v>7683.7049316055154</v>
      </c>
    </row>
    <row r="889" spans="1:11" x14ac:dyDescent="0.25">
      <c r="A889" s="29">
        <v>839</v>
      </c>
      <c r="B889" s="99">
        <f t="shared" si="110"/>
        <v>0</v>
      </c>
      <c r="C889" s="75">
        <f t="shared" si="106"/>
        <v>104.50616427295054</v>
      </c>
      <c r="D889" s="100">
        <f t="shared" si="111"/>
        <v>445.77777777777789</v>
      </c>
      <c r="E889">
        <f t="shared" si="107"/>
        <v>0</v>
      </c>
      <c r="G889">
        <v>839</v>
      </c>
      <c r="H889" s="15">
        <f t="shared" si="112"/>
        <v>3.3332641781299799E-2</v>
      </c>
      <c r="I889">
        <f t="shared" si="113"/>
        <v>132.47225072745107</v>
      </c>
      <c r="J889">
        <f t="shared" si="108"/>
        <v>480.13381745348465</v>
      </c>
      <c r="K889" s="30">
        <f t="shared" si="109"/>
        <v>7684.5413857841122</v>
      </c>
    </row>
    <row r="890" spans="1:11" x14ac:dyDescent="0.25">
      <c r="A890" s="29">
        <v>840</v>
      </c>
      <c r="B890" s="99">
        <f t="shared" si="110"/>
        <v>0</v>
      </c>
      <c r="C890" s="75">
        <f t="shared" si="106"/>
        <v>104.50616427295054</v>
      </c>
      <c r="D890" s="100">
        <f t="shared" si="111"/>
        <v>445.77777777777789</v>
      </c>
      <c r="E890">
        <f t="shared" si="107"/>
        <v>0</v>
      </c>
      <c r="G890">
        <v>840</v>
      </c>
      <c r="H890" s="15">
        <f t="shared" si="112"/>
        <v>3.3332641781299799E-2</v>
      </c>
      <c r="I890">
        <f t="shared" si="113"/>
        <v>132.50558336923237</v>
      </c>
      <c r="J890">
        <f t="shared" si="108"/>
        <v>480.15993854015596</v>
      </c>
      <c r="K890" s="30">
        <f t="shared" si="109"/>
        <v>7685.3771583219213</v>
      </c>
    </row>
    <row r="891" spans="1:11" x14ac:dyDescent="0.25">
      <c r="A891" s="29">
        <v>841</v>
      </c>
      <c r="B891" s="99">
        <f t="shared" si="110"/>
        <v>0</v>
      </c>
      <c r="C891" s="75">
        <f t="shared" si="106"/>
        <v>104.50616427295054</v>
      </c>
      <c r="D891" s="100">
        <f t="shared" si="111"/>
        <v>445.77777777777789</v>
      </c>
      <c r="E891">
        <f t="shared" si="107"/>
        <v>0</v>
      </c>
      <c r="G891">
        <v>841</v>
      </c>
      <c r="H891" s="15">
        <f t="shared" si="112"/>
        <v>3.3332641781299799E-2</v>
      </c>
      <c r="I891">
        <f t="shared" si="113"/>
        <v>132.53891601101367</v>
      </c>
      <c r="J891">
        <f t="shared" si="108"/>
        <v>480.1860369218532</v>
      </c>
      <c r="K891" s="30">
        <f t="shared" si="109"/>
        <v>7686.2122498213575</v>
      </c>
    </row>
    <row r="892" spans="1:11" x14ac:dyDescent="0.25">
      <c r="A892" s="29">
        <v>842</v>
      </c>
      <c r="B892" s="99">
        <f t="shared" si="110"/>
        <v>0</v>
      </c>
      <c r="C892" s="75">
        <f t="shared" si="106"/>
        <v>104.50616427295054</v>
      </c>
      <c r="D892" s="100">
        <f t="shared" si="111"/>
        <v>445.77777777777789</v>
      </c>
      <c r="E892">
        <f t="shared" si="107"/>
        <v>0</v>
      </c>
      <c r="G892">
        <v>842</v>
      </c>
      <c r="H892" s="15">
        <f t="shared" si="112"/>
        <v>3.3332641781299799E-2</v>
      </c>
      <c r="I892">
        <f t="shared" si="113"/>
        <v>132.57224865279497</v>
      </c>
      <c r="J892">
        <f t="shared" si="108"/>
        <v>480.21211262107528</v>
      </c>
      <c r="K892" s="30">
        <f t="shared" si="109"/>
        <v>7687.0466608835268</v>
      </c>
    </row>
    <row r="893" spans="1:11" x14ac:dyDescent="0.25">
      <c r="A893" s="29">
        <v>843</v>
      </c>
      <c r="B893" s="99">
        <f t="shared" si="110"/>
        <v>0</v>
      </c>
      <c r="C893" s="75">
        <f t="shared" si="106"/>
        <v>104.50616427295054</v>
      </c>
      <c r="D893" s="100">
        <f t="shared" si="111"/>
        <v>445.77777777777789</v>
      </c>
      <c r="E893">
        <f t="shared" si="107"/>
        <v>0</v>
      </c>
      <c r="G893">
        <v>843</v>
      </c>
      <c r="H893" s="15">
        <f t="shared" si="112"/>
        <v>3.3332641781299799E-2</v>
      </c>
      <c r="I893">
        <f t="shared" si="113"/>
        <v>132.60558129457627</v>
      </c>
      <c r="J893">
        <f t="shared" si="108"/>
        <v>480.23816566027199</v>
      </c>
      <c r="K893" s="30">
        <f t="shared" si="109"/>
        <v>7687.8803921082135</v>
      </c>
    </row>
    <row r="894" spans="1:11" x14ac:dyDescent="0.25">
      <c r="A894" s="29">
        <v>844</v>
      </c>
      <c r="B894" s="99">
        <f t="shared" si="110"/>
        <v>0</v>
      </c>
      <c r="C894" s="75">
        <f t="shared" si="106"/>
        <v>104.50616427295054</v>
      </c>
      <c r="D894" s="100">
        <f t="shared" si="111"/>
        <v>445.77777777777789</v>
      </c>
      <c r="E894">
        <f t="shared" si="107"/>
        <v>0</v>
      </c>
      <c r="G894">
        <v>844</v>
      </c>
      <c r="H894" s="15">
        <f t="shared" si="112"/>
        <v>3.3332641781299799E-2</v>
      </c>
      <c r="I894">
        <f t="shared" si="113"/>
        <v>132.63891393635757</v>
      </c>
      <c r="J894">
        <f t="shared" si="108"/>
        <v>480.26419606184396</v>
      </c>
      <c r="K894" s="30">
        <f t="shared" si="109"/>
        <v>7688.7134440938898</v>
      </c>
    </row>
    <row r="895" spans="1:11" x14ac:dyDescent="0.25">
      <c r="A895" s="29">
        <v>845</v>
      </c>
      <c r="B895" s="99">
        <f t="shared" si="110"/>
        <v>0</v>
      </c>
      <c r="C895" s="75">
        <f t="shared" si="106"/>
        <v>104.50616427295054</v>
      </c>
      <c r="D895" s="100">
        <f t="shared" si="111"/>
        <v>445.77777777777789</v>
      </c>
      <c r="E895">
        <f t="shared" si="107"/>
        <v>0</v>
      </c>
      <c r="G895">
        <v>845</v>
      </c>
      <c r="H895" s="15">
        <f t="shared" si="112"/>
        <v>3.3332641781299799E-2</v>
      </c>
      <c r="I895">
        <f t="shared" si="113"/>
        <v>132.67224657813887</v>
      </c>
      <c r="J895">
        <f t="shared" si="108"/>
        <v>480.29020384814282</v>
      </c>
      <c r="K895" s="30">
        <f t="shared" si="109"/>
        <v>7689.5458174377272</v>
      </c>
    </row>
    <row r="896" spans="1:11" x14ac:dyDescent="0.25">
      <c r="A896" s="29">
        <v>846</v>
      </c>
      <c r="B896" s="99">
        <f t="shared" si="110"/>
        <v>0</v>
      </c>
      <c r="C896" s="75">
        <f t="shared" si="106"/>
        <v>104.50616427295054</v>
      </c>
      <c r="D896" s="100">
        <f t="shared" si="111"/>
        <v>445.77777777777789</v>
      </c>
      <c r="E896">
        <f t="shared" si="107"/>
        <v>0</v>
      </c>
      <c r="G896">
        <v>846</v>
      </c>
      <c r="H896" s="15">
        <f t="shared" si="112"/>
        <v>3.3332641781299799E-2</v>
      </c>
      <c r="I896">
        <f t="shared" si="113"/>
        <v>132.70557921992017</v>
      </c>
      <c r="J896">
        <f t="shared" si="108"/>
        <v>480.31618904147149</v>
      </c>
      <c r="K896" s="30">
        <f t="shared" si="109"/>
        <v>7690.3775127355921</v>
      </c>
    </row>
    <row r="897" spans="1:11" x14ac:dyDescent="0.25">
      <c r="A897" s="29">
        <v>847</v>
      </c>
      <c r="B897" s="99">
        <f t="shared" si="110"/>
        <v>0</v>
      </c>
      <c r="C897" s="75">
        <f t="shared" si="106"/>
        <v>104.50616427295054</v>
      </c>
      <c r="D897" s="100">
        <f t="shared" si="111"/>
        <v>445.77777777777789</v>
      </c>
      <c r="E897">
        <f t="shared" si="107"/>
        <v>0</v>
      </c>
      <c r="G897">
        <v>847</v>
      </c>
      <c r="H897" s="15">
        <f t="shared" si="112"/>
        <v>3.3332641781299799E-2</v>
      </c>
      <c r="I897">
        <f t="shared" si="113"/>
        <v>132.73891186170147</v>
      </c>
      <c r="J897">
        <f t="shared" si="108"/>
        <v>480.34215166408421</v>
      </c>
      <c r="K897" s="30">
        <f t="shared" si="109"/>
        <v>7691.2085305820465</v>
      </c>
    </row>
    <row r="898" spans="1:11" x14ac:dyDescent="0.25">
      <c r="A898" s="29">
        <v>848</v>
      </c>
      <c r="B898" s="99">
        <f t="shared" si="110"/>
        <v>0</v>
      </c>
      <c r="C898" s="75">
        <f t="shared" si="106"/>
        <v>104.50616427295054</v>
      </c>
      <c r="D898" s="100">
        <f t="shared" si="111"/>
        <v>445.77777777777789</v>
      </c>
      <c r="E898">
        <f t="shared" si="107"/>
        <v>0</v>
      </c>
      <c r="G898">
        <v>848</v>
      </c>
      <c r="H898" s="15">
        <f t="shared" si="112"/>
        <v>3.3332641781299799E-2</v>
      </c>
      <c r="I898">
        <f t="shared" si="113"/>
        <v>132.77224450348277</v>
      </c>
      <c r="J898">
        <f t="shared" si="108"/>
        <v>480.36809173818671</v>
      </c>
      <c r="K898" s="30">
        <f t="shared" si="109"/>
        <v>7692.0388715703602</v>
      </c>
    </row>
    <row r="899" spans="1:11" x14ac:dyDescent="0.25">
      <c r="A899" s="29">
        <v>849</v>
      </c>
      <c r="B899" s="99">
        <f t="shared" si="110"/>
        <v>0</v>
      </c>
      <c r="C899" s="75">
        <f t="shared" si="106"/>
        <v>104.50616427295054</v>
      </c>
      <c r="D899" s="100">
        <f t="shared" si="111"/>
        <v>445.77777777777789</v>
      </c>
      <c r="E899">
        <f t="shared" si="107"/>
        <v>0</v>
      </c>
      <c r="G899">
        <v>849</v>
      </c>
      <c r="H899" s="15">
        <f t="shared" si="112"/>
        <v>3.3332641781299799E-2</v>
      </c>
      <c r="I899">
        <f t="shared" si="113"/>
        <v>132.80557714526407</v>
      </c>
      <c r="J899">
        <f t="shared" si="108"/>
        <v>480.39400928593625</v>
      </c>
      <c r="K899" s="30">
        <f t="shared" si="109"/>
        <v>7692.8685362925162</v>
      </c>
    </row>
    <row r="900" spans="1:11" x14ac:dyDescent="0.25">
      <c r="A900" s="29">
        <v>850</v>
      </c>
      <c r="B900" s="99">
        <f t="shared" si="110"/>
        <v>0</v>
      </c>
      <c r="C900" s="75">
        <f t="shared" si="106"/>
        <v>104.50616427295054</v>
      </c>
      <c r="D900" s="100">
        <f t="shared" si="111"/>
        <v>445.77777777777789</v>
      </c>
      <c r="E900">
        <f t="shared" si="107"/>
        <v>0</v>
      </c>
      <c r="G900">
        <v>850</v>
      </c>
      <c r="H900" s="15">
        <f t="shared" si="112"/>
        <v>3.3332641781299799E-2</v>
      </c>
      <c r="I900">
        <f t="shared" si="113"/>
        <v>132.83890978704537</v>
      </c>
      <c r="J900">
        <f t="shared" si="108"/>
        <v>480.41990432944215</v>
      </c>
      <c r="K900" s="30">
        <f t="shared" si="109"/>
        <v>7693.6975253391984</v>
      </c>
    </row>
    <row r="901" spans="1:11" x14ac:dyDescent="0.25">
      <c r="A901" s="29">
        <v>851</v>
      </c>
      <c r="B901" s="99">
        <f t="shared" si="110"/>
        <v>0</v>
      </c>
      <c r="C901" s="75">
        <f t="shared" si="106"/>
        <v>104.50616427295054</v>
      </c>
      <c r="D901" s="100">
        <f t="shared" si="111"/>
        <v>445.77777777777789</v>
      </c>
      <c r="E901">
        <f t="shared" si="107"/>
        <v>0</v>
      </c>
      <c r="G901">
        <v>851</v>
      </c>
      <c r="H901" s="15">
        <f t="shared" si="112"/>
        <v>3.3332641781299799E-2</v>
      </c>
      <c r="I901">
        <f t="shared" si="113"/>
        <v>132.87224242882667</v>
      </c>
      <c r="J901">
        <f t="shared" si="108"/>
        <v>480.44577689076527</v>
      </c>
      <c r="K901" s="30">
        <f t="shared" si="109"/>
        <v>7694.5258392998176</v>
      </c>
    </row>
    <row r="902" spans="1:11" x14ac:dyDescent="0.25">
      <c r="A902" s="29">
        <v>852</v>
      </c>
      <c r="B902" s="99">
        <f t="shared" si="110"/>
        <v>0</v>
      </c>
      <c r="C902" s="75">
        <f t="shared" si="106"/>
        <v>104.50616427295054</v>
      </c>
      <c r="D902" s="100">
        <f t="shared" si="111"/>
        <v>445.77777777777789</v>
      </c>
      <c r="E902">
        <f t="shared" si="107"/>
        <v>0</v>
      </c>
      <c r="G902">
        <v>852</v>
      </c>
      <c r="H902" s="15">
        <f t="shared" si="112"/>
        <v>3.3332641781299799E-2</v>
      </c>
      <c r="I902">
        <f t="shared" si="113"/>
        <v>132.90557507060797</v>
      </c>
      <c r="J902">
        <f t="shared" si="108"/>
        <v>480.47162699191887</v>
      </c>
      <c r="K902" s="30">
        <f t="shared" si="109"/>
        <v>7695.3534787625003</v>
      </c>
    </row>
    <row r="903" spans="1:11" x14ac:dyDescent="0.25">
      <c r="A903" s="29">
        <v>853</v>
      </c>
      <c r="B903" s="99">
        <f t="shared" si="110"/>
        <v>0</v>
      </c>
      <c r="C903" s="75">
        <f t="shared" si="106"/>
        <v>104.50616427295054</v>
      </c>
      <c r="D903" s="100">
        <f t="shared" si="111"/>
        <v>445.77777777777789</v>
      </c>
      <c r="E903">
        <f t="shared" si="107"/>
        <v>0</v>
      </c>
      <c r="G903">
        <v>853</v>
      </c>
      <c r="H903" s="15">
        <f t="shared" si="112"/>
        <v>3.3332641781299799E-2</v>
      </c>
      <c r="I903">
        <f t="shared" si="113"/>
        <v>132.93890771238927</v>
      </c>
      <c r="J903">
        <f t="shared" si="108"/>
        <v>480.49745465486819</v>
      </c>
      <c r="K903" s="30">
        <f t="shared" si="109"/>
        <v>7696.1804443140927</v>
      </c>
    </row>
    <row r="904" spans="1:11" x14ac:dyDescent="0.25">
      <c r="A904" s="29">
        <v>854</v>
      </c>
      <c r="B904" s="99">
        <f t="shared" si="110"/>
        <v>0</v>
      </c>
      <c r="C904" s="75">
        <f t="shared" si="106"/>
        <v>104.50616427295054</v>
      </c>
      <c r="D904" s="100">
        <f t="shared" si="111"/>
        <v>445.77777777777789</v>
      </c>
      <c r="E904">
        <f t="shared" si="107"/>
        <v>0</v>
      </c>
      <c r="G904">
        <v>854</v>
      </c>
      <c r="H904" s="15">
        <f t="shared" si="112"/>
        <v>3.3332641781299799E-2</v>
      </c>
      <c r="I904">
        <f t="shared" si="113"/>
        <v>132.97224035417057</v>
      </c>
      <c r="J904">
        <f t="shared" si="108"/>
        <v>480.52325990153088</v>
      </c>
      <c r="K904" s="30">
        <f t="shared" si="109"/>
        <v>7697.0067365401728</v>
      </c>
    </row>
    <row r="905" spans="1:11" x14ac:dyDescent="0.25">
      <c r="A905" s="29">
        <v>855</v>
      </c>
      <c r="B905" s="99">
        <f t="shared" si="110"/>
        <v>0</v>
      </c>
      <c r="C905" s="75">
        <f t="shared" si="106"/>
        <v>104.50616427295054</v>
      </c>
      <c r="D905" s="100">
        <f t="shared" si="111"/>
        <v>445.77777777777789</v>
      </c>
      <c r="E905">
        <f t="shared" si="107"/>
        <v>0</v>
      </c>
      <c r="G905">
        <v>855</v>
      </c>
      <c r="H905" s="15">
        <f t="shared" si="112"/>
        <v>3.3332641781299799E-2</v>
      </c>
      <c r="I905">
        <f t="shared" si="113"/>
        <v>133.00557299595187</v>
      </c>
      <c r="J905">
        <f t="shared" si="108"/>
        <v>480.54904275377703</v>
      </c>
      <c r="K905" s="30">
        <f t="shared" si="109"/>
        <v>7697.8323560250437</v>
      </c>
    </row>
    <row r="906" spans="1:11" x14ac:dyDescent="0.25">
      <c r="A906" s="29">
        <v>856</v>
      </c>
      <c r="B906" s="99">
        <f t="shared" si="110"/>
        <v>0</v>
      </c>
      <c r="C906" s="75">
        <f t="shared" si="106"/>
        <v>104.50616427295054</v>
      </c>
      <c r="D906" s="100">
        <f t="shared" si="111"/>
        <v>445.77777777777789</v>
      </c>
      <c r="E906">
        <f t="shared" si="107"/>
        <v>0</v>
      </c>
      <c r="G906">
        <v>856</v>
      </c>
      <c r="H906" s="15">
        <f t="shared" si="112"/>
        <v>3.3332641781299799E-2</v>
      </c>
      <c r="I906">
        <f t="shared" si="113"/>
        <v>133.03890563773317</v>
      </c>
      <c r="J906">
        <f t="shared" si="108"/>
        <v>480.57480323342946</v>
      </c>
      <c r="K906" s="30">
        <f t="shared" si="109"/>
        <v>7698.6573033517552</v>
      </c>
    </row>
    <row r="907" spans="1:11" x14ac:dyDescent="0.25">
      <c r="A907" s="29">
        <v>857</v>
      </c>
      <c r="B907" s="99">
        <f t="shared" si="110"/>
        <v>0</v>
      </c>
      <c r="C907" s="75">
        <f t="shared" si="106"/>
        <v>104.50616427295054</v>
      </c>
      <c r="D907" s="100">
        <f t="shared" si="111"/>
        <v>445.77777777777789</v>
      </c>
      <c r="E907">
        <f t="shared" si="107"/>
        <v>0</v>
      </c>
      <c r="G907">
        <v>857</v>
      </c>
      <c r="H907" s="15">
        <f t="shared" si="112"/>
        <v>3.3332641781299799E-2</v>
      </c>
      <c r="I907">
        <f t="shared" si="113"/>
        <v>133.07223827951447</v>
      </c>
      <c r="J907">
        <f t="shared" si="108"/>
        <v>480.60054136226358</v>
      </c>
      <c r="K907" s="30">
        <f t="shared" si="109"/>
        <v>7699.4815791020801</v>
      </c>
    </row>
    <row r="908" spans="1:11" x14ac:dyDescent="0.25">
      <c r="A908" s="29">
        <v>858</v>
      </c>
      <c r="B908" s="99">
        <f t="shared" si="110"/>
        <v>0</v>
      </c>
      <c r="C908" s="75">
        <f t="shared" si="106"/>
        <v>104.50616427295054</v>
      </c>
      <c r="D908" s="100">
        <f t="shared" si="111"/>
        <v>445.77777777777789</v>
      </c>
      <c r="E908">
        <f t="shared" si="107"/>
        <v>0</v>
      </c>
      <c r="G908">
        <v>858</v>
      </c>
      <c r="H908" s="15">
        <f t="shared" si="112"/>
        <v>3.3332641781299799E-2</v>
      </c>
      <c r="I908">
        <f t="shared" si="113"/>
        <v>133.10557092129577</v>
      </c>
      <c r="J908">
        <f t="shared" si="108"/>
        <v>480.62625716200785</v>
      </c>
      <c r="K908" s="30">
        <f t="shared" si="109"/>
        <v>7700.3051838565443</v>
      </c>
    </row>
    <row r="909" spans="1:11" x14ac:dyDescent="0.25">
      <c r="A909" s="29">
        <v>859</v>
      </c>
      <c r="B909" s="99">
        <f t="shared" si="110"/>
        <v>0</v>
      </c>
      <c r="C909" s="75">
        <f t="shared" si="106"/>
        <v>104.50616427295054</v>
      </c>
      <c r="D909" s="100">
        <f t="shared" si="111"/>
        <v>445.77777777777789</v>
      </c>
      <c r="E909">
        <f t="shared" si="107"/>
        <v>0</v>
      </c>
      <c r="G909">
        <v>859</v>
      </c>
      <c r="H909" s="15">
        <f t="shared" si="112"/>
        <v>3.3332641781299799E-2</v>
      </c>
      <c r="I909">
        <f t="shared" si="113"/>
        <v>133.13890356307706</v>
      </c>
      <c r="J909">
        <f t="shared" si="108"/>
        <v>480.65195065434369</v>
      </c>
      <c r="K909" s="30">
        <f t="shared" si="109"/>
        <v>7701.1281181944132</v>
      </c>
    </row>
    <row r="910" spans="1:11" x14ac:dyDescent="0.25">
      <c r="A910" s="29">
        <v>860</v>
      </c>
      <c r="B910" s="99">
        <f t="shared" si="110"/>
        <v>0</v>
      </c>
      <c r="C910" s="75">
        <f t="shared" si="106"/>
        <v>104.50616427295054</v>
      </c>
      <c r="D910" s="100">
        <f t="shared" si="111"/>
        <v>445.77777777777789</v>
      </c>
      <c r="E910">
        <f t="shared" si="107"/>
        <v>0</v>
      </c>
      <c r="G910">
        <v>860</v>
      </c>
      <c r="H910" s="15">
        <f t="shared" si="112"/>
        <v>3.3332641781299799E-2</v>
      </c>
      <c r="I910">
        <f t="shared" si="113"/>
        <v>133.17223620485836</v>
      </c>
      <c r="J910">
        <f t="shared" si="108"/>
        <v>480.67762186090562</v>
      </c>
      <c r="K910" s="30">
        <f t="shared" si="109"/>
        <v>7701.9503826937034</v>
      </c>
    </row>
    <row r="911" spans="1:11" x14ac:dyDescent="0.25">
      <c r="A911" s="29">
        <v>861</v>
      </c>
      <c r="B911" s="99">
        <f t="shared" si="110"/>
        <v>0</v>
      </c>
      <c r="C911" s="75">
        <f t="shared" si="106"/>
        <v>104.50616427295054</v>
      </c>
      <c r="D911" s="100">
        <f t="shared" si="111"/>
        <v>445.77777777777789</v>
      </c>
      <c r="E911">
        <f t="shared" si="107"/>
        <v>0</v>
      </c>
      <c r="G911">
        <v>861</v>
      </c>
      <c r="H911" s="15">
        <f t="shared" si="112"/>
        <v>3.3332641781299799E-2</v>
      </c>
      <c r="I911">
        <f t="shared" si="113"/>
        <v>133.20556884663966</v>
      </c>
      <c r="J911">
        <f t="shared" si="108"/>
        <v>480.70327080328161</v>
      </c>
      <c r="K911" s="30">
        <f t="shared" si="109"/>
        <v>7702.7719779311856</v>
      </c>
    </row>
    <row r="912" spans="1:11" x14ac:dyDescent="0.25">
      <c r="A912" s="29">
        <v>862</v>
      </c>
      <c r="B912" s="99">
        <f t="shared" si="110"/>
        <v>0</v>
      </c>
      <c r="C912" s="75">
        <f t="shared" ref="C912:C975" si="114">($C$37-$C$36)/2000+C911</f>
        <v>104.50616427295054</v>
      </c>
      <c r="D912" s="100">
        <f t="shared" si="111"/>
        <v>445.77777777777789</v>
      </c>
      <c r="E912">
        <f t="shared" si="107"/>
        <v>0</v>
      </c>
      <c r="G912">
        <v>862</v>
      </c>
      <c r="H912" s="15">
        <f t="shared" si="112"/>
        <v>3.3332641781299799E-2</v>
      </c>
      <c r="I912">
        <f t="shared" si="113"/>
        <v>133.23890148842096</v>
      </c>
      <c r="J912">
        <f t="shared" si="108"/>
        <v>480.72889750301294</v>
      </c>
      <c r="K912" s="30">
        <f t="shared" si="109"/>
        <v>7703.592904482387</v>
      </c>
    </row>
    <row r="913" spans="1:11" x14ac:dyDescent="0.25">
      <c r="A913" s="29">
        <v>863</v>
      </c>
      <c r="B913" s="99">
        <f t="shared" si="110"/>
        <v>0</v>
      </c>
      <c r="C913" s="75">
        <f t="shared" si="114"/>
        <v>104.50616427295054</v>
      </c>
      <c r="D913" s="100">
        <f t="shared" si="111"/>
        <v>445.77777777777789</v>
      </c>
      <c r="E913">
        <f t="shared" si="107"/>
        <v>0</v>
      </c>
      <c r="G913">
        <v>863</v>
      </c>
      <c r="H913" s="15">
        <f t="shared" si="112"/>
        <v>3.3332641781299799E-2</v>
      </c>
      <c r="I913">
        <f t="shared" si="113"/>
        <v>133.27223413020226</v>
      </c>
      <c r="J913">
        <f t="shared" si="108"/>
        <v>480.75450198159456</v>
      </c>
      <c r="K913" s="30">
        <f t="shared" si="109"/>
        <v>7704.413162921589</v>
      </c>
    </row>
    <row r="914" spans="1:11" x14ac:dyDescent="0.25">
      <c r="A914" s="29">
        <v>864</v>
      </c>
      <c r="B914" s="99">
        <f t="shared" si="110"/>
        <v>0</v>
      </c>
      <c r="C914" s="75">
        <f t="shared" si="114"/>
        <v>104.50616427295054</v>
      </c>
      <c r="D914" s="100">
        <f t="shared" si="111"/>
        <v>445.77777777777789</v>
      </c>
      <c r="E914">
        <f t="shared" si="107"/>
        <v>0</v>
      </c>
      <c r="G914">
        <v>864</v>
      </c>
      <c r="H914" s="15">
        <f t="shared" si="112"/>
        <v>3.3332641781299799E-2</v>
      </c>
      <c r="I914">
        <f t="shared" si="113"/>
        <v>133.30556677198356</v>
      </c>
      <c r="J914">
        <f t="shared" si="108"/>
        <v>480.78008426047501</v>
      </c>
      <c r="K914" s="30">
        <f t="shared" si="109"/>
        <v>7705.232753821846</v>
      </c>
    </row>
    <row r="915" spans="1:11" x14ac:dyDescent="0.25">
      <c r="A915" s="29">
        <v>865</v>
      </c>
      <c r="B915" s="99">
        <f t="shared" si="110"/>
        <v>0</v>
      </c>
      <c r="C915" s="75">
        <f t="shared" si="114"/>
        <v>104.50616427295054</v>
      </c>
      <c r="D915" s="100">
        <f t="shared" si="111"/>
        <v>445.77777777777789</v>
      </c>
      <c r="E915">
        <f t="shared" si="107"/>
        <v>0</v>
      </c>
      <c r="G915">
        <v>865</v>
      </c>
      <c r="H915" s="15">
        <f t="shared" si="112"/>
        <v>3.3332641781299799E-2</v>
      </c>
      <c r="I915">
        <f t="shared" si="113"/>
        <v>133.33889941376486</v>
      </c>
      <c r="J915">
        <f t="shared" si="108"/>
        <v>480.80564436105686</v>
      </c>
      <c r="K915" s="30">
        <f t="shared" si="109"/>
        <v>7706.0516777549756</v>
      </c>
    </row>
    <row r="916" spans="1:11" x14ac:dyDescent="0.25">
      <c r="A916" s="29">
        <v>866</v>
      </c>
      <c r="B916" s="99">
        <f t="shared" si="110"/>
        <v>0</v>
      </c>
      <c r="C916" s="75">
        <f t="shared" si="114"/>
        <v>104.50616427295054</v>
      </c>
      <c r="D916" s="100">
        <f t="shared" si="111"/>
        <v>445.77777777777789</v>
      </c>
      <c r="E916">
        <f t="shared" si="107"/>
        <v>0</v>
      </c>
      <c r="G916">
        <v>866</v>
      </c>
      <c r="H916" s="15">
        <f t="shared" si="112"/>
        <v>3.3332641781299799E-2</v>
      </c>
      <c r="I916">
        <f t="shared" si="113"/>
        <v>133.37223205554616</v>
      </c>
      <c r="J916">
        <f t="shared" si="108"/>
        <v>480.83118230469648</v>
      </c>
      <c r="K916" s="30">
        <f t="shared" si="109"/>
        <v>7706.8699352915637</v>
      </c>
    </row>
    <row r="917" spans="1:11" x14ac:dyDescent="0.25">
      <c r="A917" s="29">
        <v>867</v>
      </c>
      <c r="B917" s="99">
        <f t="shared" si="110"/>
        <v>0</v>
      </c>
      <c r="C917" s="75">
        <f t="shared" si="114"/>
        <v>104.50616427295054</v>
      </c>
      <c r="D917" s="100">
        <f t="shared" si="111"/>
        <v>445.77777777777789</v>
      </c>
      <c r="E917">
        <f t="shared" si="107"/>
        <v>0</v>
      </c>
      <c r="G917">
        <v>867</v>
      </c>
      <c r="H917" s="15">
        <f t="shared" si="112"/>
        <v>3.3332641781299799E-2</v>
      </c>
      <c r="I917">
        <f t="shared" si="113"/>
        <v>133.40556469732746</v>
      </c>
      <c r="J917">
        <f t="shared" si="108"/>
        <v>480.85669811270446</v>
      </c>
      <c r="K917" s="30">
        <f t="shared" si="109"/>
        <v>7707.6875270009741</v>
      </c>
    </row>
    <row r="918" spans="1:11" x14ac:dyDescent="0.25">
      <c r="A918" s="29">
        <v>868</v>
      </c>
      <c r="B918" s="99">
        <f t="shared" si="110"/>
        <v>0</v>
      </c>
      <c r="C918" s="75">
        <f t="shared" si="114"/>
        <v>104.50616427295054</v>
      </c>
      <c r="D918" s="100">
        <f t="shared" si="111"/>
        <v>445.77777777777789</v>
      </c>
      <c r="E918">
        <f t="shared" si="107"/>
        <v>0</v>
      </c>
      <c r="G918">
        <v>868</v>
      </c>
      <c r="H918" s="15">
        <f t="shared" si="112"/>
        <v>3.3332641781299799E-2</v>
      </c>
      <c r="I918">
        <f t="shared" si="113"/>
        <v>133.43889733910876</v>
      </c>
      <c r="J918">
        <f t="shared" si="108"/>
        <v>480.88219180634559</v>
      </c>
      <c r="K918" s="30">
        <f t="shared" si="109"/>
        <v>7708.5044534513463</v>
      </c>
    </row>
    <row r="919" spans="1:11" x14ac:dyDescent="0.25">
      <c r="A919" s="29">
        <v>869</v>
      </c>
      <c r="B919" s="99">
        <f t="shared" si="110"/>
        <v>0</v>
      </c>
      <c r="C919" s="75">
        <f t="shared" si="114"/>
        <v>104.50616427295054</v>
      </c>
      <c r="D919" s="100">
        <f t="shared" si="111"/>
        <v>445.77777777777789</v>
      </c>
      <c r="E919">
        <f t="shared" si="107"/>
        <v>0</v>
      </c>
      <c r="G919">
        <v>869</v>
      </c>
      <c r="H919" s="15">
        <f t="shared" si="112"/>
        <v>3.3332641781299799E-2</v>
      </c>
      <c r="I919">
        <f t="shared" si="113"/>
        <v>133.47222998089006</v>
      </c>
      <c r="J919">
        <f t="shared" si="108"/>
        <v>480.90766340683899</v>
      </c>
      <c r="K919" s="30">
        <f t="shared" si="109"/>
        <v>7709.3207152096029</v>
      </c>
    </row>
    <row r="920" spans="1:11" x14ac:dyDescent="0.25">
      <c r="A920" s="29">
        <v>870</v>
      </c>
      <c r="B920" s="99">
        <f t="shared" si="110"/>
        <v>0</v>
      </c>
      <c r="C920" s="75">
        <f t="shared" si="114"/>
        <v>104.50616427295054</v>
      </c>
      <c r="D920" s="100">
        <f t="shared" si="111"/>
        <v>445.77777777777789</v>
      </c>
      <c r="E920">
        <f t="shared" si="107"/>
        <v>0</v>
      </c>
      <c r="G920">
        <v>870</v>
      </c>
      <c r="H920" s="15">
        <f t="shared" si="112"/>
        <v>3.3332641781299799E-2</v>
      </c>
      <c r="I920">
        <f t="shared" si="113"/>
        <v>133.50556262267136</v>
      </c>
      <c r="J920">
        <f t="shared" si="108"/>
        <v>480.93311293535839</v>
      </c>
      <c r="K920" s="30">
        <f t="shared" si="109"/>
        <v>7710.1363128414496</v>
      </c>
    </row>
    <row r="921" spans="1:11" x14ac:dyDescent="0.25">
      <c r="A921" s="29">
        <v>871</v>
      </c>
      <c r="B921" s="99">
        <f t="shared" si="110"/>
        <v>0</v>
      </c>
      <c r="C921" s="75">
        <f t="shared" si="114"/>
        <v>104.50616427295054</v>
      </c>
      <c r="D921" s="100">
        <f t="shared" si="111"/>
        <v>445.77777777777789</v>
      </c>
      <c r="E921">
        <f t="shared" si="107"/>
        <v>0</v>
      </c>
      <c r="G921">
        <v>871</v>
      </c>
      <c r="H921" s="15">
        <f t="shared" si="112"/>
        <v>3.3332641781299799E-2</v>
      </c>
      <c r="I921">
        <f t="shared" si="113"/>
        <v>133.53889526445266</v>
      </c>
      <c r="J921">
        <f t="shared" si="108"/>
        <v>480.95854041303215</v>
      </c>
      <c r="K921" s="30">
        <f t="shared" si="109"/>
        <v>7710.9512469113843</v>
      </c>
    </row>
    <row r="922" spans="1:11" x14ac:dyDescent="0.25">
      <c r="A922" s="29">
        <v>872</v>
      </c>
      <c r="B922" s="99">
        <f t="shared" si="110"/>
        <v>0</v>
      </c>
      <c r="C922" s="75">
        <f t="shared" si="114"/>
        <v>104.50616427295054</v>
      </c>
      <c r="D922" s="100">
        <f t="shared" si="111"/>
        <v>445.77777777777789</v>
      </c>
      <c r="E922">
        <f t="shared" si="107"/>
        <v>0</v>
      </c>
      <c r="G922">
        <v>872</v>
      </c>
      <c r="H922" s="15">
        <f t="shared" si="112"/>
        <v>3.3332641781299799E-2</v>
      </c>
      <c r="I922">
        <f t="shared" si="113"/>
        <v>133.57222790623396</v>
      </c>
      <c r="J922">
        <f t="shared" si="108"/>
        <v>480.98394586094327</v>
      </c>
      <c r="K922" s="30">
        <f t="shared" si="109"/>
        <v>7711.7655179826934</v>
      </c>
    </row>
    <row r="923" spans="1:11" x14ac:dyDescent="0.25">
      <c r="A923" s="29">
        <v>873</v>
      </c>
      <c r="B923" s="99">
        <f t="shared" si="110"/>
        <v>0</v>
      </c>
      <c r="C923" s="75">
        <f t="shared" si="114"/>
        <v>104.50616427295054</v>
      </c>
      <c r="D923" s="100">
        <f t="shared" si="111"/>
        <v>445.77777777777789</v>
      </c>
      <c r="E923">
        <f t="shared" si="107"/>
        <v>0</v>
      </c>
      <c r="G923">
        <v>873</v>
      </c>
      <c r="H923" s="15">
        <f t="shared" si="112"/>
        <v>3.3332641781299799E-2</v>
      </c>
      <c r="I923">
        <f t="shared" si="113"/>
        <v>133.60556054801526</v>
      </c>
      <c r="J923">
        <f t="shared" si="108"/>
        <v>481.00932930012982</v>
      </c>
      <c r="K923" s="30">
        <f t="shared" si="109"/>
        <v>7712.5791266174601</v>
      </c>
    </row>
    <row r="924" spans="1:11" x14ac:dyDescent="0.25">
      <c r="A924" s="29">
        <v>874</v>
      </c>
      <c r="B924" s="99">
        <f t="shared" si="110"/>
        <v>0</v>
      </c>
      <c r="C924" s="75">
        <f t="shared" si="114"/>
        <v>104.50616427295054</v>
      </c>
      <c r="D924" s="100">
        <f t="shared" si="111"/>
        <v>445.77777777777789</v>
      </c>
      <c r="E924">
        <f t="shared" si="107"/>
        <v>0</v>
      </c>
      <c r="G924">
        <v>874</v>
      </c>
      <c r="H924" s="15">
        <f t="shared" si="112"/>
        <v>3.3332641781299799E-2</v>
      </c>
      <c r="I924">
        <f t="shared" si="113"/>
        <v>133.63889318979656</v>
      </c>
      <c r="J924">
        <f t="shared" si="108"/>
        <v>481.03469075158472</v>
      </c>
      <c r="K924" s="30">
        <f t="shared" si="109"/>
        <v>7713.3920733765663</v>
      </c>
    </row>
    <row r="925" spans="1:11" x14ac:dyDescent="0.25">
      <c r="A925" s="29">
        <v>875</v>
      </c>
      <c r="B925" s="99">
        <f t="shared" si="110"/>
        <v>0</v>
      </c>
      <c r="C925" s="75">
        <f t="shared" si="114"/>
        <v>104.50616427295054</v>
      </c>
      <c r="D925" s="100">
        <f t="shared" si="111"/>
        <v>445.77777777777789</v>
      </c>
      <c r="E925">
        <f t="shared" si="107"/>
        <v>0</v>
      </c>
      <c r="G925">
        <v>875</v>
      </c>
      <c r="H925" s="15">
        <f t="shared" si="112"/>
        <v>3.3332641781299799E-2</v>
      </c>
      <c r="I925">
        <f t="shared" si="113"/>
        <v>133.67222583157786</v>
      </c>
      <c r="J925">
        <f t="shared" si="108"/>
        <v>481.0600302362563</v>
      </c>
      <c r="K925" s="30">
        <f t="shared" si="109"/>
        <v>7714.2043588196975</v>
      </c>
    </row>
    <row r="926" spans="1:11" x14ac:dyDescent="0.25">
      <c r="A926" s="29">
        <v>876</v>
      </c>
      <c r="B926" s="99">
        <f t="shared" si="110"/>
        <v>0</v>
      </c>
      <c r="C926" s="75">
        <f t="shared" si="114"/>
        <v>104.50616427295054</v>
      </c>
      <c r="D926" s="100">
        <f t="shared" si="111"/>
        <v>445.77777777777789</v>
      </c>
      <c r="E926">
        <f t="shared" si="107"/>
        <v>0</v>
      </c>
      <c r="G926">
        <v>876</v>
      </c>
      <c r="H926" s="15">
        <f t="shared" si="112"/>
        <v>3.3332641781299799E-2</v>
      </c>
      <c r="I926">
        <f t="shared" si="113"/>
        <v>133.70555847335916</v>
      </c>
      <c r="J926">
        <f t="shared" si="108"/>
        <v>481.08534777504786</v>
      </c>
      <c r="K926" s="30">
        <f t="shared" si="109"/>
        <v>7715.0159835053419</v>
      </c>
    </row>
    <row r="927" spans="1:11" x14ac:dyDescent="0.25">
      <c r="A927" s="29">
        <v>877</v>
      </c>
      <c r="B927" s="99">
        <f t="shared" si="110"/>
        <v>0</v>
      </c>
      <c r="C927" s="75">
        <f t="shared" si="114"/>
        <v>104.50616427295054</v>
      </c>
      <c r="D927" s="100">
        <f t="shared" si="111"/>
        <v>445.77777777777789</v>
      </c>
      <c r="E927">
        <f t="shared" si="107"/>
        <v>0</v>
      </c>
      <c r="G927">
        <v>877</v>
      </c>
      <c r="H927" s="15">
        <f t="shared" si="112"/>
        <v>3.3332641781299799E-2</v>
      </c>
      <c r="I927">
        <f t="shared" si="113"/>
        <v>133.73889111514046</v>
      </c>
      <c r="J927">
        <f t="shared" si="108"/>
        <v>481.11064338881846</v>
      </c>
      <c r="K927" s="30">
        <f t="shared" si="109"/>
        <v>7715.8269479908013</v>
      </c>
    </row>
    <row r="928" spans="1:11" x14ac:dyDescent="0.25">
      <c r="A928" s="29">
        <v>878</v>
      </c>
      <c r="B928" s="99">
        <f t="shared" si="110"/>
        <v>0</v>
      </c>
      <c r="C928" s="75">
        <f t="shared" si="114"/>
        <v>104.50616427295054</v>
      </c>
      <c r="D928" s="100">
        <f t="shared" si="111"/>
        <v>445.77777777777789</v>
      </c>
      <c r="E928">
        <f t="shared" si="107"/>
        <v>0</v>
      </c>
      <c r="G928">
        <v>878</v>
      </c>
      <c r="H928" s="15">
        <f t="shared" si="112"/>
        <v>3.3332641781299799E-2</v>
      </c>
      <c r="I928">
        <f t="shared" si="113"/>
        <v>133.77222375692176</v>
      </c>
      <c r="J928">
        <f t="shared" si="108"/>
        <v>481.13591709838238</v>
      </c>
      <c r="K928" s="30">
        <f t="shared" si="109"/>
        <v>7716.6372528321872</v>
      </c>
    </row>
    <row r="929" spans="1:11" x14ac:dyDescent="0.25">
      <c r="A929" s="29">
        <v>879</v>
      </c>
      <c r="B929" s="99">
        <f t="shared" si="110"/>
        <v>0</v>
      </c>
      <c r="C929" s="75">
        <f t="shared" si="114"/>
        <v>104.50616427295054</v>
      </c>
      <c r="D929" s="100">
        <f t="shared" si="111"/>
        <v>445.77777777777789</v>
      </c>
      <c r="E929">
        <f t="shared" si="107"/>
        <v>0</v>
      </c>
      <c r="G929">
        <v>879</v>
      </c>
      <c r="H929" s="15">
        <f t="shared" si="112"/>
        <v>3.3332641781299799E-2</v>
      </c>
      <c r="I929">
        <f t="shared" si="113"/>
        <v>133.80555639870306</v>
      </c>
      <c r="J929">
        <f t="shared" si="108"/>
        <v>481.16116892450981</v>
      </c>
      <c r="K929" s="30">
        <f t="shared" si="109"/>
        <v>7717.446898584426</v>
      </c>
    </row>
    <row r="930" spans="1:11" x14ac:dyDescent="0.25">
      <c r="A930" s="29">
        <v>880</v>
      </c>
      <c r="B930" s="99">
        <f t="shared" si="110"/>
        <v>0</v>
      </c>
      <c r="C930" s="75">
        <f t="shared" si="114"/>
        <v>104.50616427295054</v>
      </c>
      <c r="D930" s="100">
        <f t="shared" si="111"/>
        <v>445.77777777777789</v>
      </c>
      <c r="E930">
        <f t="shared" si="107"/>
        <v>0</v>
      </c>
      <c r="G930">
        <v>880</v>
      </c>
      <c r="H930" s="15">
        <f t="shared" si="112"/>
        <v>3.3332641781299799E-2</v>
      </c>
      <c r="I930">
        <f t="shared" si="113"/>
        <v>133.83888904048436</v>
      </c>
      <c r="J930">
        <f t="shared" si="108"/>
        <v>481.1863988879266</v>
      </c>
      <c r="K930" s="30">
        <f t="shared" si="109"/>
        <v>7718.2558858012708</v>
      </c>
    </row>
    <row r="931" spans="1:11" x14ac:dyDescent="0.25">
      <c r="A931" s="29">
        <v>881</v>
      </c>
      <c r="B931" s="99">
        <f t="shared" si="110"/>
        <v>0</v>
      </c>
      <c r="C931" s="75">
        <f t="shared" si="114"/>
        <v>104.50616427295054</v>
      </c>
      <c r="D931" s="100">
        <f t="shared" si="111"/>
        <v>445.77777777777789</v>
      </c>
      <c r="E931">
        <f t="shared" si="107"/>
        <v>0</v>
      </c>
      <c r="G931">
        <v>881</v>
      </c>
      <c r="H931" s="15">
        <f t="shared" si="112"/>
        <v>3.3332641781299799E-2</v>
      </c>
      <c r="I931">
        <f t="shared" si="113"/>
        <v>133.87222168226566</v>
      </c>
      <c r="J931">
        <f t="shared" si="108"/>
        <v>481.21160700931466</v>
      </c>
      <c r="K931" s="30">
        <f t="shared" si="109"/>
        <v>7719.0642150352878</v>
      </c>
    </row>
    <row r="932" spans="1:11" x14ac:dyDescent="0.25">
      <c r="A932" s="29">
        <v>882</v>
      </c>
      <c r="B932" s="99">
        <f t="shared" si="110"/>
        <v>0</v>
      </c>
      <c r="C932" s="75">
        <f t="shared" si="114"/>
        <v>104.50616427295054</v>
      </c>
      <c r="D932" s="100">
        <f t="shared" si="111"/>
        <v>445.77777777777789</v>
      </c>
      <c r="E932">
        <f t="shared" si="107"/>
        <v>0</v>
      </c>
      <c r="G932">
        <v>882</v>
      </c>
      <c r="H932" s="15">
        <f t="shared" si="112"/>
        <v>3.3332641781299799E-2</v>
      </c>
      <c r="I932">
        <f t="shared" si="113"/>
        <v>133.90555432404696</v>
      </c>
      <c r="J932">
        <f t="shared" si="108"/>
        <v>481.23679330931174</v>
      </c>
      <c r="K932" s="30">
        <f t="shared" si="109"/>
        <v>7719.8718868378737</v>
      </c>
    </row>
    <row r="933" spans="1:11" x14ac:dyDescent="0.25">
      <c r="A933" s="29">
        <v>883</v>
      </c>
      <c r="B933" s="99">
        <f t="shared" si="110"/>
        <v>0</v>
      </c>
      <c r="C933" s="75">
        <f t="shared" si="114"/>
        <v>104.50616427295054</v>
      </c>
      <c r="D933" s="100">
        <f t="shared" si="111"/>
        <v>445.77777777777789</v>
      </c>
      <c r="E933">
        <f t="shared" si="107"/>
        <v>0</v>
      </c>
      <c r="G933">
        <v>883</v>
      </c>
      <c r="H933" s="15">
        <f t="shared" si="112"/>
        <v>3.3332641781299799E-2</v>
      </c>
      <c r="I933">
        <f t="shared" si="113"/>
        <v>133.93888696582826</v>
      </c>
      <c r="J933">
        <f t="shared" si="108"/>
        <v>481.26195780851202</v>
      </c>
      <c r="K933" s="30">
        <f t="shared" si="109"/>
        <v>7720.6789017592573</v>
      </c>
    </row>
    <row r="934" spans="1:11" x14ac:dyDescent="0.25">
      <c r="A934" s="29">
        <v>884</v>
      </c>
      <c r="B934" s="99">
        <f t="shared" si="110"/>
        <v>0</v>
      </c>
      <c r="C934" s="75">
        <f t="shared" si="114"/>
        <v>104.50616427295054</v>
      </c>
      <c r="D934" s="100">
        <f t="shared" si="111"/>
        <v>445.77777777777789</v>
      </c>
      <c r="E934">
        <f t="shared" si="107"/>
        <v>0</v>
      </c>
      <c r="G934">
        <v>884</v>
      </c>
      <c r="H934" s="15">
        <f t="shared" si="112"/>
        <v>3.3332641781299799E-2</v>
      </c>
      <c r="I934">
        <f t="shared" si="113"/>
        <v>133.97221960760956</v>
      </c>
      <c r="J934">
        <f t="shared" si="108"/>
        <v>481.28710052746578</v>
      </c>
      <c r="K934" s="30">
        <f t="shared" si="109"/>
        <v>7721.4852603484987</v>
      </c>
    </row>
    <row r="935" spans="1:11" x14ac:dyDescent="0.25">
      <c r="A935" s="29">
        <v>885</v>
      </c>
      <c r="B935" s="99">
        <f t="shared" si="110"/>
        <v>0</v>
      </c>
      <c r="C935" s="75">
        <f t="shared" si="114"/>
        <v>104.50616427295054</v>
      </c>
      <c r="D935" s="100">
        <f t="shared" si="111"/>
        <v>445.77777777777789</v>
      </c>
      <c r="E935">
        <f t="shared" si="107"/>
        <v>0</v>
      </c>
      <c r="G935">
        <v>885</v>
      </c>
      <c r="H935" s="15">
        <f t="shared" si="112"/>
        <v>3.3332641781299799E-2</v>
      </c>
      <c r="I935">
        <f t="shared" si="113"/>
        <v>134.00555224939086</v>
      </c>
      <c r="J935">
        <f t="shared" si="108"/>
        <v>481.31222148667985</v>
      </c>
      <c r="K935" s="30">
        <f t="shared" si="109"/>
        <v>7722.2909631534903</v>
      </c>
    </row>
    <row r="936" spans="1:11" x14ac:dyDescent="0.25">
      <c r="A936" s="29">
        <v>886</v>
      </c>
      <c r="B936" s="99">
        <f t="shared" si="110"/>
        <v>0</v>
      </c>
      <c r="C936" s="75">
        <f t="shared" si="114"/>
        <v>104.50616427295054</v>
      </c>
      <c r="D936" s="100">
        <f t="shared" si="111"/>
        <v>445.77777777777789</v>
      </c>
      <c r="E936">
        <f t="shared" si="107"/>
        <v>0</v>
      </c>
      <c r="G936">
        <v>886</v>
      </c>
      <c r="H936" s="15">
        <f t="shared" si="112"/>
        <v>3.3332641781299799E-2</v>
      </c>
      <c r="I936">
        <f t="shared" si="113"/>
        <v>134.03888489117216</v>
      </c>
      <c r="J936">
        <f t="shared" si="108"/>
        <v>481.33732070661745</v>
      </c>
      <c r="K936" s="30">
        <f t="shared" si="109"/>
        <v>7723.0960107209694</v>
      </c>
    </row>
    <row r="937" spans="1:11" x14ac:dyDescent="0.25">
      <c r="A937" s="29">
        <v>887</v>
      </c>
      <c r="B937" s="99">
        <f t="shared" si="110"/>
        <v>0</v>
      </c>
      <c r="C937" s="75">
        <f t="shared" si="114"/>
        <v>104.50616427295054</v>
      </c>
      <c r="D937" s="100">
        <f t="shared" si="111"/>
        <v>445.77777777777789</v>
      </c>
      <c r="E937">
        <f t="shared" si="107"/>
        <v>0</v>
      </c>
      <c r="G937">
        <v>887</v>
      </c>
      <c r="H937" s="15">
        <f t="shared" si="112"/>
        <v>3.3332641781299799E-2</v>
      </c>
      <c r="I937">
        <f t="shared" si="113"/>
        <v>134.07221753295346</v>
      </c>
      <c r="J937">
        <f t="shared" si="108"/>
        <v>481.36239820769879</v>
      </c>
      <c r="K937" s="30">
        <f t="shared" si="109"/>
        <v>7723.9004035965145</v>
      </c>
    </row>
    <row r="938" spans="1:11" x14ac:dyDescent="0.25">
      <c r="A938" s="29">
        <v>888</v>
      </c>
      <c r="B938" s="99">
        <f t="shared" si="110"/>
        <v>0</v>
      </c>
      <c r="C938" s="75">
        <f t="shared" si="114"/>
        <v>104.50616427295054</v>
      </c>
      <c r="D938" s="100">
        <f t="shared" si="111"/>
        <v>445.77777777777789</v>
      </c>
      <c r="E938">
        <f t="shared" si="107"/>
        <v>0</v>
      </c>
      <c r="G938">
        <v>888</v>
      </c>
      <c r="H938" s="15">
        <f t="shared" si="112"/>
        <v>3.3332641781299799E-2</v>
      </c>
      <c r="I938">
        <f t="shared" si="113"/>
        <v>134.10555017473476</v>
      </c>
      <c r="J938">
        <f t="shared" si="108"/>
        <v>481.38745401030047</v>
      </c>
      <c r="K938" s="30">
        <f t="shared" si="109"/>
        <v>7724.7041423245491</v>
      </c>
    </row>
    <row r="939" spans="1:11" x14ac:dyDescent="0.25">
      <c r="A939" s="29">
        <v>889</v>
      </c>
      <c r="B939" s="99">
        <f t="shared" si="110"/>
        <v>0</v>
      </c>
      <c r="C939" s="75">
        <f t="shared" si="114"/>
        <v>104.50616427295054</v>
      </c>
      <c r="D939" s="100">
        <f t="shared" si="111"/>
        <v>445.77777777777789</v>
      </c>
      <c r="E939">
        <f t="shared" si="107"/>
        <v>0</v>
      </c>
      <c r="G939">
        <v>889</v>
      </c>
      <c r="H939" s="15">
        <f t="shared" si="112"/>
        <v>3.3332641781299799E-2</v>
      </c>
      <c r="I939">
        <f t="shared" si="113"/>
        <v>134.13888281651606</v>
      </c>
      <c r="J939">
        <f t="shared" si="108"/>
        <v>481.4124881347563</v>
      </c>
      <c r="K939" s="30">
        <f t="shared" si="109"/>
        <v>7725.5072274483464</v>
      </c>
    </row>
    <row r="940" spans="1:11" x14ac:dyDescent="0.25">
      <c r="A940" s="29">
        <v>890</v>
      </c>
      <c r="B940" s="99">
        <f t="shared" si="110"/>
        <v>0</v>
      </c>
      <c r="C940" s="75">
        <f t="shared" si="114"/>
        <v>104.50616427295054</v>
      </c>
      <c r="D940" s="100">
        <f t="shared" si="111"/>
        <v>445.77777777777789</v>
      </c>
      <c r="E940">
        <f t="shared" si="107"/>
        <v>0</v>
      </c>
      <c r="G940">
        <v>890</v>
      </c>
      <c r="H940" s="15">
        <f t="shared" si="112"/>
        <v>3.3332641781299799E-2</v>
      </c>
      <c r="I940">
        <f t="shared" si="113"/>
        <v>134.17221545829736</v>
      </c>
      <c r="J940">
        <f t="shared" si="108"/>
        <v>481.43750060135704</v>
      </c>
      <c r="K940" s="30">
        <f t="shared" si="109"/>
        <v>7726.3096595100324</v>
      </c>
    </row>
    <row r="941" spans="1:11" x14ac:dyDescent="0.25">
      <c r="A941" s="29">
        <v>891</v>
      </c>
      <c r="B941" s="99">
        <f t="shared" si="110"/>
        <v>0</v>
      </c>
      <c r="C941" s="75">
        <f t="shared" si="114"/>
        <v>104.50616427295054</v>
      </c>
      <c r="D941" s="100">
        <f t="shared" si="111"/>
        <v>445.77777777777789</v>
      </c>
      <c r="E941">
        <f t="shared" si="107"/>
        <v>0</v>
      </c>
      <c r="G941">
        <v>891</v>
      </c>
      <c r="H941" s="15">
        <f t="shared" si="112"/>
        <v>3.3332641781299799E-2</v>
      </c>
      <c r="I941">
        <f t="shared" si="113"/>
        <v>134.20554810007866</v>
      </c>
      <c r="J941">
        <f t="shared" si="108"/>
        <v>481.46249143035067</v>
      </c>
      <c r="K941" s="30">
        <f t="shared" si="109"/>
        <v>7727.11143905059</v>
      </c>
    </row>
    <row r="942" spans="1:11" x14ac:dyDescent="0.25">
      <c r="A942" s="29">
        <v>892</v>
      </c>
      <c r="B942" s="99">
        <f t="shared" si="110"/>
        <v>0</v>
      </c>
      <c r="C942" s="75">
        <f t="shared" si="114"/>
        <v>104.50616427295054</v>
      </c>
      <c r="D942" s="100">
        <f t="shared" si="111"/>
        <v>445.77777777777789</v>
      </c>
      <c r="E942">
        <f t="shared" si="107"/>
        <v>0</v>
      </c>
      <c r="G942">
        <v>892</v>
      </c>
      <c r="H942" s="15">
        <f t="shared" si="112"/>
        <v>3.3332641781299799E-2</v>
      </c>
      <c r="I942">
        <f t="shared" si="113"/>
        <v>134.23888074185996</v>
      </c>
      <c r="J942">
        <f t="shared" si="108"/>
        <v>481.48746064194228</v>
      </c>
      <c r="K942" s="30">
        <f t="shared" si="109"/>
        <v>7727.9125666098598</v>
      </c>
    </row>
    <row r="943" spans="1:11" x14ac:dyDescent="0.25">
      <c r="A943" s="29">
        <v>893</v>
      </c>
      <c r="B943" s="99">
        <f t="shared" si="110"/>
        <v>0</v>
      </c>
      <c r="C943" s="75">
        <f t="shared" si="114"/>
        <v>104.50616427295054</v>
      </c>
      <c r="D943" s="100">
        <f t="shared" si="111"/>
        <v>445.77777777777789</v>
      </c>
      <c r="E943">
        <f t="shared" si="107"/>
        <v>0</v>
      </c>
      <c r="G943">
        <v>893</v>
      </c>
      <c r="H943" s="15">
        <f t="shared" si="112"/>
        <v>3.3332641781299799E-2</v>
      </c>
      <c r="I943">
        <f t="shared" si="113"/>
        <v>134.27221338364126</v>
      </c>
      <c r="J943">
        <f t="shared" si="108"/>
        <v>481.51240825629463</v>
      </c>
      <c r="K943" s="30">
        <f t="shared" si="109"/>
        <v>7728.7130427265474</v>
      </c>
    </row>
    <row r="944" spans="1:11" x14ac:dyDescent="0.25">
      <c r="A944" s="29">
        <v>894</v>
      </c>
      <c r="B944" s="99">
        <f t="shared" si="110"/>
        <v>0</v>
      </c>
      <c r="C944" s="75">
        <f t="shared" si="114"/>
        <v>104.50616427295054</v>
      </c>
      <c r="D944" s="100">
        <f t="shared" si="111"/>
        <v>445.77777777777789</v>
      </c>
      <c r="E944">
        <f t="shared" si="107"/>
        <v>0</v>
      </c>
      <c r="G944">
        <v>894</v>
      </c>
      <c r="H944" s="15">
        <f t="shared" si="112"/>
        <v>3.3332641781299799E-2</v>
      </c>
      <c r="I944">
        <f t="shared" si="113"/>
        <v>134.30554602542256</v>
      </c>
      <c r="J944">
        <f t="shared" si="108"/>
        <v>481.53733429352769</v>
      </c>
      <c r="K944" s="30">
        <f t="shared" si="109"/>
        <v>7729.5128679382178</v>
      </c>
    </row>
    <row r="945" spans="1:11" x14ac:dyDescent="0.25">
      <c r="A945" s="29">
        <v>895</v>
      </c>
      <c r="B945" s="99">
        <f t="shared" si="110"/>
        <v>0</v>
      </c>
      <c r="C945" s="75">
        <f t="shared" si="114"/>
        <v>104.50616427295054</v>
      </c>
      <c r="D945" s="100">
        <f t="shared" si="111"/>
        <v>445.77777777777789</v>
      </c>
      <c r="E945">
        <f t="shared" si="107"/>
        <v>0</v>
      </c>
      <c r="G945">
        <v>895</v>
      </c>
      <c r="H945" s="15">
        <f t="shared" si="112"/>
        <v>3.3332641781299799E-2</v>
      </c>
      <c r="I945">
        <f t="shared" si="113"/>
        <v>134.33887866720386</v>
      </c>
      <c r="J945">
        <f t="shared" si="108"/>
        <v>481.56223877371946</v>
      </c>
      <c r="K945" s="30">
        <f t="shared" si="109"/>
        <v>7730.3120427813146</v>
      </c>
    </row>
    <row r="946" spans="1:11" x14ac:dyDescent="0.25">
      <c r="A946" s="29">
        <v>896</v>
      </c>
      <c r="B946" s="99">
        <f t="shared" si="110"/>
        <v>0</v>
      </c>
      <c r="C946" s="75">
        <f t="shared" si="114"/>
        <v>104.50616427295054</v>
      </c>
      <c r="D946" s="100">
        <f t="shared" si="111"/>
        <v>445.77777777777789</v>
      </c>
      <c r="E946">
        <f t="shared" si="107"/>
        <v>0</v>
      </c>
      <c r="G946">
        <v>896</v>
      </c>
      <c r="H946" s="15">
        <f t="shared" si="112"/>
        <v>3.3332641781299799E-2</v>
      </c>
      <c r="I946">
        <f t="shared" si="113"/>
        <v>134.37221130898516</v>
      </c>
      <c r="J946">
        <f t="shared" si="108"/>
        <v>481.58712171690536</v>
      </c>
      <c r="K946" s="30">
        <f t="shared" si="109"/>
        <v>7731.1105677911437</v>
      </c>
    </row>
    <row r="947" spans="1:11" x14ac:dyDescent="0.25">
      <c r="A947" s="29">
        <v>897</v>
      </c>
      <c r="B947" s="99">
        <f t="shared" si="110"/>
        <v>0</v>
      </c>
      <c r="C947" s="75">
        <f t="shared" si="114"/>
        <v>104.50616427295054</v>
      </c>
      <c r="D947" s="100">
        <f t="shared" si="111"/>
        <v>445.77777777777789</v>
      </c>
      <c r="E947">
        <f t="shared" ref="E947:E1010" si="115">((D947^2)+(D947*D948)+(D948^2))*B948/3</f>
        <v>0</v>
      </c>
      <c r="G947">
        <v>897</v>
      </c>
      <c r="H947" s="15">
        <f t="shared" si="112"/>
        <v>3.3332641781299799E-2</v>
      </c>
      <c r="I947">
        <f t="shared" si="113"/>
        <v>134.40554395076646</v>
      </c>
      <c r="J947">
        <f t="shared" ref="J947:J1010" si="116">IF($G$28&lt;$C$14,0,((($C$11^2)-((I947-$C$13)^2))^0.5)+$C$16)</f>
        <v>481.61198314307882</v>
      </c>
      <c r="K947" s="30">
        <f t="shared" ref="K947:K1010" si="117">((J947^2)+(J947*J948)+(J948^2))*H948/3</f>
        <v>7731.9084435018922</v>
      </c>
    </row>
    <row r="948" spans="1:11" x14ac:dyDescent="0.25">
      <c r="A948" s="29">
        <v>898</v>
      </c>
      <c r="B948" s="99">
        <f t="shared" ref="B948:B1011" si="118">C948-C947</f>
        <v>0</v>
      </c>
      <c r="C948" s="75">
        <f t="shared" si="114"/>
        <v>104.50616427295054</v>
      </c>
      <c r="D948" s="100">
        <f t="shared" ref="D948:D1011" si="119">IF($G$28&lt;$C$14,0,((($C$11^2)-((C948-$C$13)^2))^0.5)+$C$16)</f>
        <v>445.77777777777789</v>
      </c>
      <c r="E948">
        <f t="shared" si="115"/>
        <v>0</v>
      </c>
      <c r="G948">
        <v>898</v>
      </c>
      <c r="H948" s="15">
        <f t="shared" ref="H948:H1011" si="120">I948-I947</f>
        <v>3.3332641781299799E-2</v>
      </c>
      <c r="I948">
        <f t="shared" ref="I948:I1011" si="121">($G$27-$C$14)/2000+I947</f>
        <v>134.43887659254776</v>
      </c>
      <c r="J948">
        <f t="shared" si="116"/>
        <v>481.63682307219136</v>
      </c>
      <c r="K948" s="30">
        <f t="shared" si="117"/>
        <v>7732.7056704466222</v>
      </c>
    </row>
    <row r="949" spans="1:11" x14ac:dyDescent="0.25">
      <c r="A949" s="29">
        <v>899</v>
      </c>
      <c r="B949" s="99">
        <f t="shared" si="118"/>
        <v>0</v>
      </c>
      <c r="C949" s="75">
        <f t="shared" si="114"/>
        <v>104.50616427295054</v>
      </c>
      <c r="D949" s="100">
        <f t="shared" si="119"/>
        <v>445.77777777777789</v>
      </c>
      <c r="E949">
        <f t="shared" si="115"/>
        <v>0</v>
      </c>
      <c r="G949">
        <v>899</v>
      </c>
      <c r="H949" s="15">
        <f t="shared" si="120"/>
        <v>3.3332641781299799E-2</v>
      </c>
      <c r="I949">
        <f t="shared" si="121"/>
        <v>134.47220923432906</v>
      </c>
      <c r="J949">
        <f t="shared" si="116"/>
        <v>481.66164152415251</v>
      </c>
      <c r="K949" s="30">
        <f t="shared" si="117"/>
        <v>7733.5022491572809</v>
      </c>
    </row>
    <row r="950" spans="1:11" x14ac:dyDescent="0.25">
      <c r="A950" s="29">
        <v>900</v>
      </c>
      <c r="B950" s="99">
        <f t="shared" si="118"/>
        <v>0</v>
      </c>
      <c r="C950" s="75">
        <f t="shared" si="114"/>
        <v>104.50616427295054</v>
      </c>
      <c r="D950" s="100">
        <f t="shared" si="119"/>
        <v>445.77777777777789</v>
      </c>
      <c r="E950">
        <f t="shared" si="115"/>
        <v>0</v>
      </c>
      <c r="G950">
        <v>900</v>
      </c>
      <c r="H950" s="15">
        <f t="shared" si="120"/>
        <v>3.3332641781299799E-2</v>
      </c>
      <c r="I950">
        <f t="shared" si="121"/>
        <v>134.50554187611036</v>
      </c>
      <c r="J950">
        <f t="shared" si="116"/>
        <v>481.68643851883007</v>
      </c>
      <c r="K950" s="30">
        <f t="shared" si="117"/>
        <v>7734.2981801646938</v>
      </c>
    </row>
    <row r="951" spans="1:11" x14ac:dyDescent="0.25">
      <c r="A951" s="29">
        <v>901</v>
      </c>
      <c r="B951" s="99">
        <f t="shared" si="118"/>
        <v>0</v>
      </c>
      <c r="C951" s="75">
        <f t="shared" si="114"/>
        <v>104.50616427295054</v>
      </c>
      <c r="D951" s="100">
        <f t="shared" si="119"/>
        <v>445.77777777777789</v>
      </c>
      <c r="E951">
        <f t="shared" si="115"/>
        <v>0</v>
      </c>
      <c r="G951">
        <v>901</v>
      </c>
      <c r="H951" s="15">
        <f t="shared" si="120"/>
        <v>3.3332641781299799E-2</v>
      </c>
      <c r="I951">
        <f t="shared" si="121"/>
        <v>134.53887451789166</v>
      </c>
      <c r="J951">
        <f t="shared" si="116"/>
        <v>481.71121407605023</v>
      </c>
      <c r="K951" s="30">
        <f t="shared" si="117"/>
        <v>7735.0934639985835</v>
      </c>
    </row>
    <row r="952" spans="1:11" x14ac:dyDescent="0.25">
      <c r="A952" s="29">
        <v>902</v>
      </c>
      <c r="B952" s="99">
        <f t="shared" si="118"/>
        <v>0</v>
      </c>
      <c r="C952" s="75">
        <f t="shared" si="114"/>
        <v>104.50616427295054</v>
      </c>
      <c r="D952" s="100">
        <f t="shared" si="119"/>
        <v>445.77777777777789</v>
      </c>
      <c r="E952">
        <f t="shared" si="115"/>
        <v>0</v>
      </c>
      <c r="G952">
        <v>902</v>
      </c>
      <c r="H952" s="15">
        <f t="shared" si="120"/>
        <v>3.3332641781299799E-2</v>
      </c>
      <c r="I952">
        <f t="shared" si="121"/>
        <v>134.57220715967296</v>
      </c>
      <c r="J952">
        <f t="shared" si="116"/>
        <v>481.73596821559761</v>
      </c>
      <c r="K952" s="30">
        <f t="shared" si="117"/>
        <v>7735.8881011875574</v>
      </c>
    </row>
    <row r="953" spans="1:11" x14ac:dyDescent="0.25">
      <c r="A953" s="29">
        <v>903</v>
      </c>
      <c r="B953" s="99">
        <f t="shared" si="118"/>
        <v>0</v>
      </c>
      <c r="C953" s="75">
        <f t="shared" si="114"/>
        <v>104.50616427295054</v>
      </c>
      <c r="D953" s="100">
        <f t="shared" si="119"/>
        <v>445.77777777777789</v>
      </c>
      <c r="E953">
        <f t="shared" si="115"/>
        <v>0</v>
      </c>
      <c r="G953">
        <v>903</v>
      </c>
      <c r="H953" s="15">
        <f t="shared" si="120"/>
        <v>3.3332641781299799E-2</v>
      </c>
      <c r="I953">
        <f t="shared" si="121"/>
        <v>134.60553980145426</v>
      </c>
      <c r="J953">
        <f t="shared" si="116"/>
        <v>481.76070095721542</v>
      </c>
      <c r="K953" s="30">
        <f t="shared" si="117"/>
        <v>7736.6820922591151</v>
      </c>
    </row>
    <row r="954" spans="1:11" x14ac:dyDescent="0.25">
      <c r="A954" s="29">
        <v>904</v>
      </c>
      <c r="B954" s="99">
        <f t="shared" si="118"/>
        <v>0</v>
      </c>
      <c r="C954" s="75">
        <f t="shared" si="114"/>
        <v>104.50616427295054</v>
      </c>
      <c r="D954" s="100">
        <f t="shared" si="119"/>
        <v>445.77777777777789</v>
      </c>
      <c r="E954">
        <f t="shared" si="115"/>
        <v>0</v>
      </c>
      <c r="G954">
        <v>904</v>
      </c>
      <c r="H954" s="15">
        <f t="shared" si="120"/>
        <v>3.3332641781299799E-2</v>
      </c>
      <c r="I954">
        <f t="shared" si="121"/>
        <v>134.63887244323556</v>
      </c>
      <c r="J954">
        <f t="shared" si="116"/>
        <v>481.78541232060564</v>
      </c>
      <c r="K954" s="30">
        <f t="shared" si="117"/>
        <v>7737.4754377396594</v>
      </c>
    </row>
    <row r="955" spans="1:11" x14ac:dyDescent="0.25">
      <c r="A955" s="29">
        <v>905</v>
      </c>
      <c r="B955" s="99">
        <f t="shared" si="118"/>
        <v>0</v>
      </c>
      <c r="C955" s="75">
        <f t="shared" si="114"/>
        <v>104.50616427295054</v>
      </c>
      <c r="D955" s="100">
        <f t="shared" si="119"/>
        <v>445.77777777777789</v>
      </c>
      <c r="E955">
        <f t="shared" si="115"/>
        <v>0</v>
      </c>
      <c r="G955">
        <v>905</v>
      </c>
      <c r="H955" s="15">
        <f t="shared" si="120"/>
        <v>3.3332641781299799E-2</v>
      </c>
      <c r="I955">
        <f t="shared" si="121"/>
        <v>134.67220508501686</v>
      </c>
      <c r="J955">
        <f t="shared" si="116"/>
        <v>481.81010232542894</v>
      </c>
      <c r="K955" s="30">
        <f t="shared" si="117"/>
        <v>7738.2681381544862</v>
      </c>
    </row>
    <row r="956" spans="1:11" x14ac:dyDescent="0.25">
      <c r="A956" s="29">
        <v>906</v>
      </c>
      <c r="B956" s="99">
        <f t="shared" si="118"/>
        <v>0</v>
      </c>
      <c r="C956" s="75">
        <f t="shared" si="114"/>
        <v>104.50616427295054</v>
      </c>
      <c r="D956" s="100">
        <f t="shared" si="119"/>
        <v>445.77777777777789</v>
      </c>
      <c r="E956">
        <f t="shared" si="115"/>
        <v>0</v>
      </c>
      <c r="G956">
        <v>906</v>
      </c>
      <c r="H956" s="15">
        <f t="shared" si="120"/>
        <v>3.3332641781299799E-2</v>
      </c>
      <c r="I956">
        <f t="shared" si="121"/>
        <v>134.70553772679816</v>
      </c>
      <c r="J956">
        <f t="shared" si="116"/>
        <v>481.83477099130511</v>
      </c>
      <c r="K956" s="30">
        <f t="shared" si="117"/>
        <v>7739.0601940277993</v>
      </c>
    </row>
    <row r="957" spans="1:11" x14ac:dyDescent="0.25">
      <c r="A957" s="29">
        <v>907</v>
      </c>
      <c r="B957" s="99">
        <f t="shared" si="118"/>
        <v>0</v>
      </c>
      <c r="C957" s="75">
        <f t="shared" si="114"/>
        <v>104.50616427295054</v>
      </c>
      <c r="D957" s="100">
        <f t="shared" si="119"/>
        <v>445.77777777777789</v>
      </c>
      <c r="E957">
        <f t="shared" si="115"/>
        <v>0</v>
      </c>
      <c r="G957">
        <v>907</v>
      </c>
      <c r="H957" s="15">
        <f t="shared" si="120"/>
        <v>3.3332641781299799E-2</v>
      </c>
      <c r="I957">
        <f t="shared" si="121"/>
        <v>134.73887036857946</v>
      </c>
      <c r="J957">
        <f t="shared" si="116"/>
        <v>481.85941833781283</v>
      </c>
      <c r="K957" s="30">
        <f t="shared" si="117"/>
        <v>7739.8516058827108</v>
      </c>
    </row>
    <row r="958" spans="1:11" x14ac:dyDescent="0.25">
      <c r="A958" s="29">
        <v>908</v>
      </c>
      <c r="B958" s="99">
        <f t="shared" si="118"/>
        <v>0</v>
      </c>
      <c r="C958" s="75">
        <f t="shared" si="114"/>
        <v>104.50616427295054</v>
      </c>
      <c r="D958" s="100">
        <f t="shared" si="119"/>
        <v>445.77777777777789</v>
      </c>
      <c r="E958">
        <f t="shared" si="115"/>
        <v>0</v>
      </c>
      <c r="G958">
        <v>908</v>
      </c>
      <c r="H958" s="15">
        <f t="shared" si="120"/>
        <v>3.3332641781299799E-2</v>
      </c>
      <c r="I958">
        <f t="shared" si="121"/>
        <v>134.77220301036076</v>
      </c>
      <c r="J958">
        <f t="shared" si="116"/>
        <v>481.88404438449004</v>
      </c>
      <c r="K958" s="30">
        <f t="shared" si="117"/>
        <v>7740.642374241238</v>
      </c>
    </row>
    <row r="959" spans="1:11" x14ac:dyDescent="0.25">
      <c r="A959" s="29">
        <v>909</v>
      </c>
      <c r="B959" s="99">
        <f t="shared" si="118"/>
        <v>0</v>
      </c>
      <c r="C959" s="75">
        <f t="shared" si="114"/>
        <v>104.50616427295054</v>
      </c>
      <c r="D959" s="100">
        <f t="shared" si="119"/>
        <v>445.77777777777789</v>
      </c>
      <c r="E959">
        <f t="shared" si="115"/>
        <v>0</v>
      </c>
      <c r="G959">
        <v>909</v>
      </c>
      <c r="H959" s="15">
        <f t="shared" si="120"/>
        <v>3.3332641781299799E-2</v>
      </c>
      <c r="I959">
        <f t="shared" si="121"/>
        <v>134.80553565214205</v>
      </c>
      <c r="J959">
        <f t="shared" si="116"/>
        <v>481.90864915083392</v>
      </c>
      <c r="K959" s="30">
        <f t="shared" si="117"/>
        <v>7741.4324996243113</v>
      </c>
    </row>
    <row r="960" spans="1:11" x14ac:dyDescent="0.25">
      <c r="A960" s="29">
        <v>910</v>
      </c>
      <c r="B960" s="99">
        <f t="shared" si="118"/>
        <v>0</v>
      </c>
      <c r="C960" s="75">
        <f t="shared" si="114"/>
        <v>104.50616427295054</v>
      </c>
      <c r="D960" s="100">
        <f t="shared" si="119"/>
        <v>445.77777777777789</v>
      </c>
      <c r="E960">
        <f t="shared" si="115"/>
        <v>0</v>
      </c>
      <c r="G960">
        <v>910</v>
      </c>
      <c r="H960" s="15">
        <f t="shared" si="120"/>
        <v>3.3332641781299799E-2</v>
      </c>
      <c r="I960">
        <f t="shared" si="121"/>
        <v>134.83886829392335</v>
      </c>
      <c r="J960">
        <f t="shared" si="116"/>
        <v>481.93323265630107</v>
      </c>
      <c r="K960" s="30">
        <f t="shared" si="117"/>
        <v>7742.221982551775</v>
      </c>
    </row>
    <row r="961" spans="1:11" x14ac:dyDescent="0.25">
      <c r="A961" s="29">
        <v>911</v>
      </c>
      <c r="B961" s="99">
        <f t="shared" si="118"/>
        <v>0</v>
      </c>
      <c r="C961" s="75">
        <f t="shared" si="114"/>
        <v>104.50616427295054</v>
      </c>
      <c r="D961" s="100">
        <f t="shared" si="119"/>
        <v>445.77777777777789</v>
      </c>
      <c r="E961">
        <f t="shared" si="115"/>
        <v>0</v>
      </c>
      <c r="G961">
        <v>911</v>
      </c>
      <c r="H961" s="15">
        <f t="shared" si="120"/>
        <v>3.3332641781299799E-2</v>
      </c>
      <c r="I961">
        <f t="shared" si="121"/>
        <v>134.87220093570465</v>
      </c>
      <c r="J961">
        <f t="shared" si="116"/>
        <v>481.95779492030749</v>
      </c>
      <c r="K961" s="30">
        <f t="shared" si="117"/>
        <v>7743.0108235423977</v>
      </c>
    </row>
    <row r="962" spans="1:11" x14ac:dyDescent="0.25">
      <c r="A962" s="29">
        <v>912</v>
      </c>
      <c r="B962" s="99">
        <f t="shared" si="118"/>
        <v>0</v>
      </c>
      <c r="C962" s="75">
        <f t="shared" si="114"/>
        <v>104.50616427295054</v>
      </c>
      <c r="D962" s="100">
        <f t="shared" si="119"/>
        <v>445.77777777777789</v>
      </c>
      <c r="E962">
        <f t="shared" si="115"/>
        <v>0</v>
      </c>
      <c r="G962">
        <v>912</v>
      </c>
      <c r="H962" s="15">
        <f t="shared" si="120"/>
        <v>3.3332641781299799E-2</v>
      </c>
      <c r="I962">
        <f t="shared" si="121"/>
        <v>134.90553357748595</v>
      </c>
      <c r="J962">
        <f t="shared" si="116"/>
        <v>481.98233596222906</v>
      </c>
      <c r="K962" s="30">
        <f t="shared" si="117"/>
        <v>7743.7990231138647</v>
      </c>
    </row>
    <row r="963" spans="1:11" x14ac:dyDescent="0.25">
      <c r="A963" s="29">
        <v>913</v>
      </c>
      <c r="B963" s="99">
        <f t="shared" si="118"/>
        <v>0</v>
      </c>
      <c r="C963" s="75">
        <f t="shared" si="114"/>
        <v>104.50616427295054</v>
      </c>
      <c r="D963" s="100">
        <f t="shared" si="119"/>
        <v>445.77777777777789</v>
      </c>
      <c r="E963">
        <f t="shared" si="115"/>
        <v>0</v>
      </c>
      <c r="G963">
        <v>913</v>
      </c>
      <c r="H963" s="15">
        <f t="shared" si="120"/>
        <v>3.3332641781299799E-2</v>
      </c>
      <c r="I963">
        <f t="shared" si="121"/>
        <v>134.93886621926725</v>
      </c>
      <c r="J963">
        <f t="shared" si="116"/>
        <v>482.00685580140106</v>
      </c>
      <c r="K963" s="30">
        <f t="shared" si="117"/>
        <v>7744.5865817827844</v>
      </c>
    </row>
    <row r="964" spans="1:11" x14ac:dyDescent="0.25">
      <c r="A964" s="29">
        <v>914</v>
      </c>
      <c r="B964" s="99">
        <f t="shared" si="118"/>
        <v>0</v>
      </c>
      <c r="C964" s="75">
        <f t="shared" si="114"/>
        <v>104.50616427295054</v>
      </c>
      <c r="D964" s="100">
        <f t="shared" si="119"/>
        <v>445.77777777777789</v>
      </c>
      <c r="E964">
        <f t="shared" si="115"/>
        <v>0</v>
      </c>
      <c r="G964">
        <v>914</v>
      </c>
      <c r="H964" s="15">
        <f t="shared" si="120"/>
        <v>3.3332641781299799E-2</v>
      </c>
      <c r="I964">
        <f t="shared" si="121"/>
        <v>134.97219886104855</v>
      </c>
      <c r="J964">
        <f t="shared" si="116"/>
        <v>482.03135445711882</v>
      </c>
      <c r="K964" s="30">
        <f t="shared" si="117"/>
        <v>7745.3735000646984</v>
      </c>
    </row>
    <row r="965" spans="1:11" x14ac:dyDescent="0.25">
      <c r="A965" s="29">
        <v>915</v>
      </c>
      <c r="B965" s="99">
        <f t="shared" si="118"/>
        <v>0</v>
      </c>
      <c r="C965" s="75">
        <f t="shared" si="114"/>
        <v>104.50616427295054</v>
      </c>
      <c r="D965" s="100">
        <f t="shared" si="119"/>
        <v>445.77777777777789</v>
      </c>
      <c r="E965">
        <f t="shared" si="115"/>
        <v>0</v>
      </c>
      <c r="G965">
        <v>915</v>
      </c>
      <c r="H965" s="15">
        <f t="shared" si="120"/>
        <v>3.3332641781299799E-2</v>
      </c>
      <c r="I965">
        <f t="shared" si="121"/>
        <v>135.00553150282985</v>
      </c>
      <c r="J965">
        <f t="shared" si="116"/>
        <v>482.05583194863766</v>
      </c>
      <c r="K965" s="30">
        <f t="shared" si="117"/>
        <v>7746.159778474077</v>
      </c>
    </row>
    <row r="966" spans="1:11" x14ac:dyDescent="0.25">
      <c r="A966" s="29">
        <v>916</v>
      </c>
      <c r="B966" s="99">
        <f t="shared" si="118"/>
        <v>0</v>
      </c>
      <c r="C966" s="75">
        <f t="shared" si="114"/>
        <v>104.50616427295054</v>
      </c>
      <c r="D966" s="100">
        <f t="shared" si="119"/>
        <v>445.77777777777789</v>
      </c>
      <c r="E966">
        <f t="shared" si="115"/>
        <v>0</v>
      </c>
      <c r="G966">
        <v>916</v>
      </c>
      <c r="H966" s="15">
        <f t="shared" si="120"/>
        <v>3.3332641781299799E-2</v>
      </c>
      <c r="I966">
        <f t="shared" si="121"/>
        <v>135.03886414461115</v>
      </c>
      <c r="J966">
        <f t="shared" si="116"/>
        <v>482.08028829517281</v>
      </c>
      <c r="K966" s="30">
        <f t="shared" si="117"/>
        <v>7746.9454175243181</v>
      </c>
    </row>
    <row r="967" spans="1:11" x14ac:dyDescent="0.25">
      <c r="A967" s="29">
        <v>917</v>
      </c>
      <c r="B967" s="99">
        <f t="shared" si="118"/>
        <v>0</v>
      </c>
      <c r="C967" s="75">
        <f t="shared" si="114"/>
        <v>104.50616427295054</v>
      </c>
      <c r="D967" s="100">
        <f t="shared" si="119"/>
        <v>445.77777777777789</v>
      </c>
      <c r="E967">
        <f t="shared" si="115"/>
        <v>0</v>
      </c>
      <c r="G967">
        <v>917</v>
      </c>
      <c r="H967" s="15">
        <f t="shared" si="120"/>
        <v>3.3332641781299799E-2</v>
      </c>
      <c r="I967">
        <f t="shared" si="121"/>
        <v>135.07219678639245</v>
      </c>
      <c r="J967">
        <f t="shared" si="116"/>
        <v>482.10472351589976</v>
      </c>
      <c r="K967" s="30">
        <f t="shared" si="117"/>
        <v>7747.7304177277592</v>
      </c>
    </row>
    <row r="968" spans="1:11" x14ac:dyDescent="0.25">
      <c r="A968" s="29">
        <v>918</v>
      </c>
      <c r="B968" s="99">
        <f t="shared" si="118"/>
        <v>0</v>
      </c>
      <c r="C968" s="75">
        <f t="shared" si="114"/>
        <v>104.50616427295054</v>
      </c>
      <c r="D968" s="100">
        <f t="shared" si="119"/>
        <v>445.77777777777789</v>
      </c>
      <c r="E968">
        <f t="shared" si="115"/>
        <v>0</v>
      </c>
      <c r="G968">
        <v>918</v>
      </c>
      <c r="H968" s="15">
        <f t="shared" si="120"/>
        <v>3.3332641781299799E-2</v>
      </c>
      <c r="I968">
        <f t="shared" si="121"/>
        <v>135.10552942817375</v>
      </c>
      <c r="J968">
        <f t="shared" si="116"/>
        <v>482.12913762995424</v>
      </c>
      <c r="K968" s="30">
        <f t="shared" si="117"/>
        <v>7748.5147795956827</v>
      </c>
    </row>
    <row r="969" spans="1:11" x14ac:dyDescent="0.25">
      <c r="A969" s="29">
        <v>919</v>
      </c>
      <c r="B969" s="99">
        <f t="shared" si="118"/>
        <v>0</v>
      </c>
      <c r="C969" s="75">
        <f t="shared" si="114"/>
        <v>104.50616427295054</v>
      </c>
      <c r="D969" s="100">
        <f t="shared" si="119"/>
        <v>445.77777777777789</v>
      </c>
      <c r="E969">
        <f t="shared" si="115"/>
        <v>0</v>
      </c>
      <c r="G969">
        <v>919</v>
      </c>
      <c r="H969" s="15">
        <f t="shared" si="120"/>
        <v>3.3332641781299799E-2</v>
      </c>
      <c r="I969">
        <f t="shared" si="121"/>
        <v>135.13886206995505</v>
      </c>
      <c r="J969">
        <f t="shared" si="116"/>
        <v>482.15353065643251</v>
      </c>
      <c r="K969" s="30">
        <f t="shared" si="117"/>
        <v>7749.2985036383079</v>
      </c>
    </row>
    <row r="970" spans="1:11" x14ac:dyDescent="0.25">
      <c r="A970" s="29">
        <v>920</v>
      </c>
      <c r="B970" s="99">
        <f t="shared" si="118"/>
        <v>0</v>
      </c>
      <c r="C970" s="75">
        <f t="shared" si="114"/>
        <v>104.50616427295054</v>
      </c>
      <c r="D970" s="100">
        <f t="shared" si="119"/>
        <v>445.77777777777789</v>
      </c>
      <c r="E970">
        <f t="shared" si="115"/>
        <v>0</v>
      </c>
      <c r="G970">
        <v>920</v>
      </c>
      <c r="H970" s="15">
        <f t="shared" si="120"/>
        <v>3.3332641781299799E-2</v>
      </c>
      <c r="I970">
        <f t="shared" si="121"/>
        <v>135.17219471173635</v>
      </c>
      <c r="J970">
        <f t="shared" si="116"/>
        <v>482.1779026143912</v>
      </c>
      <c r="K970" s="30">
        <f t="shared" si="117"/>
        <v>7750.081590364799</v>
      </c>
    </row>
    <row r="971" spans="1:11" x14ac:dyDescent="0.25">
      <c r="A971" s="29">
        <v>921</v>
      </c>
      <c r="B971" s="99">
        <f t="shared" si="118"/>
        <v>0</v>
      </c>
      <c r="C971" s="75">
        <f t="shared" si="114"/>
        <v>104.50616427295054</v>
      </c>
      <c r="D971" s="100">
        <f t="shared" si="119"/>
        <v>445.77777777777789</v>
      </c>
      <c r="E971">
        <f t="shared" si="115"/>
        <v>0</v>
      </c>
      <c r="G971">
        <v>921</v>
      </c>
      <c r="H971" s="15">
        <f t="shared" si="120"/>
        <v>3.3332641781299799E-2</v>
      </c>
      <c r="I971">
        <f t="shared" si="121"/>
        <v>135.20552735351765</v>
      </c>
      <c r="J971">
        <f t="shared" si="116"/>
        <v>482.20225352284763</v>
      </c>
      <c r="K971" s="30">
        <f t="shared" si="117"/>
        <v>7750.8640402832689</v>
      </c>
    </row>
    <row r="972" spans="1:11" x14ac:dyDescent="0.25">
      <c r="A972" s="29">
        <v>922</v>
      </c>
      <c r="B972" s="99">
        <f t="shared" si="118"/>
        <v>0</v>
      </c>
      <c r="C972" s="75">
        <f t="shared" si="114"/>
        <v>104.50616427295054</v>
      </c>
      <c r="D972" s="100">
        <f t="shared" si="119"/>
        <v>445.77777777777789</v>
      </c>
      <c r="E972">
        <f t="shared" si="115"/>
        <v>0</v>
      </c>
      <c r="G972">
        <v>922</v>
      </c>
      <c r="H972" s="15">
        <f t="shared" si="120"/>
        <v>3.3332641781299799E-2</v>
      </c>
      <c r="I972">
        <f t="shared" si="121"/>
        <v>135.23885999529895</v>
      </c>
      <c r="J972">
        <f t="shared" si="116"/>
        <v>482.22658340077976</v>
      </c>
      <c r="K972" s="30">
        <f t="shared" si="117"/>
        <v>7751.6458539007826</v>
      </c>
    </row>
    <row r="973" spans="1:11" x14ac:dyDescent="0.25">
      <c r="A973" s="29">
        <v>923</v>
      </c>
      <c r="B973" s="99">
        <f t="shared" si="118"/>
        <v>0</v>
      </c>
      <c r="C973" s="75">
        <f t="shared" si="114"/>
        <v>104.50616427295054</v>
      </c>
      <c r="D973" s="100">
        <f t="shared" si="119"/>
        <v>445.77777777777789</v>
      </c>
      <c r="E973">
        <f t="shared" si="115"/>
        <v>0</v>
      </c>
      <c r="G973">
        <v>923</v>
      </c>
      <c r="H973" s="15">
        <f t="shared" si="120"/>
        <v>3.3332641781299799E-2</v>
      </c>
      <c r="I973">
        <f t="shared" si="121"/>
        <v>135.27219263708025</v>
      </c>
      <c r="J973">
        <f t="shared" si="116"/>
        <v>482.2508922671264</v>
      </c>
      <c r="K973" s="30">
        <f t="shared" si="117"/>
        <v>7752.4270317233559</v>
      </c>
    </row>
    <row r="974" spans="1:11" x14ac:dyDescent="0.25">
      <c r="A974" s="29">
        <v>924</v>
      </c>
      <c r="B974" s="99">
        <f t="shared" si="118"/>
        <v>0</v>
      </c>
      <c r="C974" s="75">
        <f t="shared" si="114"/>
        <v>104.50616427295054</v>
      </c>
      <c r="D974" s="100">
        <f t="shared" si="119"/>
        <v>445.77777777777789</v>
      </c>
      <c r="E974">
        <f t="shared" si="115"/>
        <v>0</v>
      </c>
      <c r="G974">
        <v>924</v>
      </c>
      <c r="H974" s="15">
        <f t="shared" si="120"/>
        <v>3.3332641781299799E-2</v>
      </c>
      <c r="I974">
        <f t="shared" si="121"/>
        <v>135.30552527886155</v>
      </c>
      <c r="J974">
        <f t="shared" si="116"/>
        <v>482.27518014078743</v>
      </c>
      <c r="K974" s="30">
        <f t="shared" si="117"/>
        <v>7753.2075742559682</v>
      </c>
    </row>
    <row r="975" spans="1:11" x14ac:dyDescent="0.25">
      <c r="A975" s="29">
        <v>925</v>
      </c>
      <c r="B975" s="99">
        <f t="shared" si="118"/>
        <v>0</v>
      </c>
      <c r="C975" s="75">
        <f t="shared" si="114"/>
        <v>104.50616427295054</v>
      </c>
      <c r="D975" s="100">
        <f t="shared" si="119"/>
        <v>445.77777777777789</v>
      </c>
      <c r="E975">
        <f t="shared" si="115"/>
        <v>0</v>
      </c>
      <c r="G975">
        <v>925</v>
      </c>
      <c r="H975" s="15">
        <f t="shared" si="120"/>
        <v>3.3332641781299799E-2</v>
      </c>
      <c r="I975">
        <f t="shared" si="121"/>
        <v>135.33885792064285</v>
      </c>
      <c r="J975">
        <f t="shared" si="116"/>
        <v>482.29944704062365</v>
      </c>
      <c r="K975" s="30">
        <f t="shared" si="117"/>
        <v>7753.9874820025498</v>
      </c>
    </row>
    <row r="976" spans="1:11" x14ac:dyDescent="0.25">
      <c r="A976" s="29">
        <v>926</v>
      </c>
      <c r="B976" s="99">
        <f t="shared" si="118"/>
        <v>0</v>
      </c>
      <c r="C976" s="75">
        <f t="shared" ref="C976:C1039" si="122">($C$37-$C$36)/2000+C975</f>
        <v>104.50616427295054</v>
      </c>
      <c r="D976" s="100">
        <f t="shared" si="119"/>
        <v>445.77777777777789</v>
      </c>
      <c r="E976">
        <f t="shared" si="115"/>
        <v>0</v>
      </c>
      <c r="G976">
        <v>926</v>
      </c>
      <c r="H976" s="15">
        <f t="shared" si="120"/>
        <v>3.3332641781299799E-2</v>
      </c>
      <c r="I976">
        <f t="shared" si="121"/>
        <v>135.37219056242415</v>
      </c>
      <c r="J976">
        <f t="shared" si="116"/>
        <v>482.323692985457</v>
      </c>
      <c r="K976" s="30">
        <f t="shared" si="117"/>
        <v>7754.7667554659993</v>
      </c>
    </row>
    <row r="977" spans="1:11" x14ac:dyDescent="0.25">
      <c r="A977" s="29">
        <v>927</v>
      </c>
      <c r="B977" s="99">
        <f t="shared" si="118"/>
        <v>0</v>
      </c>
      <c r="C977" s="75">
        <f t="shared" si="122"/>
        <v>104.50616427295054</v>
      </c>
      <c r="D977" s="100">
        <f t="shared" si="119"/>
        <v>445.77777777777789</v>
      </c>
      <c r="E977">
        <f t="shared" si="115"/>
        <v>0</v>
      </c>
      <c r="G977">
        <v>927</v>
      </c>
      <c r="H977" s="15">
        <f t="shared" si="120"/>
        <v>3.3332641781299799E-2</v>
      </c>
      <c r="I977">
        <f t="shared" si="121"/>
        <v>135.40552320420545</v>
      </c>
      <c r="J977">
        <f t="shared" si="116"/>
        <v>482.34791799407077</v>
      </c>
      <c r="K977" s="30">
        <f t="shared" si="117"/>
        <v>7755.5453951481795</v>
      </c>
    </row>
    <row r="978" spans="1:11" x14ac:dyDescent="0.25">
      <c r="A978" s="29">
        <v>928</v>
      </c>
      <c r="B978" s="99">
        <f t="shared" si="118"/>
        <v>0</v>
      </c>
      <c r="C978" s="75">
        <f t="shared" si="122"/>
        <v>104.50616427295054</v>
      </c>
      <c r="D978" s="100">
        <f t="shared" si="119"/>
        <v>445.77777777777789</v>
      </c>
      <c r="E978">
        <f t="shared" si="115"/>
        <v>0</v>
      </c>
      <c r="G978">
        <v>928</v>
      </c>
      <c r="H978" s="15">
        <f t="shared" si="120"/>
        <v>3.3332641781299799E-2</v>
      </c>
      <c r="I978">
        <f t="shared" si="121"/>
        <v>135.43885584598675</v>
      </c>
      <c r="J978">
        <f t="shared" si="116"/>
        <v>482.37212208520964</v>
      </c>
      <c r="K978" s="30">
        <f t="shared" si="117"/>
        <v>7756.3234015499211</v>
      </c>
    </row>
    <row r="979" spans="1:11" x14ac:dyDescent="0.25">
      <c r="A979" s="29">
        <v>929</v>
      </c>
      <c r="B979" s="99">
        <f t="shared" si="118"/>
        <v>0</v>
      </c>
      <c r="C979" s="75">
        <f t="shared" si="122"/>
        <v>104.50616427295054</v>
      </c>
      <c r="D979" s="100">
        <f t="shared" si="119"/>
        <v>445.77777777777789</v>
      </c>
      <c r="E979">
        <f t="shared" si="115"/>
        <v>0</v>
      </c>
      <c r="G979">
        <v>929</v>
      </c>
      <c r="H979" s="15">
        <f t="shared" si="120"/>
        <v>3.3332641781299799E-2</v>
      </c>
      <c r="I979">
        <f t="shared" si="121"/>
        <v>135.47218848776805</v>
      </c>
      <c r="J979">
        <f t="shared" si="116"/>
        <v>482.39630527757959</v>
      </c>
      <c r="K979" s="30">
        <f t="shared" si="117"/>
        <v>7757.100775171024</v>
      </c>
    </row>
    <row r="980" spans="1:11" x14ac:dyDescent="0.25">
      <c r="A980" s="29">
        <v>930</v>
      </c>
      <c r="B980" s="99">
        <f t="shared" si="118"/>
        <v>0</v>
      </c>
      <c r="C980" s="75">
        <f t="shared" si="122"/>
        <v>104.50616427295054</v>
      </c>
      <c r="D980" s="100">
        <f t="shared" si="119"/>
        <v>445.77777777777789</v>
      </c>
      <c r="E980">
        <f t="shared" si="115"/>
        <v>0</v>
      </c>
      <c r="G980">
        <v>930</v>
      </c>
      <c r="H980" s="15">
        <f t="shared" si="120"/>
        <v>3.3332641781299799E-2</v>
      </c>
      <c r="I980">
        <f t="shared" si="121"/>
        <v>135.50552112954935</v>
      </c>
      <c r="J980">
        <f t="shared" si="116"/>
        <v>482.42046758984827</v>
      </c>
      <c r="K980" s="30">
        <f t="shared" si="117"/>
        <v>7757.8775165102625</v>
      </c>
    </row>
    <row r="981" spans="1:11" x14ac:dyDescent="0.25">
      <c r="A981" s="29">
        <v>931</v>
      </c>
      <c r="B981" s="99">
        <f t="shared" si="118"/>
        <v>0</v>
      </c>
      <c r="C981" s="75">
        <f t="shared" si="122"/>
        <v>104.50616427295054</v>
      </c>
      <c r="D981" s="100">
        <f t="shared" si="119"/>
        <v>445.77777777777789</v>
      </c>
      <c r="E981">
        <f t="shared" si="115"/>
        <v>0</v>
      </c>
      <c r="G981">
        <v>931</v>
      </c>
      <c r="H981" s="15">
        <f t="shared" si="120"/>
        <v>3.3332641781299799E-2</v>
      </c>
      <c r="I981">
        <f t="shared" si="121"/>
        <v>135.53885377133065</v>
      </c>
      <c r="J981">
        <f t="shared" si="116"/>
        <v>482.44460904064522</v>
      </c>
      <c r="K981" s="30">
        <f t="shared" si="117"/>
        <v>7758.6536260653911</v>
      </c>
    </row>
    <row r="982" spans="1:11" x14ac:dyDescent="0.25">
      <c r="A982" s="29">
        <v>932</v>
      </c>
      <c r="B982" s="99">
        <f t="shared" si="118"/>
        <v>0</v>
      </c>
      <c r="C982" s="75">
        <f t="shared" si="122"/>
        <v>104.50616427295054</v>
      </c>
      <c r="D982" s="100">
        <f t="shared" si="119"/>
        <v>445.77777777777789</v>
      </c>
      <c r="E982">
        <f t="shared" si="115"/>
        <v>0</v>
      </c>
      <c r="G982">
        <v>932</v>
      </c>
      <c r="H982" s="15">
        <f t="shared" si="120"/>
        <v>3.3332641781299799E-2</v>
      </c>
      <c r="I982">
        <f t="shared" si="121"/>
        <v>135.57218641311195</v>
      </c>
      <c r="J982">
        <f t="shared" si="116"/>
        <v>482.46872964856135</v>
      </c>
      <c r="K982" s="30">
        <f t="shared" si="117"/>
        <v>7759.4291043331405</v>
      </c>
    </row>
    <row r="983" spans="1:11" x14ac:dyDescent="0.25">
      <c r="A983" s="29">
        <v>933</v>
      </c>
      <c r="B983" s="99">
        <f t="shared" si="118"/>
        <v>0</v>
      </c>
      <c r="C983" s="75">
        <f t="shared" si="122"/>
        <v>104.50616427295054</v>
      </c>
      <c r="D983" s="100">
        <f t="shared" si="119"/>
        <v>445.77777777777789</v>
      </c>
      <c r="E983">
        <f t="shared" si="115"/>
        <v>0</v>
      </c>
      <c r="G983">
        <v>933</v>
      </c>
      <c r="H983" s="15">
        <f t="shared" si="120"/>
        <v>3.3332641781299799E-2</v>
      </c>
      <c r="I983">
        <f t="shared" si="121"/>
        <v>135.60551905489325</v>
      </c>
      <c r="J983">
        <f t="shared" si="116"/>
        <v>482.49282943214985</v>
      </c>
      <c r="K983" s="30">
        <f t="shared" si="117"/>
        <v>7760.2039518092233</v>
      </c>
    </row>
    <row r="984" spans="1:11" x14ac:dyDescent="0.25">
      <c r="A984" s="29">
        <v>934</v>
      </c>
      <c r="B984" s="99">
        <f t="shared" si="118"/>
        <v>0</v>
      </c>
      <c r="C984" s="75">
        <f t="shared" si="122"/>
        <v>104.50616427295054</v>
      </c>
      <c r="D984" s="100">
        <f t="shared" si="119"/>
        <v>445.77777777777789</v>
      </c>
      <c r="E984">
        <f t="shared" si="115"/>
        <v>0</v>
      </c>
      <c r="G984">
        <v>934</v>
      </c>
      <c r="H984" s="15">
        <f t="shared" si="120"/>
        <v>3.3332641781299799E-2</v>
      </c>
      <c r="I984">
        <f t="shared" si="121"/>
        <v>135.63885169667455</v>
      </c>
      <c r="J984">
        <f t="shared" si="116"/>
        <v>482.51690840992575</v>
      </c>
      <c r="K984" s="30">
        <f t="shared" si="117"/>
        <v>7760.9781689883384</v>
      </c>
    </row>
    <row r="985" spans="1:11" x14ac:dyDescent="0.25">
      <c r="A985" s="29">
        <v>935</v>
      </c>
      <c r="B985" s="99">
        <f t="shared" si="118"/>
        <v>0</v>
      </c>
      <c r="C985" s="75">
        <f t="shared" si="122"/>
        <v>104.50616427295054</v>
      </c>
      <c r="D985" s="100">
        <f t="shared" si="119"/>
        <v>445.77777777777789</v>
      </c>
      <c r="E985">
        <f t="shared" si="115"/>
        <v>0</v>
      </c>
      <c r="G985">
        <v>935</v>
      </c>
      <c r="H985" s="15">
        <f t="shared" si="120"/>
        <v>3.3332641781299799E-2</v>
      </c>
      <c r="I985">
        <f t="shared" si="121"/>
        <v>135.67218433845585</v>
      </c>
      <c r="J985">
        <f t="shared" si="116"/>
        <v>482.54096660036612</v>
      </c>
      <c r="K985" s="30">
        <f t="shared" si="117"/>
        <v>7761.7517563641713</v>
      </c>
    </row>
    <row r="986" spans="1:11" x14ac:dyDescent="0.25">
      <c r="A986" s="29">
        <v>936</v>
      </c>
      <c r="B986" s="99">
        <f t="shared" si="118"/>
        <v>0</v>
      </c>
      <c r="C986" s="75">
        <f t="shared" si="122"/>
        <v>104.50616427295054</v>
      </c>
      <c r="D986" s="100">
        <f t="shared" si="119"/>
        <v>445.77777777777789</v>
      </c>
      <c r="E986">
        <f t="shared" si="115"/>
        <v>0</v>
      </c>
      <c r="G986">
        <v>936</v>
      </c>
      <c r="H986" s="15">
        <f t="shared" si="120"/>
        <v>3.3332641781299799E-2</v>
      </c>
      <c r="I986">
        <f t="shared" si="121"/>
        <v>135.70551698023715</v>
      </c>
      <c r="J986">
        <f t="shared" si="116"/>
        <v>482.56500402191034</v>
      </c>
      <c r="K986" s="30">
        <f t="shared" si="117"/>
        <v>7762.524714429398</v>
      </c>
    </row>
    <row r="987" spans="1:11" x14ac:dyDescent="0.25">
      <c r="A987" s="29">
        <v>937</v>
      </c>
      <c r="B987" s="99">
        <f t="shared" si="118"/>
        <v>0</v>
      </c>
      <c r="C987" s="75">
        <f t="shared" si="122"/>
        <v>104.50616427295054</v>
      </c>
      <c r="D987" s="100">
        <f t="shared" si="119"/>
        <v>445.77777777777789</v>
      </c>
      <c r="E987">
        <f t="shared" si="115"/>
        <v>0</v>
      </c>
      <c r="G987">
        <v>937</v>
      </c>
      <c r="H987" s="15">
        <f t="shared" si="120"/>
        <v>3.3332641781299799E-2</v>
      </c>
      <c r="I987">
        <f t="shared" si="121"/>
        <v>135.73884962201845</v>
      </c>
      <c r="J987">
        <f t="shared" si="116"/>
        <v>482.58902069295999</v>
      </c>
      <c r="K987" s="30">
        <f t="shared" si="117"/>
        <v>7763.2970436756914</v>
      </c>
    </row>
    <row r="988" spans="1:11" x14ac:dyDescent="0.25">
      <c r="A988" s="29">
        <v>938</v>
      </c>
      <c r="B988" s="99">
        <f t="shared" si="118"/>
        <v>0</v>
      </c>
      <c r="C988" s="75">
        <f t="shared" si="122"/>
        <v>104.50616427295054</v>
      </c>
      <c r="D988" s="100">
        <f t="shared" si="119"/>
        <v>445.77777777777789</v>
      </c>
      <c r="E988">
        <f t="shared" si="115"/>
        <v>0</v>
      </c>
      <c r="G988">
        <v>938</v>
      </c>
      <c r="H988" s="15">
        <f t="shared" si="120"/>
        <v>3.3332641781299799E-2</v>
      </c>
      <c r="I988">
        <f t="shared" si="121"/>
        <v>135.77218226379975</v>
      </c>
      <c r="J988">
        <f t="shared" si="116"/>
        <v>482.61301663187925</v>
      </c>
      <c r="K988" s="30">
        <f t="shared" si="117"/>
        <v>7764.0687445937137</v>
      </c>
    </row>
    <row r="989" spans="1:11" x14ac:dyDescent="0.25">
      <c r="A989" s="29">
        <v>939</v>
      </c>
      <c r="B989" s="99">
        <f t="shared" si="118"/>
        <v>0</v>
      </c>
      <c r="C989" s="75">
        <f t="shared" si="122"/>
        <v>104.50616427295054</v>
      </c>
      <c r="D989" s="100">
        <f t="shared" si="119"/>
        <v>445.77777777777789</v>
      </c>
      <c r="E989">
        <f t="shared" si="115"/>
        <v>0</v>
      </c>
      <c r="G989">
        <v>939</v>
      </c>
      <c r="H989" s="15">
        <f t="shared" si="120"/>
        <v>3.3332641781299799E-2</v>
      </c>
      <c r="I989">
        <f t="shared" si="121"/>
        <v>135.80551490558105</v>
      </c>
      <c r="J989">
        <f t="shared" si="116"/>
        <v>482.6369918569946</v>
      </c>
      <c r="K989" s="30">
        <f t="shared" si="117"/>
        <v>7764.8398176731316</v>
      </c>
    </row>
    <row r="990" spans="1:11" x14ac:dyDescent="0.25">
      <c r="A990" s="29">
        <v>940</v>
      </c>
      <c r="B990" s="99">
        <f t="shared" si="118"/>
        <v>0</v>
      </c>
      <c r="C990" s="75">
        <f t="shared" si="122"/>
        <v>104.50616427295054</v>
      </c>
      <c r="D990" s="100">
        <f t="shared" si="119"/>
        <v>445.77777777777789</v>
      </c>
      <c r="E990">
        <f t="shared" si="115"/>
        <v>0</v>
      </c>
      <c r="G990">
        <v>940</v>
      </c>
      <c r="H990" s="15">
        <f t="shared" si="120"/>
        <v>3.3332641781299799E-2</v>
      </c>
      <c r="I990">
        <f t="shared" si="121"/>
        <v>135.83884754736235</v>
      </c>
      <c r="J990">
        <f t="shared" si="116"/>
        <v>482.66094638659524</v>
      </c>
      <c r="K990" s="30">
        <f t="shared" si="117"/>
        <v>7765.6102634026111</v>
      </c>
    </row>
    <row r="991" spans="1:11" x14ac:dyDescent="0.25">
      <c r="A991" s="29">
        <v>941</v>
      </c>
      <c r="B991" s="99">
        <f t="shared" si="118"/>
        <v>0</v>
      </c>
      <c r="C991" s="75">
        <f t="shared" si="122"/>
        <v>104.50616427295054</v>
      </c>
      <c r="D991" s="100">
        <f t="shared" si="119"/>
        <v>445.77777777777789</v>
      </c>
      <c r="E991">
        <f t="shared" si="115"/>
        <v>0</v>
      </c>
      <c r="G991">
        <v>941</v>
      </c>
      <c r="H991" s="15">
        <f t="shared" si="120"/>
        <v>3.3332641781299799E-2</v>
      </c>
      <c r="I991">
        <f t="shared" si="121"/>
        <v>135.87218018914365</v>
      </c>
      <c r="J991">
        <f t="shared" si="116"/>
        <v>482.68488023893309</v>
      </c>
      <c r="K991" s="30">
        <f t="shared" si="117"/>
        <v>7766.3800822698213</v>
      </c>
    </row>
    <row r="992" spans="1:11" x14ac:dyDescent="0.25">
      <c r="A992" s="29">
        <v>942</v>
      </c>
      <c r="B992" s="99">
        <f t="shared" si="118"/>
        <v>0</v>
      </c>
      <c r="C992" s="75">
        <f t="shared" si="122"/>
        <v>104.50616427295054</v>
      </c>
      <c r="D992" s="100">
        <f t="shared" si="119"/>
        <v>445.77777777777789</v>
      </c>
      <c r="E992">
        <f t="shared" si="115"/>
        <v>0</v>
      </c>
      <c r="G992">
        <v>942</v>
      </c>
      <c r="H992" s="15">
        <f t="shared" si="120"/>
        <v>3.3332641781299799E-2</v>
      </c>
      <c r="I992">
        <f t="shared" si="121"/>
        <v>135.90551283092495</v>
      </c>
      <c r="J992">
        <f t="shared" si="116"/>
        <v>482.70879343222288</v>
      </c>
      <c r="K992" s="30">
        <f t="shared" si="117"/>
        <v>7767.1492747614402</v>
      </c>
    </row>
    <row r="993" spans="1:11" x14ac:dyDescent="0.25">
      <c r="A993" s="29">
        <v>943</v>
      </c>
      <c r="B993" s="99">
        <f t="shared" si="118"/>
        <v>0</v>
      </c>
      <c r="C993" s="75">
        <f t="shared" si="122"/>
        <v>104.50616427295054</v>
      </c>
      <c r="D993" s="100">
        <f t="shared" si="119"/>
        <v>445.77777777777789</v>
      </c>
      <c r="E993">
        <f t="shared" si="115"/>
        <v>0</v>
      </c>
      <c r="G993">
        <v>943</v>
      </c>
      <c r="H993" s="15">
        <f t="shared" si="120"/>
        <v>3.3332641781299799E-2</v>
      </c>
      <c r="I993">
        <f t="shared" si="121"/>
        <v>135.93884547270625</v>
      </c>
      <c r="J993">
        <f t="shared" si="116"/>
        <v>482.73268598464222</v>
      </c>
      <c r="K993" s="30">
        <f t="shared" si="117"/>
        <v>7767.9178413631525</v>
      </c>
    </row>
    <row r="994" spans="1:11" x14ac:dyDescent="0.25">
      <c r="A994" s="29">
        <v>944</v>
      </c>
      <c r="B994" s="99">
        <f t="shared" si="118"/>
        <v>0</v>
      </c>
      <c r="C994" s="75">
        <f t="shared" si="122"/>
        <v>104.50616427295054</v>
      </c>
      <c r="D994" s="100">
        <f t="shared" si="119"/>
        <v>445.77777777777789</v>
      </c>
      <c r="E994">
        <f t="shared" si="115"/>
        <v>0</v>
      </c>
      <c r="G994">
        <v>944</v>
      </c>
      <c r="H994" s="15">
        <f t="shared" si="120"/>
        <v>3.3332641781299799E-2</v>
      </c>
      <c r="I994">
        <f t="shared" si="121"/>
        <v>135.97217811448755</v>
      </c>
      <c r="J994">
        <f t="shared" si="116"/>
        <v>482.75655791433172</v>
      </c>
      <c r="K994" s="30">
        <f t="shared" si="117"/>
        <v>7768.6857825596599</v>
      </c>
    </row>
    <row r="995" spans="1:11" x14ac:dyDescent="0.25">
      <c r="A995" s="29">
        <v>945</v>
      </c>
      <c r="B995" s="99">
        <f t="shared" si="118"/>
        <v>0</v>
      </c>
      <c r="C995" s="75">
        <f t="shared" si="122"/>
        <v>104.50616427295054</v>
      </c>
      <c r="D995" s="100">
        <f t="shared" si="119"/>
        <v>445.77777777777789</v>
      </c>
      <c r="E995">
        <f t="shared" si="115"/>
        <v>0</v>
      </c>
      <c r="G995">
        <v>945</v>
      </c>
      <c r="H995" s="15">
        <f t="shared" si="120"/>
        <v>3.3332641781299799E-2</v>
      </c>
      <c r="I995">
        <f t="shared" si="121"/>
        <v>136.00551075626885</v>
      </c>
      <c r="J995">
        <f t="shared" si="116"/>
        <v>482.78040923939528</v>
      </c>
      <c r="K995" s="30">
        <f t="shared" si="117"/>
        <v>7769.4530988346733</v>
      </c>
    </row>
    <row r="996" spans="1:11" x14ac:dyDescent="0.25">
      <c r="A996" s="29">
        <v>946</v>
      </c>
      <c r="B996" s="99">
        <f t="shared" si="118"/>
        <v>0</v>
      </c>
      <c r="C996" s="75">
        <f t="shared" si="122"/>
        <v>104.50616427295054</v>
      </c>
      <c r="D996" s="100">
        <f t="shared" si="119"/>
        <v>445.77777777777789</v>
      </c>
      <c r="E996">
        <f t="shared" si="115"/>
        <v>0</v>
      </c>
      <c r="G996">
        <v>946</v>
      </c>
      <c r="H996" s="15">
        <f t="shared" si="120"/>
        <v>3.3332641781299799E-2</v>
      </c>
      <c r="I996">
        <f t="shared" si="121"/>
        <v>136.03884339805015</v>
      </c>
      <c r="J996">
        <f t="shared" si="116"/>
        <v>482.80423997789978</v>
      </c>
      <c r="K996" s="30">
        <f t="shared" si="117"/>
        <v>7770.2197906709234</v>
      </c>
    </row>
    <row r="997" spans="1:11" x14ac:dyDescent="0.25">
      <c r="A997" s="29">
        <v>947</v>
      </c>
      <c r="B997" s="99">
        <f t="shared" si="118"/>
        <v>0</v>
      </c>
      <c r="C997" s="75">
        <f t="shared" si="122"/>
        <v>104.50616427295054</v>
      </c>
      <c r="D997" s="100">
        <f t="shared" si="119"/>
        <v>445.77777777777789</v>
      </c>
      <c r="E997">
        <f t="shared" si="115"/>
        <v>0</v>
      </c>
      <c r="G997">
        <v>947</v>
      </c>
      <c r="H997" s="15">
        <f t="shared" si="120"/>
        <v>3.3332641781299799E-2</v>
      </c>
      <c r="I997">
        <f t="shared" si="121"/>
        <v>136.07217603983145</v>
      </c>
      <c r="J997">
        <f t="shared" si="116"/>
        <v>482.8280501478755</v>
      </c>
      <c r="K997" s="30">
        <f t="shared" si="117"/>
        <v>7770.9858585501652</v>
      </c>
    </row>
    <row r="998" spans="1:11" x14ac:dyDescent="0.25">
      <c r="A998" s="29">
        <v>948</v>
      </c>
      <c r="B998" s="99">
        <f t="shared" si="118"/>
        <v>0</v>
      </c>
      <c r="C998" s="75">
        <f t="shared" si="122"/>
        <v>104.50616427295054</v>
      </c>
      <c r="D998" s="100">
        <f t="shared" si="119"/>
        <v>445.77777777777789</v>
      </c>
      <c r="E998">
        <f t="shared" si="115"/>
        <v>0</v>
      </c>
      <c r="G998">
        <v>948</v>
      </c>
      <c r="H998" s="15">
        <f t="shared" si="120"/>
        <v>3.3332641781299799E-2</v>
      </c>
      <c r="I998">
        <f t="shared" si="121"/>
        <v>136.10550868161275</v>
      </c>
      <c r="J998">
        <f t="shared" si="116"/>
        <v>482.85183976731628</v>
      </c>
      <c r="K998" s="30">
        <f t="shared" si="117"/>
        <v>7771.7513029531729</v>
      </c>
    </row>
    <row r="999" spans="1:11" x14ac:dyDescent="0.25">
      <c r="A999" s="29">
        <v>949</v>
      </c>
      <c r="B999" s="99">
        <f t="shared" si="118"/>
        <v>0</v>
      </c>
      <c r="C999" s="75">
        <f t="shared" si="122"/>
        <v>104.50616427295054</v>
      </c>
      <c r="D999" s="100">
        <f t="shared" si="119"/>
        <v>445.77777777777789</v>
      </c>
      <c r="E999">
        <f t="shared" si="115"/>
        <v>0</v>
      </c>
      <c r="G999">
        <v>949</v>
      </c>
      <c r="H999" s="15">
        <f t="shared" si="120"/>
        <v>3.3332641781299799E-2</v>
      </c>
      <c r="I999">
        <f t="shared" si="121"/>
        <v>136.13884132339405</v>
      </c>
      <c r="J999">
        <f t="shared" si="116"/>
        <v>482.87560885417929</v>
      </c>
      <c r="K999" s="30">
        <f t="shared" si="117"/>
        <v>7772.5161243597422</v>
      </c>
    </row>
    <row r="1000" spans="1:11" x14ac:dyDescent="0.25">
      <c r="A1000" s="29">
        <v>950</v>
      </c>
      <c r="B1000" s="99">
        <f t="shared" si="118"/>
        <v>0</v>
      </c>
      <c r="C1000" s="75">
        <f t="shared" si="122"/>
        <v>104.50616427295054</v>
      </c>
      <c r="D1000" s="100">
        <f t="shared" si="119"/>
        <v>445.77777777777789</v>
      </c>
      <c r="E1000">
        <f t="shared" si="115"/>
        <v>0</v>
      </c>
      <c r="G1000">
        <v>950</v>
      </c>
      <c r="H1000" s="15">
        <f t="shared" si="120"/>
        <v>3.3332641781299799E-2</v>
      </c>
      <c r="I1000">
        <f t="shared" si="121"/>
        <v>136.17217396517535</v>
      </c>
      <c r="J1000">
        <f t="shared" si="116"/>
        <v>482.89935742638534</v>
      </c>
      <c r="K1000" s="30">
        <f t="shared" si="117"/>
        <v>7773.2803232487022</v>
      </c>
    </row>
    <row r="1001" spans="1:11" x14ac:dyDescent="0.25">
      <c r="A1001" s="29">
        <v>951</v>
      </c>
      <c r="B1001" s="99">
        <f t="shared" si="118"/>
        <v>0</v>
      </c>
      <c r="C1001" s="75">
        <f t="shared" si="122"/>
        <v>104.50616427295054</v>
      </c>
      <c r="D1001" s="100">
        <f t="shared" si="119"/>
        <v>445.77777777777789</v>
      </c>
      <c r="E1001">
        <f t="shared" si="115"/>
        <v>0</v>
      </c>
      <c r="G1001">
        <v>951</v>
      </c>
      <c r="H1001" s="15">
        <f t="shared" si="120"/>
        <v>3.3332641781299799E-2</v>
      </c>
      <c r="I1001">
        <f t="shared" si="121"/>
        <v>136.20550660695665</v>
      </c>
      <c r="J1001">
        <f t="shared" si="116"/>
        <v>482.92308550181906</v>
      </c>
      <c r="K1001" s="30">
        <f t="shared" si="117"/>
        <v>7774.0439000979122</v>
      </c>
    </row>
    <row r="1002" spans="1:11" x14ac:dyDescent="0.25">
      <c r="A1002" s="29">
        <v>952</v>
      </c>
      <c r="B1002" s="99">
        <f t="shared" si="118"/>
        <v>0</v>
      </c>
      <c r="C1002" s="75">
        <f t="shared" si="122"/>
        <v>104.50616427295054</v>
      </c>
      <c r="D1002" s="100">
        <f t="shared" si="119"/>
        <v>445.77777777777789</v>
      </c>
      <c r="E1002">
        <f t="shared" si="115"/>
        <v>0</v>
      </c>
      <c r="G1002">
        <v>952</v>
      </c>
      <c r="H1002" s="15">
        <f t="shared" si="120"/>
        <v>3.3332641781299799E-2</v>
      </c>
      <c r="I1002">
        <f t="shared" si="121"/>
        <v>136.23883924873795</v>
      </c>
      <c r="J1002">
        <f t="shared" si="116"/>
        <v>482.94679309832878</v>
      </c>
      <c r="K1002" s="30">
        <f t="shared" si="117"/>
        <v>7774.8068553842613</v>
      </c>
    </row>
    <row r="1003" spans="1:11" x14ac:dyDescent="0.25">
      <c r="A1003" s="29">
        <v>953</v>
      </c>
      <c r="B1003" s="99">
        <f t="shared" si="118"/>
        <v>0</v>
      </c>
      <c r="C1003" s="75">
        <f t="shared" si="122"/>
        <v>104.50616427295054</v>
      </c>
      <c r="D1003" s="100">
        <f t="shared" si="119"/>
        <v>445.77777777777789</v>
      </c>
      <c r="E1003">
        <f t="shared" si="115"/>
        <v>0</v>
      </c>
      <c r="G1003">
        <v>953</v>
      </c>
      <c r="H1003" s="15">
        <f t="shared" si="120"/>
        <v>3.3332641781299799E-2</v>
      </c>
      <c r="I1003">
        <f t="shared" si="121"/>
        <v>136.27217189051925</v>
      </c>
      <c r="J1003">
        <f t="shared" si="116"/>
        <v>482.97048023372679</v>
      </c>
      <c r="K1003" s="30">
        <f t="shared" si="117"/>
        <v>7775.5691895836835</v>
      </c>
    </row>
    <row r="1004" spans="1:11" x14ac:dyDescent="0.25">
      <c r="A1004" s="29">
        <v>954</v>
      </c>
      <c r="B1004" s="99">
        <f t="shared" si="118"/>
        <v>0</v>
      </c>
      <c r="C1004" s="75">
        <f t="shared" si="122"/>
        <v>104.50616427295054</v>
      </c>
      <c r="D1004" s="100">
        <f t="shared" si="119"/>
        <v>445.77777777777789</v>
      </c>
      <c r="E1004">
        <f t="shared" si="115"/>
        <v>0</v>
      </c>
      <c r="G1004">
        <v>954</v>
      </c>
      <c r="H1004" s="15">
        <f t="shared" si="120"/>
        <v>3.3332641781299799E-2</v>
      </c>
      <c r="I1004">
        <f t="shared" si="121"/>
        <v>136.30550453230055</v>
      </c>
      <c r="J1004">
        <f t="shared" si="116"/>
        <v>482.99414692578938</v>
      </c>
      <c r="K1004" s="30">
        <f t="shared" si="117"/>
        <v>7776.3309031711397</v>
      </c>
    </row>
    <row r="1005" spans="1:11" x14ac:dyDescent="0.25">
      <c r="A1005" s="29">
        <v>955</v>
      </c>
      <c r="B1005" s="99">
        <f t="shared" si="118"/>
        <v>0</v>
      </c>
      <c r="C1005" s="75">
        <f t="shared" si="122"/>
        <v>104.50616427295054</v>
      </c>
      <c r="D1005" s="100">
        <f t="shared" si="119"/>
        <v>445.77777777777789</v>
      </c>
      <c r="E1005">
        <f t="shared" si="115"/>
        <v>0</v>
      </c>
      <c r="G1005">
        <v>955</v>
      </c>
      <c r="H1005" s="15">
        <f t="shared" si="120"/>
        <v>3.3332641781299799E-2</v>
      </c>
      <c r="I1005">
        <f t="shared" si="121"/>
        <v>136.33883717408185</v>
      </c>
      <c r="J1005">
        <f t="shared" si="116"/>
        <v>483.01779319225687</v>
      </c>
      <c r="K1005" s="30">
        <f t="shared" si="117"/>
        <v>7777.0919966206384</v>
      </c>
    </row>
    <row r="1006" spans="1:11" x14ac:dyDescent="0.25">
      <c r="A1006" s="29">
        <v>956</v>
      </c>
      <c r="B1006" s="99">
        <f t="shared" si="118"/>
        <v>0</v>
      </c>
      <c r="C1006" s="75">
        <f t="shared" si="122"/>
        <v>104.50616427295054</v>
      </c>
      <c r="D1006" s="100">
        <f t="shared" si="119"/>
        <v>445.77777777777789</v>
      </c>
      <c r="E1006">
        <f t="shared" si="115"/>
        <v>0</v>
      </c>
      <c r="G1006">
        <v>956</v>
      </c>
      <c r="H1006" s="15">
        <f t="shared" si="120"/>
        <v>3.3332641781299799E-2</v>
      </c>
      <c r="I1006">
        <f t="shared" si="121"/>
        <v>136.37216981586315</v>
      </c>
      <c r="J1006">
        <f t="shared" si="116"/>
        <v>483.04141905083389</v>
      </c>
      <c r="K1006" s="30">
        <f t="shared" si="117"/>
        <v>7777.8524704052297</v>
      </c>
    </row>
    <row r="1007" spans="1:11" x14ac:dyDescent="0.25">
      <c r="A1007" s="29">
        <v>957</v>
      </c>
      <c r="B1007" s="99">
        <f t="shared" si="118"/>
        <v>0</v>
      </c>
      <c r="C1007" s="75">
        <f t="shared" si="122"/>
        <v>104.50616427295054</v>
      </c>
      <c r="D1007" s="100">
        <f t="shared" si="119"/>
        <v>445.77777777777789</v>
      </c>
      <c r="E1007">
        <f t="shared" si="115"/>
        <v>0</v>
      </c>
      <c r="G1007">
        <v>957</v>
      </c>
      <c r="H1007" s="15">
        <f t="shared" si="120"/>
        <v>3.3332641781299799E-2</v>
      </c>
      <c r="I1007">
        <f t="shared" si="121"/>
        <v>136.40550245764445</v>
      </c>
      <c r="J1007">
        <f t="shared" si="116"/>
        <v>483.06502451918931</v>
      </c>
      <c r="K1007" s="30">
        <f t="shared" si="117"/>
        <v>7778.6123249970124</v>
      </c>
    </row>
    <row r="1008" spans="1:11" x14ac:dyDescent="0.25">
      <c r="A1008" s="29">
        <v>958</v>
      </c>
      <c r="B1008" s="99">
        <f t="shared" si="118"/>
        <v>0</v>
      </c>
      <c r="C1008" s="75">
        <f t="shared" si="122"/>
        <v>104.50616427295054</v>
      </c>
      <c r="D1008" s="100">
        <f t="shared" si="119"/>
        <v>445.77777777777789</v>
      </c>
      <c r="E1008">
        <f t="shared" si="115"/>
        <v>0</v>
      </c>
      <c r="G1008">
        <v>958</v>
      </c>
      <c r="H1008" s="15">
        <f t="shared" si="120"/>
        <v>3.3332641781299799E-2</v>
      </c>
      <c r="I1008">
        <f t="shared" si="121"/>
        <v>136.43883509942575</v>
      </c>
      <c r="J1008">
        <f t="shared" si="116"/>
        <v>483.08860961495628</v>
      </c>
      <c r="K1008" s="30">
        <f t="shared" si="117"/>
        <v>7779.3715608671337</v>
      </c>
    </row>
    <row r="1009" spans="1:11" x14ac:dyDescent="0.25">
      <c r="A1009" s="29">
        <v>959</v>
      </c>
      <c r="B1009" s="99">
        <f t="shared" si="118"/>
        <v>0</v>
      </c>
      <c r="C1009" s="75">
        <f t="shared" si="122"/>
        <v>104.50616427295054</v>
      </c>
      <c r="D1009" s="100">
        <f t="shared" si="119"/>
        <v>445.77777777777789</v>
      </c>
      <c r="E1009">
        <f t="shared" si="115"/>
        <v>0</v>
      </c>
      <c r="G1009">
        <v>959</v>
      </c>
      <c r="H1009" s="15">
        <f t="shared" si="120"/>
        <v>3.3332641781299799E-2</v>
      </c>
      <c r="I1009">
        <f t="shared" si="121"/>
        <v>136.47216774120704</v>
      </c>
      <c r="J1009">
        <f t="shared" si="116"/>
        <v>483.11217435573269</v>
      </c>
      <c r="K1009" s="30">
        <f t="shared" si="117"/>
        <v>7780.1301784857869</v>
      </c>
    </row>
    <row r="1010" spans="1:11" x14ac:dyDescent="0.25">
      <c r="A1010" s="29">
        <v>960</v>
      </c>
      <c r="B1010" s="99">
        <f t="shared" si="118"/>
        <v>0</v>
      </c>
      <c r="C1010" s="75">
        <f t="shared" si="122"/>
        <v>104.50616427295054</v>
      </c>
      <c r="D1010" s="100">
        <f t="shared" si="119"/>
        <v>445.77777777777789</v>
      </c>
      <c r="E1010">
        <f t="shared" si="115"/>
        <v>0</v>
      </c>
      <c r="G1010">
        <v>960</v>
      </c>
      <c r="H1010" s="15">
        <f t="shared" si="120"/>
        <v>3.3332641781299799E-2</v>
      </c>
      <c r="I1010">
        <f t="shared" si="121"/>
        <v>136.50550038298834</v>
      </c>
      <c r="J1010">
        <f t="shared" si="116"/>
        <v>483.13571875908065</v>
      </c>
      <c r="K1010" s="30">
        <f t="shared" si="117"/>
        <v>7780.8881783222241</v>
      </c>
    </row>
    <row r="1011" spans="1:11" x14ac:dyDescent="0.25">
      <c r="A1011" s="29">
        <v>961</v>
      </c>
      <c r="B1011" s="99">
        <f t="shared" si="118"/>
        <v>0</v>
      </c>
      <c r="C1011" s="75">
        <f t="shared" si="122"/>
        <v>104.50616427295054</v>
      </c>
      <c r="D1011" s="100">
        <f t="shared" si="119"/>
        <v>445.77777777777789</v>
      </c>
      <c r="E1011">
        <f t="shared" ref="E1011:E1074" si="123">((D1011^2)+(D1011*D1012)+(D1012^2))*B1012/3</f>
        <v>0</v>
      </c>
      <c r="G1011">
        <v>961</v>
      </c>
      <c r="H1011" s="15">
        <f t="shared" si="120"/>
        <v>3.3332641781299799E-2</v>
      </c>
      <c r="I1011">
        <f t="shared" si="121"/>
        <v>136.53883302476964</v>
      </c>
      <c r="J1011">
        <f t="shared" ref="J1011:J1074" si="124">IF($G$28&lt;$C$14,0,((($C$11^2)-((I1011-$C$13)^2))^0.5)+$C$16)</f>
        <v>483.15924284252731</v>
      </c>
      <c r="K1011" s="30">
        <f t="shared" ref="K1011:K1074" si="125">((J1011^2)+(J1011*J1012)+(J1012^2))*H1012/3</f>
        <v>7781.6455608447541</v>
      </c>
    </row>
    <row r="1012" spans="1:11" x14ac:dyDescent="0.25">
      <c r="A1012" s="29">
        <v>962</v>
      </c>
      <c r="B1012" s="99">
        <f t="shared" ref="B1012:B1075" si="126">C1012-C1011</f>
        <v>0</v>
      </c>
      <c r="C1012" s="75">
        <f t="shared" si="122"/>
        <v>104.50616427295054</v>
      </c>
      <c r="D1012" s="100">
        <f t="shared" ref="D1012:D1075" si="127">IF($G$28&lt;$C$14,0,((($C$11^2)-((C1012-$C$13)^2))^0.5)+$C$16)</f>
        <v>445.77777777777789</v>
      </c>
      <c r="E1012">
        <f t="shared" si="123"/>
        <v>0</v>
      </c>
      <c r="G1012">
        <v>962</v>
      </c>
      <c r="H1012" s="15">
        <f t="shared" ref="H1012:H1075" si="128">I1012-I1011</f>
        <v>3.3332641781299799E-2</v>
      </c>
      <c r="I1012">
        <f t="shared" ref="I1012:I1075" si="129">($G$27-$C$14)/2000+I1011</f>
        <v>136.57216566655094</v>
      </c>
      <c r="J1012">
        <f t="shared" si="124"/>
        <v>483.1827466235643</v>
      </c>
      <c r="K1012" s="30">
        <f t="shared" si="125"/>
        <v>7782.4023265207443</v>
      </c>
    </row>
    <row r="1013" spans="1:11" x14ac:dyDescent="0.25">
      <c r="A1013" s="29">
        <v>963</v>
      </c>
      <c r="B1013" s="99">
        <f t="shared" si="126"/>
        <v>0</v>
      </c>
      <c r="C1013" s="75">
        <f t="shared" si="122"/>
        <v>104.50616427295054</v>
      </c>
      <c r="D1013" s="100">
        <f t="shared" si="127"/>
        <v>445.77777777777789</v>
      </c>
      <c r="E1013">
        <f t="shared" si="123"/>
        <v>0</v>
      </c>
      <c r="G1013">
        <v>963</v>
      </c>
      <c r="H1013" s="15">
        <f t="shared" si="128"/>
        <v>3.3332641781299799E-2</v>
      </c>
      <c r="I1013">
        <f t="shared" si="129"/>
        <v>136.60549830833224</v>
      </c>
      <c r="J1013">
        <f t="shared" si="124"/>
        <v>483.20623011964835</v>
      </c>
      <c r="K1013" s="30">
        <f t="shared" si="125"/>
        <v>7783.1584758166182</v>
      </c>
    </row>
    <row r="1014" spans="1:11" x14ac:dyDescent="0.25">
      <c r="A1014" s="29">
        <v>964</v>
      </c>
      <c r="B1014" s="99">
        <f t="shared" si="126"/>
        <v>0</v>
      </c>
      <c r="C1014" s="75">
        <f t="shared" si="122"/>
        <v>104.50616427295054</v>
      </c>
      <c r="D1014" s="100">
        <f t="shared" si="127"/>
        <v>445.77777777777789</v>
      </c>
      <c r="E1014">
        <f t="shared" si="123"/>
        <v>0</v>
      </c>
      <c r="G1014">
        <v>964</v>
      </c>
      <c r="H1014" s="15">
        <f t="shared" si="128"/>
        <v>3.3332641781299799E-2</v>
      </c>
      <c r="I1014">
        <f t="shared" si="129"/>
        <v>136.63883095011354</v>
      </c>
      <c r="J1014">
        <f t="shared" si="124"/>
        <v>483.22969334820084</v>
      </c>
      <c r="K1014" s="30">
        <f t="shared" si="125"/>
        <v>7783.9140091978697</v>
      </c>
    </row>
    <row r="1015" spans="1:11" x14ac:dyDescent="0.25">
      <c r="A1015" s="29">
        <v>965</v>
      </c>
      <c r="B1015" s="99">
        <f t="shared" si="126"/>
        <v>0</v>
      </c>
      <c r="C1015" s="75">
        <f t="shared" si="122"/>
        <v>104.50616427295054</v>
      </c>
      <c r="D1015" s="100">
        <f t="shared" si="127"/>
        <v>445.77777777777789</v>
      </c>
      <c r="E1015">
        <f t="shared" si="123"/>
        <v>0</v>
      </c>
      <c r="G1015">
        <v>965</v>
      </c>
      <c r="H1015" s="15">
        <f t="shared" si="128"/>
        <v>3.3332641781299799E-2</v>
      </c>
      <c r="I1015">
        <f t="shared" si="129"/>
        <v>136.67216359189484</v>
      </c>
      <c r="J1015">
        <f t="shared" si="124"/>
        <v>483.25313632660851</v>
      </c>
      <c r="K1015" s="30">
        <f t="shared" si="125"/>
        <v>7784.6689271290561</v>
      </c>
    </row>
    <row r="1016" spans="1:11" x14ac:dyDescent="0.25">
      <c r="A1016" s="29">
        <v>966</v>
      </c>
      <c r="B1016" s="99">
        <f t="shared" si="126"/>
        <v>0</v>
      </c>
      <c r="C1016" s="75">
        <f t="shared" si="122"/>
        <v>104.50616427295054</v>
      </c>
      <c r="D1016" s="100">
        <f t="shared" si="127"/>
        <v>445.77777777777789</v>
      </c>
      <c r="E1016">
        <f t="shared" si="123"/>
        <v>0</v>
      </c>
      <c r="G1016">
        <v>966</v>
      </c>
      <c r="H1016" s="15">
        <f t="shared" si="128"/>
        <v>3.3332641781299799E-2</v>
      </c>
      <c r="I1016">
        <f t="shared" si="129"/>
        <v>136.70549623367614</v>
      </c>
      <c r="J1016">
        <f t="shared" si="124"/>
        <v>483.27655907222305</v>
      </c>
      <c r="K1016" s="30">
        <f t="shared" si="125"/>
        <v>7785.423230073804</v>
      </c>
    </row>
    <row r="1017" spans="1:11" x14ac:dyDescent="0.25">
      <c r="A1017" s="29">
        <v>967</v>
      </c>
      <c r="B1017" s="99">
        <f t="shared" si="126"/>
        <v>0</v>
      </c>
      <c r="C1017" s="75">
        <f t="shared" si="122"/>
        <v>104.50616427295054</v>
      </c>
      <c r="D1017" s="100">
        <f t="shared" si="127"/>
        <v>445.77777777777789</v>
      </c>
      <c r="E1017">
        <f t="shared" si="123"/>
        <v>0</v>
      </c>
      <c r="G1017">
        <v>967</v>
      </c>
      <c r="H1017" s="15">
        <f t="shared" si="128"/>
        <v>3.3332641781299799E-2</v>
      </c>
      <c r="I1017">
        <f t="shared" si="129"/>
        <v>136.73882887545744</v>
      </c>
      <c r="J1017">
        <f t="shared" si="124"/>
        <v>483.29996160236146</v>
      </c>
      <c r="K1017" s="30">
        <f t="shared" si="125"/>
        <v>7786.1769184948134</v>
      </c>
    </row>
    <row r="1018" spans="1:11" x14ac:dyDescent="0.25">
      <c r="A1018" s="29">
        <v>968</v>
      </c>
      <c r="B1018" s="99">
        <f t="shared" si="126"/>
        <v>0</v>
      </c>
      <c r="C1018" s="75">
        <f t="shared" si="122"/>
        <v>104.50616427295054</v>
      </c>
      <c r="D1018" s="100">
        <f t="shared" si="127"/>
        <v>445.77777777777789</v>
      </c>
      <c r="E1018">
        <f t="shared" si="123"/>
        <v>0</v>
      </c>
      <c r="G1018">
        <v>968</v>
      </c>
      <c r="H1018" s="15">
        <f t="shared" si="128"/>
        <v>3.3332641781299799E-2</v>
      </c>
      <c r="I1018">
        <f t="shared" si="129"/>
        <v>136.77216151723874</v>
      </c>
      <c r="J1018">
        <f t="shared" si="124"/>
        <v>483.32334393430597</v>
      </c>
      <c r="K1018" s="30">
        <f t="shared" si="125"/>
        <v>7786.9299928538521</v>
      </c>
    </row>
    <row r="1019" spans="1:11" x14ac:dyDescent="0.25">
      <c r="A1019" s="29">
        <v>969</v>
      </c>
      <c r="B1019" s="99">
        <f t="shared" si="126"/>
        <v>0</v>
      </c>
      <c r="C1019" s="75">
        <f t="shared" si="122"/>
        <v>104.50616427295054</v>
      </c>
      <c r="D1019" s="100">
        <f t="shared" si="127"/>
        <v>445.77777777777789</v>
      </c>
      <c r="E1019">
        <f t="shared" si="123"/>
        <v>0</v>
      </c>
      <c r="G1019">
        <v>969</v>
      </c>
      <c r="H1019" s="15">
        <f t="shared" si="128"/>
        <v>3.3332641781299799E-2</v>
      </c>
      <c r="I1019">
        <f t="shared" si="129"/>
        <v>136.80549415902004</v>
      </c>
      <c r="J1019">
        <f t="shared" si="124"/>
        <v>483.34670608530439</v>
      </c>
      <c r="K1019" s="30">
        <f t="shared" si="125"/>
        <v>7787.6824536117711</v>
      </c>
    </row>
    <row r="1020" spans="1:11" x14ac:dyDescent="0.25">
      <c r="A1020" s="29">
        <v>970</v>
      </c>
      <c r="B1020" s="99">
        <f t="shared" si="126"/>
        <v>0</v>
      </c>
      <c r="C1020" s="75">
        <f t="shared" si="122"/>
        <v>104.50616427295054</v>
      </c>
      <c r="D1020" s="100">
        <f t="shared" si="127"/>
        <v>445.77777777777789</v>
      </c>
      <c r="E1020">
        <f t="shared" si="123"/>
        <v>0</v>
      </c>
      <c r="G1020">
        <v>970</v>
      </c>
      <c r="H1020" s="15">
        <f t="shared" si="128"/>
        <v>3.3332641781299799E-2</v>
      </c>
      <c r="I1020">
        <f t="shared" si="129"/>
        <v>136.83882680080134</v>
      </c>
      <c r="J1020">
        <f t="shared" si="124"/>
        <v>483.37004807256983</v>
      </c>
      <c r="K1020" s="30">
        <f t="shared" si="125"/>
        <v>7788.4343012284953</v>
      </c>
    </row>
    <row r="1021" spans="1:11" x14ac:dyDescent="0.25">
      <c r="A1021" s="29">
        <v>971</v>
      </c>
      <c r="B1021" s="99">
        <f t="shared" si="126"/>
        <v>0</v>
      </c>
      <c r="C1021" s="75">
        <f t="shared" si="122"/>
        <v>104.50616427295054</v>
      </c>
      <c r="D1021" s="100">
        <f t="shared" si="127"/>
        <v>445.77777777777789</v>
      </c>
      <c r="E1021">
        <f t="shared" si="123"/>
        <v>0</v>
      </c>
      <c r="G1021">
        <v>971</v>
      </c>
      <c r="H1021" s="15">
        <f t="shared" si="128"/>
        <v>3.3332641781299799E-2</v>
      </c>
      <c r="I1021">
        <f t="shared" si="129"/>
        <v>136.87215944258264</v>
      </c>
      <c r="J1021">
        <f t="shared" si="124"/>
        <v>483.39336991328116</v>
      </c>
      <c r="K1021" s="30">
        <f t="shared" si="125"/>
        <v>7789.1855361630342</v>
      </c>
    </row>
    <row r="1022" spans="1:11" x14ac:dyDescent="0.25">
      <c r="A1022" s="29">
        <v>972</v>
      </c>
      <c r="B1022" s="99">
        <f t="shared" si="126"/>
        <v>0</v>
      </c>
      <c r="C1022" s="75">
        <f t="shared" si="122"/>
        <v>104.50616427295054</v>
      </c>
      <c r="D1022" s="100">
        <f t="shared" si="127"/>
        <v>445.77777777777789</v>
      </c>
      <c r="E1022">
        <f t="shared" si="123"/>
        <v>0</v>
      </c>
      <c r="G1022">
        <v>972</v>
      </c>
      <c r="H1022" s="15">
        <f t="shared" si="128"/>
        <v>3.3332641781299799E-2</v>
      </c>
      <c r="I1022">
        <f t="shared" si="129"/>
        <v>136.90549208436394</v>
      </c>
      <c r="J1022">
        <f t="shared" si="124"/>
        <v>483.41667162458293</v>
      </c>
      <c r="K1022" s="30">
        <f t="shared" si="125"/>
        <v>7789.9361588734782</v>
      </c>
    </row>
    <row r="1023" spans="1:11" x14ac:dyDescent="0.25">
      <c r="A1023" s="29">
        <v>973</v>
      </c>
      <c r="B1023" s="99">
        <f t="shared" si="126"/>
        <v>0</v>
      </c>
      <c r="C1023" s="75">
        <f t="shared" si="122"/>
        <v>104.50616427295054</v>
      </c>
      <c r="D1023" s="100">
        <f t="shared" si="127"/>
        <v>445.77777777777789</v>
      </c>
      <c r="E1023">
        <f t="shared" si="123"/>
        <v>0</v>
      </c>
      <c r="G1023">
        <v>973</v>
      </c>
      <c r="H1023" s="15">
        <f t="shared" si="128"/>
        <v>3.3332641781299799E-2</v>
      </c>
      <c r="I1023">
        <f t="shared" si="129"/>
        <v>136.93882472614524</v>
      </c>
      <c r="J1023">
        <f t="shared" si="124"/>
        <v>483.43995322358535</v>
      </c>
      <c r="K1023" s="30">
        <f t="shared" si="125"/>
        <v>7790.6861698170032</v>
      </c>
    </row>
    <row r="1024" spans="1:11" x14ac:dyDescent="0.25">
      <c r="A1024" s="29">
        <v>974</v>
      </c>
      <c r="B1024" s="99">
        <f t="shared" si="126"/>
        <v>0</v>
      </c>
      <c r="C1024" s="75">
        <f t="shared" si="122"/>
        <v>104.50616427295054</v>
      </c>
      <c r="D1024" s="100">
        <f t="shared" si="127"/>
        <v>445.77777777777789</v>
      </c>
      <c r="E1024">
        <f t="shared" si="123"/>
        <v>0</v>
      </c>
      <c r="G1024">
        <v>974</v>
      </c>
      <c r="H1024" s="15">
        <f t="shared" si="128"/>
        <v>3.3332641781299799E-2</v>
      </c>
      <c r="I1024">
        <f t="shared" si="129"/>
        <v>136.97215736792654</v>
      </c>
      <c r="J1024">
        <f t="shared" si="124"/>
        <v>483.46321472736457</v>
      </c>
      <c r="K1024" s="30">
        <f t="shared" si="125"/>
        <v>7791.4355694498763</v>
      </c>
    </row>
    <row r="1025" spans="1:11" x14ac:dyDescent="0.25">
      <c r="A1025" s="29">
        <v>975</v>
      </c>
      <c r="B1025" s="99">
        <f t="shared" si="126"/>
        <v>0</v>
      </c>
      <c r="C1025" s="75">
        <f t="shared" si="122"/>
        <v>104.50616427295054</v>
      </c>
      <c r="D1025" s="100">
        <f t="shared" si="127"/>
        <v>445.77777777777789</v>
      </c>
      <c r="E1025">
        <f t="shared" si="123"/>
        <v>0</v>
      </c>
      <c r="G1025">
        <v>975</v>
      </c>
      <c r="H1025" s="15">
        <f t="shared" si="128"/>
        <v>3.3332641781299799E-2</v>
      </c>
      <c r="I1025">
        <f t="shared" si="129"/>
        <v>137.00549000970784</v>
      </c>
      <c r="J1025">
        <f t="shared" si="124"/>
        <v>483.48645615296277</v>
      </c>
      <c r="K1025" s="30">
        <f t="shared" si="125"/>
        <v>7792.1843582274532</v>
      </c>
    </row>
    <row r="1026" spans="1:11" x14ac:dyDescent="0.25">
      <c r="A1026" s="29">
        <v>976</v>
      </c>
      <c r="B1026" s="99">
        <f t="shared" si="126"/>
        <v>0</v>
      </c>
      <c r="C1026" s="75">
        <f t="shared" si="122"/>
        <v>104.50616427295054</v>
      </c>
      <c r="D1026" s="100">
        <f t="shared" si="127"/>
        <v>445.77777777777789</v>
      </c>
      <c r="E1026">
        <f t="shared" si="123"/>
        <v>0</v>
      </c>
      <c r="G1026">
        <v>976</v>
      </c>
      <c r="H1026" s="15">
        <f t="shared" si="128"/>
        <v>3.3332641781299799E-2</v>
      </c>
      <c r="I1026">
        <f t="shared" si="129"/>
        <v>137.03882265148914</v>
      </c>
      <c r="J1026">
        <f t="shared" si="124"/>
        <v>483.50967751738807</v>
      </c>
      <c r="K1026" s="30">
        <f t="shared" si="125"/>
        <v>7792.932536604184</v>
      </c>
    </row>
    <row r="1027" spans="1:11" x14ac:dyDescent="0.25">
      <c r="A1027" s="29">
        <v>977</v>
      </c>
      <c r="B1027" s="99">
        <f t="shared" si="126"/>
        <v>0</v>
      </c>
      <c r="C1027" s="75">
        <f t="shared" si="122"/>
        <v>104.50616427295054</v>
      </c>
      <c r="D1027" s="100">
        <f t="shared" si="127"/>
        <v>445.77777777777789</v>
      </c>
      <c r="E1027">
        <f t="shared" si="123"/>
        <v>0</v>
      </c>
      <c r="G1027">
        <v>977</v>
      </c>
      <c r="H1027" s="15">
        <f t="shared" si="128"/>
        <v>3.3332641781299799E-2</v>
      </c>
      <c r="I1027">
        <f t="shared" si="129"/>
        <v>137.07215529327044</v>
      </c>
      <c r="J1027">
        <f t="shared" si="124"/>
        <v>483.53287883761482</v>
      </c>
      <c r="K1027" s="30">
        <f t="shared" si="125"/>
        <v>7793.6801050336135</v>
      </c>
    </row>
    <row r="1028" spans="1:11" x14ac:dyDescent="0.25">
      <c r="A1028" s="29">
        <v>978</v>
      </c>
      <c r="B1028" s="99">
        <f t="shared" si="126"/>
        <v>0</v>
      </c>
      <c r="C1028" s="75">
        <f t="shared" si="122"/>
        <v>104.50616427295054</v>
      </c>
      <c r="D1028" s="100">
        <f t="shared" si="127"/>
        <v>445.77777777777789</v>
      </c>
      <c r="E1028">
        <f t="shared" si="123"/>
        <v>0</v>
      </c>
      <c r="G1028">
        <v>978</v>
      </c>
      <c r="H1028" s="15">
        <f t="shared" si="128"/>
        <v>3.3332641781299799E-2</v>
      </c>
      <c r="I1028">
        <f t="shared" si="129"/>
        <v>137.10548793505174</v>
      </c>
      <c r="J1028">
        <f t="shared" si="124"/>
        <v>483.55606013058349</v>
      </c>
      <c r="K1028" s="30">
        <f t="shared" si="125"/>
        <v>7794.4270639683846</v>
      </c>
    </row>
    <row r="1029" spans="1:11" x14ac:dyDescent="0.25">
      <c r="A1029" s="29">
        <v>979</v>
      </c>
      <c r="B1029" s="99">
        <f t="shared" si="126"/>
        <v>0</v>
      </c>
      <c r="C1029" s="75">
        <f t="shared" si="122"/>
        <v>104.50616427295054</v>
      </c>
      <c r="D1029" s="100">
        <f t="shared" si="127"/>
        <v>445.77777777777789</v>
      </c>
      <c r="E1029">
        <f t="shared" si="123"/>
        <v>0</v>
      </c>
      <c r="G1029">
        <v>979</v>
      </c>
      <c r="H1029" s="15">
        <f t="shared" si="128"/>
        <v>3.3332641781299799E-2</v>
      </c>
      <c r="I1029">
        <f t="shared" si="129"/>
        <v>137.13882057683304</v>
      </c>
      <c r="J1029">
        <f t="shared" si="124"/>
        <v>483.57922141320103</v>
      </c>
      <c r="K1029" s="30">
        <f t="shared" si="125"/>
        <v>7795.1734138602405</v>
      </c>
    </row>
    <row r="1030" spans="1:11" x14ac:dyDescent="0.25">
      <c r="A1030" s="29">
        <v>980</v>
      </c>
      <c r="B1030" s="99">
        <f t="shared" si="126"/>
        <v>0</v>
      </c>
      <c r="C1030" s="75">
        <f t="shared" si="122"/>
        <v>104.50616427295054</v>
      </c>
      <c r="D1030" s="100">
        <f t="shared" si="127"/>
        <v>445.77777777777789</v>
      </c>
      <c r="E1030">
        <f t="shared" si="123"/>
        <v>0</v>
      </c>
      <c r="G1030">
        <v>980</v>
      </c>
      <c r="H1030" s="15">
        <f t="shared" si="128"/>
        <v>3.3332641781299799E-2</v>
      </c>
      <c r="I1030">
        <f t="shared" si="129"/>
        <v>137.17215321861434</v>
      </c>
      <c r="J1030">
        <f t="shared" si="124"/>
        <v>483.60236270234054</v>
      </c>
      <c r="K1030" s="30">
        <f t="shared" si="125"/>
        <v>7795.9191551600261</v>
      </c>
    </row>
    <row r="1031" spans="1:11" x14ac:dyDescent="0.25">
      <c r="A1031" s="29">
        <v>981</v>
      </c>
      <c r="B1031" s="99">
        <f t="shared" si="126"/>
        <v>0</v>
      </c>
      <c r="C1031" s="75">
        <f t="shared" si="122"/>
        <v>104.50616427295054</v>
      </c>
      <c r="D1031" s="100">
        <f t="shared" si="127"/>
        <v>445.77777777777789</v>
      </c>
      <c r="E1031">
        <f t="shared" si="123"/>
        <v>0</v>
      </c>
      <c r="G1031">
        <v>981</v>
      </c>
      <c r="H1031" s="15">
        <f t="shared" si="128"/>
        <v>3.3332641781299799E-2</v>
      </c>
      <c r="I1031">
        <f t="shared" si="129"/>
        <v>137.20548586039564</v>
      </c>
      <c r="J1031">
        <f t="shared" si="124"/>
        <v>483.6254840148419</v>
      </c>
      <c r="K1031" s="30">
        <f t="shared" si="125"/>
        <v>7796.6642883176946</v>
      </c>
    </row>
    <row r="1032" spans="1:11" x14ac:dyDescent="0.25">
      <c r="A1032" s="29">
        <v>982</v>
      </c>
      <c r="B1032" s="99">
        <f t="shared" si="126"/>
        <v>0</v>
      </c>
      <c r="C1032" s="75">
        <f t="shared" si="122"/>
        <v>104.50616427295054</v>
      </c>
      <c r="D1032" s="100">
        <f t="shared" si="127"/>
        <v>445.77777777777789</v>
      </c>
      <c r="E1032">
        <f t="shared" si="123"/>
        <v>0</v>
      </c>
      <c r="G1032">
        <v>982</v>
      </c>
      <c r="H1032" s="15">
        <f t="shared" si="128"/>
        <v>3.3332641781299799E-2</v>
      </c>
      <c r="I1032">
        <f t="shared" si="129"/>
        <v>137.23881850217694</v>
      </c>
      <c r="J1032">
        <f t="shared" si="124"/>
        <v>483.64858536751143</v>
      </c>
      <c r="K1032" s="30">
        <f t="shared" si="125"/>
        <v>7797.4088137823046</v>
      </c>
    </row>
    <row r="1033" spans="1:11" x14ac:dyDescent="0.25">
      <c r="A1033" s="29">
        <v>983</v>
      </c>
      <c r="B1033" s="99">
        <f t="shared" si="126"/>
        <v>0</v>
      </c>
      <c r="C1033" s="75">
        <f t="shared" si="122"/>
        <v>104.50616427295054</v>
      </c>
      <c r="D1033" s="100">
        <f t="shared" si="127"/>
        <v>445.77777777777789</v>
      </c>
      <c r="E1033">
        <f t="shared" si="123"/>
        <v>0</v>
      </c>
      <c r="G1033">
        <v>983</v>
      </c>
      <c r="H1033" s="15">
        <f t="shared" si="128"/>
        <v>3.3332641781299799E-2</v>
      </c>
      <c r="I1033">
        <f t="shared" si="129"/>
        <v>137.27215114395824</v>
      </c>
      <c r="J1033">
        <f t="shared" si="124"/>
        <v>483.67166677712208</v>
      </c>
      <c r="K1033" s="30">
        <f t="shared" si="125"/>
        <v>7798.1527320020205</v>
      </c>
    </row>
    <row r="1034" spans="1:11" x14ac:dyDescent="0.25">
      <c r="A1034" s="29">
        <v>984</v>
      </c>
      <c r="B1034" s="99">
        <f t="shared" si="126"/>
        <v>0</v>
      </c>
      <c r="C1034" s="75">
        <f t="shared" si="122"/>
        <v>104.50616427295054</v>
      </c>
      <c r="D1034" s="100">
        <f t="shared" si="127"/>
        <v>445.77777777777789</v>
      </c>
      <c r="E1034">
        <f t="shared" si="123"/>
        <v>0</v>
      </c>
      <c r="G1034">
        <v>984</v>
      </c>
      <c r="H1034" s="15">
        <f t="shared" si="128"/>
        <v>3.3332641781299799E-2</v>
      </c>
      <c r="I1034">
        <f t="shared" si="129"/>
        <v>137.30548378573954</v>
      </c>
      <c r="J1034">
        <f t="shared" si="124"/>
        <v>483.69472826041363</v>
      </c>
      <c r="K1034" s="30">
        <f t="shared" si="125"/>
        <v>7798.8960434241244</v>
      </c>
    </row>
    <row r="1035" spans="1:11" x14ac:dyDescent="0.25">
      <c r="A1035" s="29">
        <v>985</v>
      </c>
      <c r="B1035" s="99">
        <f t="shared" si="126"/>
        <v>0</v>
      </c>
      <c r="C1035" s="75">
        <f t="shared" si="122"/>
        <v>104.50616427295054</v>
      </c>
      <c r="D1035" s="100">
        <f t="shared" si="127"/>
        <v>445.77777777777789</v>
      </c>
      <c r="E1035">
        <f t="shared" si="123"/>
        <v>0</v>
      </c>
      <c r="G1035">
        <v>985</v>
      </c>
      <c r="H1035" s="15">
        <f t="shared" si="128"/>
        <v>3.3332641781299799E-2</v>
      </c>
      <c r="I1035">
        <f t="shared" si="129"/>
        <v>137.33881642752084</v>
      </c>
      <c r="J1035">
        <f t="shared" si="124"/>
        <v>483.71776983409273</v>
      </c>
      <c r="K1035" s="30">
        <f t="shared" si="125"/>
        <v>7799.6387484950137</v>
      </c>
    </row>
    <row r="1036" spans="1:11" x14ac:dyDescent="0.25">
      <c r="A1036" s="29">
        <v>986</v>
      </c>
      <c r="B1036" s="99">
        <f t="shared" si="126"/>
        <v>0</v>
      </c>
      <c r="C1036" s="75">
        <f t="shared" si="122"/>
        <v>104.50616427295054</v>
      </c>
      <c r="D1036" s="100">
        <f t="shared" si="127"/>
        <v>445.77777777777789</v>
      </c>
      <c r="E1036">
        <f t="shared" si="123"/>
        <v>0</v>
      </c>
      <c r="G1036">
        <v>986</v>
      </c>
      <c r="H1036" s="15">
        <f t="shared" si="128"/>
        <v>3.3332641781299799E-2</v>
      </c>
      <c r="I1036">
        <f t="shared" si="129"/>
        <v>137.37214906930214</v>
      </c>
      <c r="J1036">
        <f t="shared" si="124"/>
        <v>483.74079151483284</v>
      </c>
      <c r="K1036" s="30">
        <f t="shared" si="125"/>
        <v>7800.3808476601944</v>
      </c>
    </row>
    <row r="1037" spans="1:11" x14ac:dyDescent="0.25">
      <c r="A1037" s="29">
        <v>987</v>
      </c>
      <c r="B1037" s="99">
        <f t="shared" si="126"/>
        <v>0</v>
      </c>
      <c r="C1037" s="75">
        <f t="shared" si="122"/>
        <v>104.50616427295054</v>
      </c>
      <c r="D1037" s="100">
        <f t="shared" si="127"/>
        <v>445.77777777777789</v>
      </c>
      <c r="E1037">
        <f t="shared" si="123"/>
        <v>0</v>
      </c>
      <c r="G1037">
        <v>987</v>
      </c>
      <c r="H1037" s="15">
        <f t="shared" si="128"/>
        <v>3.3332641781299799E-2</v>
      </c>
      <c r="I1037">
        <f t="shared" si="129"/>
        <v>137.40548171108344</v>
      </c>
      <c r="J1037">
        <f t="shared" si="124"/>
        <v>483.7637933192745</v>
      </c>
      <c r="K1037" s="30">
        <f t="shared" si="125"/>
        <v>7801.1223413642983</v>
      </c>
    </row>
    <row r="1038" spans="1:11" x14ac:dyDescent="0.25">
      <c r="A1038" s="29">
        <v>988</v>
      </c>
      <c r="B1038" s="99">
        <f t="shared" si="126"/>
        <v>0</v>
      </c>
      <c r="C1038" s="75">
        <f t="shared" si="122"/>
        <v>104.50616427295054</v>
      </c>
      <c r="D1038" s="100">
        <f t="shared" si="127"/>
        <v>445.77777777777789</v>
      </c>
      <c r="E1038">
        <f t="shared" si="123"/>
        <v>0</v>
      </c>
      <c r="G1038">
        <v>988</v>
      </c>
      <c r="H1038" s="15">
        <f t="shared" si="128"/>
        <v>3.3332641781299799E-2</v>
      </c>
      <c r="I1038">
        <f t="shared" si="129"/>
        <v>137.43881435286474</v>
      </c>
      <c r="J1038">
        <f t="shared" si="124"/>
        <v>483.78677526402538</v>
      </c>
      <c r="K1038" s="30">
        <f t="shared" si="125"/>
        <v>7801.8632300510772</v>
      </c>
    </row>
    <row r="1039" spans="1:11" x14ac:dyDescent="0.25">
      <c r="A1039" s="29">
        <v>989</v>
      </c>
      <c r="B1039" s="99">
        <f t="shared" si="126"/>
        <v>0</v>
      </c>
      <c r="C1039" s="75">
        <f t="shared" si="122"/>
        <v>104.50616427295054</v>
      </c>
      <c r="D1039" s="100">
        <f t="shared" si="127"/>
        <v>445.77777777777789</v>
      </c>
      <c r="E1039">
        <f t="shared" si="123"/>
        <v>0</v>
      </c>
      <c r="G1039">
        <v>989</v>
      </c>
      <c r="H1039" s="15">
        <f t="shared" si="128"/>
        <v>3.3332641781299799E-2</v>
      </c>
      <c r="I1039">
        <f t="shared" si="129"/>
        <v>137.47214699464604</v>
      </c>
      <c r="J1039">
        <f t="shared" si="124"/>
        <v>483.80973736566034</v>
      </c>
      <c r="K1039" s="30">
        <f t="shared" si="125"/>
        <v>7802.6035141634056</v>
      </c>
    </row>
    <row r="1040" spans="1:11" x14ac:dyDescent="0.25">
      <c r="A1040" s="29">
        <v>990</v>
      </c>
      <c r="B1040" s="99">
        <f t="shared" si="126"/>
        <v>0</v>
      </c>
      <c r="C1040" s="75">
        <f t="shared" ref="C1040:C1103" si="130">($C$37-$C$36)/2000+C1039</f>
        <v>104.50616427295054</v>
      </c>
      <c r="D1040" s="100">
        <f t="shared" si="127"/>
        <v>445.77777777777789</v>
      </c>
      <c r="E1040">
        <f t="shared" si="123"/>
        <v>0</v>
      </c>
      <c r="G1040">
        <v>990</v>
      </c>
      <c r="H1040" s="15">
        <f t="shared" si="128"/>
        <v>3.3332641781299799E-2</v>
      </c>
      <c r="I1040">
        <f t="shared" si="129"/>
        <v>137.50547963642734</v>
      </c>
      <c r="J1040">
        <f t="shared" si="124"/>
        <v>483.83267964072149</v>
      </c>
      <c r="K1040" s="30">
        <f t="shared" si="125"/>
        <v>7803.3431941432827</v>
      </c>
    </row>
    <row r="1041" spans="1:11" x14ac:dyDescent="0.25">
      <c r="A1041" s="29">
        <v>991</v>
      </c>
      <c r="B1041" s="99">
        <f t="shared" si="126"/>
        <v>0</v>
      </c>
      <c r="C1041" s="75">
        <f t="shared" si="130"/>
        <v>104.50616427295054</v>
      </c>
      <c r="D1041" s="100">
        <f t="shared" si="127"/>
        <v>445.77777777777789</v>
      </c>
      <c r="E1041">
        <f t="shared" si="123"/>
        <v>0</v>
      </c>
      <c r="G1041">
        <v>991</v>
      </c>
      <c r="H1041" s="15">
        <f t="shared" si="128"/>
        <v>3.3332641781299799E-2</v>
      </c>
      <c r="I1041">
        <f t="shared" si="129"/>
        <v>137.53881227820864</v>
      </c>
      <c r="J1041">
        <f t="shared" si="124"/>
        <v>483.85560210571828</v>
      </c>
      <c r="K1041" s="30">
        <f t="shared" si="125"/>
        <v>7804.0822704318443</v>
      </c>
    </row>
    <row r="1042" spans="1:11" x14ac:dyDescent="0.25">
      <c r="A1042" s="29">
        <v>992</v>
      </c>
      <c r="B1042" s="99">
        <f t="shared" si="126"/>
        <v>0</v>
      </c>
      <c r="C1042" s="75">
        <f t="shared" si="130"/>
        <v>104.50616427295054</v>
      </c>
      <c r="D1042" s="100">
        <f t="shared" si="127"/>
        <v>445.77777777777789</v>
      </c>
      <c r="E1042">
        <f t="shared" si="123"/>
        <v>0</v>
      </c>
      <c r="G1042">
        <v>992</v>
      </c>
      <c r="H1042" s="15">
        <f t="shared" si="128"/>
        <v>3.3332641781299799E-2</v>
      </c>
      <c r="I1042">
        <f t="shared" si="129"/>
        <v>137.57214491998994</v>
      </c>
      <c r="J1042">
        <f t="shared" si="124"/>
        <v>483.87850477712766</v>
      </c>
      <c r="K1042" s="30">
        <f t="shared" si="125"/>
        <v>7804.8207434693386</v>
      </c>
    </row>
    <row r="1043" spans="1:11" x14ac:dyDescent="0.25">
      <c r="A1043" s="29">
        <v>993</v>
      </c>
      <c r="B1043" s="99">
        <f t="shared" si="126"/>
        <v>0</v>
      </c>
      <c r="C1043" s="75">
        <f t="shared" si="130"/>
        <v>104.50616427295054</v>
      </c>
      <c r="D1043" s="100">
        <f t="shared" si="127"/>
        <v>445.77777777777789</v>
      </c>
      <c r="E1043">
        <f t="shared" si="123"/>
        <v>0</v>
      </c>
      <c r="G1043">
        <v>993</v>
      </c>
      <c r="H1043" s="15">
        <f t="shared" si="128"/>
        <v>3.3332641781299799E-2</v>
      </c>
      <c r="I1043">
        <f t="shared" si="129"/>
        <v>137.60547756177124</v>
      </c>
      <c r="J1043">
        <f t="shared" si="124"/>
        <v>483.90138767139399</v>
      </c>
      <c r="K1043" s="30">
        <f t="shared" si="125"/>
        <v>7805.5586136951651</v>
      </c>
    </row>
    <row r="1044" spans="1:11" x14ac:dyDescent="0.25">
      <c r="A1044" s="29">
        <v>994</v>
      </c>
      <c r="B1044" s="99">
        <f t="shared" si="126"/>
        <v>0</v>
      </c>
      <c r="C1044" s="75">
        <f t="shared" si="130"/>
        <v>104.50616427295054</v>
      </c>
      <c r="D1044" s="100">
        <f t="shared" si="127"/>
        <v>445.77777777777789</v>
      </c>
      <c r="E1044">
        <f t="shared" si="123"/>
        <v>0</v>
      </c>
      <c r="G1044">
        <v>994</v>
      </c>
      <c r="H1044" s="15">
        <f t="shared" si="128"/>
        <v>3.3332641781299799E-2</v>
      </c>
      <c r="I1044">
        <f t="shared" si="129"/>
        <v>137.63881020355254</v>
      </c>
      <c r="J1044">
        <f t="shared" si="124"/>
        <v>483.92425080492944</v>
      </c>
      <c r="K1044" s="30">
        <f t="shared" si="125"/>
        <v>7806.2958815478487</v>
      </c>
    </row>
    <row r="1045" spans="1:11" x14ac:dyDescent="0.25">
      <c r="A1045" s="29">
        <v>995</v>
      </c>
      <c r="B1045" s="99">
        <f t="shared" si="126"/>
        <v>0</v>
      </c>
      <c r="C1045" s="75">
        <f t="shared" si="130"/>
        <v>104.50616427295054</v>
      </c>
      <c r="D1045" s="100">
        <f t="shared" si="127"/>
        <v>445.77777777777789</v>
      </c>
      <c r="E1045">
        <f t="shared" si="123"/>
        <v>0</v>
      </c>
      <c r="G1045">
        <v>995</v>
      </c>
      <c r="H1045" s="15">
        <f t="shared" si="128"/>
        <v>3.3332641781299799E-2</v>
      </c>
      <c r="I1045">
        <f t="shared" si="129"/>
        <v>137.67214284533384</v>
      </c>
      <c r="J1045">
        <f t="shared" si="124"/>
        <v>483.94709419411362</v>
      </c>
      <c r="K1045" s="30">
        <f t="shared" si="125"/>
        <v>7807.0325474650499</v>
      </c>
    </row>
    <row r="1046" spans="1:11" x14ac:dyDescent="0.25">
      <c r="A1046" s="29">
        <v>996</v>
      </c>
      <c r="B1046" s="99">
        <f t="shared" si="126"/>
        <v>0</v>
      </c>
      <c r="C1046" s="75">
        <f t="shared" si="130"/>
        <v>104.50616427295054</v>
      </c>
      <c r="D1046" s="100">
        <f t="shared" si="127"/>
        <v>445.77777777777789</v>
      </c>
      <c r="E1046">
        <f t="shared" si="123"/>
        <v>0</v>
      </c>
      <c r="G1046">
        <v>996</v>
      </c>
      <c r="H1046" s="15">
        <f t="shared" si="128"/>
        <v>3.3332641781299799E-2</v>
      </c>
      <c r="I1046">
        <f t="shared" si="129"/>
        <v>137.70547548711514</v>
      </c>
      <c r="J1046">
        <f t="shared" si="124"/>
        <v>483.96991785529417</v>
      </c>
      <c r="K1046" s="30">
        <f t="shared" si="125"/>
        <v>7807.7686118835773</v>
      </c>
    </row>
    <row r="1047" spans="1:11" x14ac:dyDescent="0.25">
      <c r="A1047" s="29">
        <v>997</v>
      </c>
      <c r="B1047" s="99">
        <f t="shared" si="126"/>
        <v>0</v>
      </c>
      <c r="C1047" s="75">
        <f t="shared" si="130"/>
        <v>104.50616427295054</v>
      </c>
      <c r="D1047" s="100">
        <f t="shared" si="127"/>
        <v>445.77777777777789</v>
      </c>
      <c r="E1047">
        <f t="shared" si="123"/>
        <v>0</v>
      </c>
      <c r="G1047">
        <v>997</v>
      </c>
      <c r="H1047" s="15">
        <f t="shared" si="128"/>
        <v>3.3332641781299799E-2</v>
      </c>
      <c r="I1047">
        <f t="shared" si="129"/>
        <v>137.73880812889644</v>
      </c>
      <c r="J1047">
        <f t="shared" si="124"/>
        <v>483.99272180478647</v>
      </c>
      <c r="K1047" s="30">
        <f t="shared" si="125"/>
        <v>7808.5040752393725</v>
      </c>
    </row>
    <row r="1048" spans="1:11" x14ac:dyDescent="0.25">
      <c r="A1048" s="29">
        <v>998</v>
      </c>
      <c r="B1048" s="99">
        <f t="shared" si="126"/>
        <v>0</v>
      </c>
      <c r="C1048" s="75">
        <f t="shared" si="130"/>
        <v>104.50616427295054</v>
      </c>
      <c r="D1048" s="100">
        <f t="shared" si="127"/>
        <v>445.77777777777789</v>
      </c>
      <c r="E1048">
        <f t="shared" si="123"/>
        <v>0</v>
      </c>
      <c r="G1048">
        <v>998</v>
      </c>
      <c r="H1048" s="15">
        <f t="shared" si="128"/>
        <v>3.3332641781299799E-2</v>
      </c>
      <c r="I1048">
        <f t="shared" si="129"/>
        <v>137.77214077067774</v>
      </c>
      <c r="J1048">
        <f t="shared" si="124"/>
        <v>484.01550605887383</v>
      </c>
      <c r="K1048" s="30">
        <f t="shared" si="125"/>
        <v>7809.2389379675233</v>
      </c>
    </row>
    <row r="1049" spans="1:11" x14ac:dyDescent="0.25">
      <c r="A1049" s="29">
        <v>999</v>
      </c>
      <c r="B1049" s="99">
        <f t="shared" si="126"/>
        <v>0</v>
      </c>
      <c r="C1049" s="75">
        <f t="shared" si="130"/>
        <v>104.50616427295054</v>
      </c>
      <c r="D1049" s="100">
        <f t="shared" si="127"/>
        <v>445.77777777777789</v>
      </c>
      <c r="E1049">
        <f t="shared" si="123"/>
        <v>0</v>
      </c>
      <c r="G1049">
        <v>999</v>
      </c>
      <c r="H1049" s="15">
        <f t="shared" si="128"/>
        <v>3.3332641781299799E-2</v>
      </c>
      <c r="I1049">
        <f t="shared" si="129"/>
        <v>137.80547341245904</v>
      </c>
      <c r="J1049">
        <f t="shared" si="124"/>
        <v>484.03827063380754</v>
      </c>
      <c r="K1049" s="30">
        <f t="shared" si="125"/>
        <v>7809.9732005022643</v>
      </c>
    </row>
    <row r="1050" spans="1:11" x14ac:dyDescent="0.25">
      <c r="A1050" s="29">
        <v>1000</v>
      </c>
      <c r="B1050" s="99">
        <f t="shared" si="126"/>
        <v>0</v>
      </c>
      <c r="C1050" s="75">
        <f t="shared" si="130"/>
        <v>104.50616427295054</v>
      </c>
      <c r="D1050" s="100">
        <f t="shared" si="127"/>
        <v>445.77777777777789</v>
      </c>
      <c r="E1050">
        <f t="shared" si="123"/>
        <v>0</v>
      </c>
      <c r="G1050">
        <v>1000</v>
      </c>
      <c r="H1050" s="15">
        <f t="shared" si="128"/>
        <v>3.3332641781299799E-2</v>
      </c>
      <c r="I1050">
        <f t="shared" si="129"/>
        <v>137.83880605424034</v>
      </c>
      <c r="J1050">
        <f t="shared" si="124"/>
        <v>484.06101554580727</v>
      </c>
      <c r="K1050" s="30">
        <f t="shared" si="125"/>
        <v>7810.7068632769833</v>
      </c>
    </row>
    <row r="1051" spans="1:11" x14ac:dyDescent="0.25">
      <c r="A1051" s="29">
        <v>1001</v>
      </c>
      <c r="B1051" s="99">
        <f t="shared" si="126"/>
        <v>0</v>
      </c>
      <c r="C1051" s="75">
        <f t="shared" si="130"/>
        <v>104.50616427295054</v>
      </c>
      <c r="D1051" s="100">
        <f t="shared" si="127"/>
        <v>445.77777777777789</v>
      </c>
      <c r="E1051">
        <f t="shared" si="123"/>
        <v>0</v>
      </c>
      <c r="G1051">
        <v>1001</v>
      </c>
      <c r="H1051" s="15">
        <f t="shared" si="128"/>
        <v>3.3332641781299799E-2</v>
      </c>
      <c r="I1051">
        <f t="shared" si="129"/>
        <v>137.87213869602164</v>
      </c>
      <c r="J1051">
        <f t="shared" si="124"/>
        <v>484.08374081106058</v>
      </c>
      <c r="K1051" s="30">
        <f t="shared" si="125"/>
        <v>7811.4399267242052</v>
      </c>
    </row>
    <row r="1052" spans="1:11" x14ac:dyDescent="0.25">
      <c r="A1052" s="29">
        <v>1002</v>
      </c>
      <c r="B1052" s="99">
        <f t="shared" si="126"/>
        <v>0</v>
      </c>
      <c r="C1052" s="75">
        <f t="shared" si="130"/>
        <v>104.50616427295054</v>
      </c>
      <c r="D1052" s="100">
        <f t="shared" si="127"/>
        <v>445.77777777777789</v>
      </c>
      <c r="E1052">
        <f t="shared" si="123"/>
        <v>0</v>
      </c>
      <c r="G1052">
        <v>1002</v>
      </c>
      <c r="H1052" s="15">
        <f t="shared" si="128"/>
        <v>3.3332641781299799E-2</v>
      </c>
      <c r="I1052">
        <f t="shared" si="129"/>
        <v>137.90547133780294</v>
      </c>
      <c r="J1052">
        <f t="shared" si="124"/>
        <v>484.10644644572335</v>
      </c>
      <c r="K1052" s="30">
        <f t="shared" si="125"/>
        <v>7812.1723912756206</v>
      </c>
    </row>
    <row r="1053" spans="1:11" x14ac:dyDescent="0.25">
      <c r="A1053" s="29">
        <v>1003</v>
      </c>
      <c r="B1053" s="99">
        <f t="shared" si="126"/>
        <v>0</v>
      </c>
      <c r="C1053" s="75">
        <f t="shared" si="130"/>
        <v>104.50616427295054</v>
      </c>
      <c r="D1053" s="100">
        <f t="shared" si="127"/>
        <v>445.77777777777789</v>
      </c>
      <c r="E1053">
        <f t="shared" si="123"/>
        <v>0</v>
      </c>
      <c r="G1053">
        <v>1003</v>
      </c>
      <c r="H1053" s="15">
        <f t="shared" si="128"/>
        <v>3.3332641781299799E-2</v>
      </c>
      <c r="I1053">
        <f t="shared" si="129"/>
        <v>137.93880397958424</v>
      </c>
      <c r="J1053">
        <f t="shared" si="124"/>
        <v>484.12913246592007</v>
      </c>
      <c r="K1053" s="30">
        <f t="shared" si="125"/>
        <v>7812.9042573620691</v>
      </c>
    </row>
    <row r="1054" spans="1:11" x14ac:dyDescent="0.25">
      <c r="A1054" s="29">
        <v>1004</v>
      </c>
      <c r="B1054" s="99">
        <f t="shared" si="126"/>
        <v>0</v>
      </c>
      <c r="C1054" s="75">
        <f t="shared" si="130"/>
        <v>104.50616427295054</v>
      </c>
      <c r="D1054" s="100">
        <f t="shared" si="127"/>
        <v>445.77777777777789</v>
      </c>
      <c r="E1054">
        <f t="shared" si="123"/>
        <v>0</v>
      </c>
      <c r="G1054">
        <v>1004</v>
      </c>
      <c r="H1054" s="15">
        <f t="shared" si="128"/>
        <v>3.3332641781299799E-2</v>
      </c>
      <c r="I1054">
        <f t="shared" si="129"/>
        <v>137.97213662136554</v>
      </c>
      <c r="J1054">
        <f t="shared" si="124"/>
        <v>484.15179888774333</v>
      </c>
      <c r="K1054" s="30">
        <f t="shared" si="125"/>
        <v>7813.6355254135497</v>
      </c>
    </row>
    <row r="1055" spans="1:11" x14ac:dyDescent="0.25">
      <c r="A1055" s="29">
        <v>1005</v>
      </c>
      <c r="B1055" s="99">
        <f t="shared" si="126"/>
        <v>0</v>
      </c>
      <c r="C1055" s="75">
        <f t="shared" si="130"/>
        <v>104.50616427295054</v>
      </c>
      <c r="D1055" s="100">
        <f t="shared" si="127"/>
        <v>445.77777777777789</v>
      </c>
      <c r="E1055">
        <f t="shared" si="123"/>
        <v>0</v>
      </c>
      <c r="G1055">
        <v>1005</v>
      </c>
      <c r="H1055" s="15">
        <f t="shared" si="128"/>
        <v>3.3332641781299799E-2</v>
      </c>
      <c r="I1055">
        <f t="shared" si="129"/>
        <v>138.00546926314684</v>
      </c>
      <c r="J1055">
        <f t="shared" si="124"/>
        <v>484.17444572725452</v>
      </c>
      <c r="K1055" s="30">
        <f t="shared" si="125"/>
        <v>7814.3661958592174</v>
      </c>
    </row>
    <row r="1056" spans="1:11" x14ac:dyDescent="0.25">
      <c r="A1056" s="29">
        <v>1006</v>
      </c>
      <c r="B1056" s="99">
        <f t="shared" si="126"/>
        <v>0</v>
      </c>
      <c r="C1056" s="75">
        <f t="shared" si="130"/>
        <v>104.50616427295054</v>
      </c>
      <c r="D1056" s="100">
        <f t="shared" si="127"/>
        <v>445.77777777777789</v>
      </c>
      <c r="E1056">
        <f t="shared" si="123"/>
        <v>0</v>
      </c>
      <c r="G1056">
        <v>1006</v>
      </c>
      <c r="H1056" s="15">
        <f t="shared" si="128"/>
        <v>3.3332641781299799E-2</v>
      </c>
      <c r="I1056">
        <f t="shared" si="129"/>
        <v>138.03880190492814</v>
      </c>
      <c r="J1056">
        <f t="shared" si="124"/>
        <v>484.19707300048344</v>
      </c>
      <c r="K1056" s="30">
        <f t="shared" si="125"/>
        <v>7815.0962691273917</v>
      </c>
    </row>
    <row r="1057" spans="1:11" x14ac:dyDescent="0.25">
      <c r="A1057" s="29">
        <v>1007</v>
      </c>
      <c r="B1057" s="99">
        <f t="shared" si="126"/>
        <v>0</v>
      </c>
      <c r="C1057" s="75">
        <f t="shared" si="130"/>
        <v>104.50616427295054</v>
      </c>
      <c r="D1057" s="100">
        <f t="shared" si="127"/>
        <v>445.77777777777789</v>
      </c>
      <c r="E1057">
        <f t="shared" si="123"/>
        <v>0</v>
      </c>
      <c r="G1057">
        <v>1007</v>
      </c>
      <c r="H1057" s="15">
        <f t="shared" si="128"/>
        <v>3.3332641781299799E-2</v>
      </c>
      <c r="I1057">
        <f t="shared" si="129"/>
        <v>138.07213454670944</v>
      </c>
      <c r="J1057">
        <f t="shared" si="124"/>
        <v>484.21968072342861</v>
      </c>
      <c r="K1057" s="30">
        <f t="shared" si="125"/>
        <v>7815.8257456455513</v>
      </c>
    </row>
    <row r="1058" spans="1:11" x14ac:dyDescent="0.25">
      <c r="A1058" s="29">
        <v>1008</v>
      </c>
      <c r="B1058" s="99">
        <f t="shared" si="126"/>
        <v>0</v>
      </c>
      <c r="C1058" s="75">
        <f t="shared" si="130"/>
        <v>104.50616427295054</v>
      </c>
      <c r="D1058" s="100">
        <f t="shared" si="127"/>
        <v>445.77777777777789</v>
      </c>
      <c r="E1058">
        <f t="shared" si="123"/>
        <v>0</v>
      </c>
      <c r="G1058">
        <v>1008</v>
      </c>
      <c r="H1058" s="15">
        <f t="shared" si="128"/>
        <v>3.3332641781299799E-2</v>
      </c>
      <c r="I1058">
        <f t="shared" si="129"/>
        <v>138.10546718849073</v>
      </c>
      <c r="J1058">
        <f t="shared" si="124"/>
        <v>484.24226891205745</v>
      </c>
      <c r="K1058" s="30">
        <f t="shared" si="125"/>
        <v>7816.5546258403456</v>
      </c>
    </row>
    <row r="1059" spans="1:11" x14ac:dyDescent="0.25">
      <c r="A1059" s="29">
        <v>1009</v>
      </c>
      <c r="B1059" s="99">
        <f t="shared" si="126"/>
        <v>0</v>
      </c>
      <c r="C1059" s="75">
        <f t="shared" si="130"/>
        <v>104.50616427295054</v>
      </c>
      <c r="D1059" s="100">
        <f t="shared" si="127"/>
        <v>445.77777777777789</v>
      </c>
      <c r="E1059">
        <f t="shared" si="123"/>
        <v>0</v>
      </c>
      <c r="G1059">
        <v>1009</v>
      </c>
      <c r="H1059" s="15">
        <f t="shared" si="128"/>
        <v>3.3332641781299799E-2</v>
      </c>
      <c r="I1059">
        <f t="shared" si="129"/>
        <v>138.13879983027203</v>
      </c>
      <c r="J1059">
        <f t="shared" si="124"/>
        <v>484.26483758230609</v>
      </c>
      <c r="K1059" s="30">
        <f t="shared" si="125"/>
        <v>7817.2829101375892</v>
      </c>
    </row>
    <row r="1060" spans="1:11" x14ac:dyDescent="0.25">
      <c r="A1060" s="29">
        <v>1010</v>
      </c>
      <c r="B1060" s="99">
        <f t="shared" si="126"/>
        <v>0</v>
      </c>
      <c r="C1060" s="75">
        <f t="shared" si="130"/>
        <v>104.50616427295054</v>
      </c>
      <c r="D1060" s="100">
        <f t="shared" si="127"/>
        <v>445.77777777777789</v>
      </c>
      <c r="E1060">
        <f t="shared" si="123"/>
        <v>0</v>
      </c>
      <c r="G1060">
        <v>1010</v>
      </c>
      <c r="H1060" s="15">
        <f t="shared" si="128"/>
        <v>3.3332641781299799E-2</v>
      </c>
      <c r="I1060">
        <f t="shared" si="129"/>
        <v>138.17213247205333</v>
      </c>
      <c r="J1060">
        <f t="shared" si="124"/>
        <v>484.28738675007952</v>
      </c>
      <c r="K1060" s="30">
        <f t="shared" si="125"/>
        <v>7818.0105989622616</v>
      </c>
    </row>
    <row r="1061" spans="1:11" x14ac:dyDescent="0.25">
      <c r="A1061" s="29">
        <v>1011</v>
      </c>
      <c r="B1061" s="99">
        <f t="shared" si="126"/>
        <v>0</v>
      </c>
      <c r="C1061" s="75">
        <f t="shared" si="130"/>
        <v>104.50616427295054</v>
      </c>
      <c r="D1061" s="100">
        <f t="shared" si="127"/>
        <v>445.77777777777789</v>
      </c>
      <c r="E1061">
        <f t="shared" si="123"/>
        <v>0</v>
      </c>
      <c r="G1061">
        <v>1011</v>
      </c>
      <c r="H1061" s="15">
        <f t="shared" si="128"/>
        <v>3.3332641781299799E-2</v>
      </c>
      <c r="I1061">
        <f t="shared" si="129"/>
        <v>138.20546511383463</v>
      </c>
      <c r="J1061">
        <f t="shared" si="124"/>
        <v>484.30991643125191</v>
      </c>
      <c r="K1061" s="30">
        <f t="shared" si="125"/>
        <v>7818.7376927385276</v>
      </c>
    </row>
    <row r="1062" spans="1:11" x14ac:dyDescent="0.25">
      <c r="A1062" s="29">
        <v>1012</v>
      </c>
      <c r="B1062" s="99">
        <f t="shared" si="126"/>
        <v>0</v>
      </c>
      <c r="C1062" s="75">
        <f t="shared" si="130"/>
        <v>104.50616427295054</v>
      </c>
      <c r="D1062" s="100">
        <f t="shared" si="127"/>
        <v>445.77777777777789</v>
      </c>
      <c r="E1062">
        <f t="shared" si="123"/>
        <v>0</v>
      </c>
      <c r="G1062">
        <v>1012</v>
      </c>
      <c r="H1062" s="15">
        <f t="shared" si="128"/>
        <v>3.3332641781299799E-2</v>
      </c>
      <c r="I1062">
        <f t="shared" si="129"/>
        <v>138.23879775561593</v>
      </c>
      <c r="J1062">
        <f t="shared" si="124"/>
        <v>484.33242664166642</v>
      </c>
      <c r="K1062" s="30">
        <f t="shared" si="125"/>
        <v>7819.4641918897132</v>
      </c>
    </row>
    <row r="1063" spans="1:11" x14ac:dyDescent="0.25">
      <c r="A1063" s="29">
        <v>1013</v>
      </c>
      <c r="B1063" s="99">
        <f t="shared" si="126"/>
        <v>0</v>
      </c>
      <c r="C1063" s="75">
        <f t="shared" si="130"/>
        <v>104.50616427295054</v>
      </c>
      <c r="D1063" s="100">
        <f t="shared" si="127"/>
        <v>445.77777777777789</v>
      </c>
      <c r="E1063">
        <f t="shared" si="123"/>
        <v>0</v>
      </c>
      <c r="G1063">
        <v>1013</v>
      </c>
      <c r="H1063" s="15">
        <f t="shared" si="128"/>
        <v>3.3332641781299799E-2</v>
      </c>
      <c r="I1063">
        <f t="shared" si="129"/>
        <v>138.27213039739723</v>
      </c>
      <c r="J1063">
        <f t="shared" si="124"/>
        <v>484.35491739713535</v>
      </c>
      <c r="K1063" s="30">
        <f t="shared" si="125"/>
        <v>7820.1900968383261</v>
      </c>
    </row>
    <row r="1064" spans="1:11" x14ac:dyDescent="0.25">
      <c r="A1064" s="29">
        <v>1014</v>
      </c>
      <c r="B1064" s="99">
        <f t="shared" si="126"/>
        <v>0</v>
      </c>
      <c r="C1064" s="75">
        <f t="shared" si="130"/>
        <v>104.50616427295054</v>
      </c>
      <c r="D1064" s="100">
        <f t="shared" si="127"/>
        <v>445.77777777777789</v>
      </c>
      <c r="E1064">
        <f t="shared" si="123"/>
        <v>0</v>
      </c>
      <c r="G1064">
        <v>1014</v>
      </c>
      <c r="H1064" s="15">
        <f t="shared" si="128"/>
        <v>3.3332641781299799E-2</v>
      </c>
      <c r="I1064">
        <f t="shared" si="129"/>
        <v>138.30546303917853</v>
      </c>
      <c r="J1064">
        <f t="shared" si="124"/>
        <v>484.37738871344027</v>
      </c>
      <c r="K1064" s="30">
        <f t="shared" si="125"/>
        <v>7820.9154080060507</v>
      </c>
    </row>
    <row r="1065" spans="1:11" x14ac:dyDescent="0.25">
      <c r="A1065" s="29">
        <v>1015</v>
      </c>
      <c r="B1065" s="99">
        <f t="shared" si="126"/>
        <v>0</v>
      </c>
      <c r="C1065" s="75">
        <f t="shared" si="130"/>
        <v>104.50616427295054</v>
      </c>
      <c r="D1065" s="100">
        <f t="shared" si="127"/>
        <v>445.77777777777789</v>
      </c>
      <c r="E1065">
        <f t="shared" si="123"/>
        <v>0</v>
      </c>
      <c r="G1065">
        <v>1015</v>
      </c>
      <c r="H1065" s="15">
        <f t="shared" si="128"/>
        <v>3.3332641781299799E-2</v>
      </c>
      <c r="I1065">
        <f t="shared" si="129"/>
        <v>138.33879568095983</v>
      </c>
      <c r="J1065">
        <f t="shared" si="124"/>
        <v>484.39984060633208</v>
      </c>
      <c r="K1065" s="30">
        <f t="shared" si="125"/>
        <v>7821.6401258137548</v>
      </c>
    </row>
    <row r="1066" spans="1:11" x14ac:dyDescent="0.25">
      <c r="A1066" s="29">
        <v>1016</v>
      </c>
      <c r="B1066" s="99">
        <f t="shared" si="126"/>
        <v>0</v>
      </c>
      <c r="C1066" s="75">
        <f t="shared" si="130"/>
        <v>104.50616427295054</v>
      </c>
      <c r="D1066" s="100">
        <f t="shared" si="127"/>
        <v>445.77777777777789</v>
      </c>
      <c r="E1066">
        <f t="shared" si="123"/>
        <v>0</v>
      </c>
      <c r="G1066">
        <v>1016</v>
      </c>
      <c r="H1066" s="15">
        <f t="shared" si="128"/>
        <v>3.3332641781299799E-2</v>
      </c>
      <c r="I1066">
        <f t="shared" si="129"/>
        <v>138.37212832274113</v>
      </c>
      <c r="J1066">
        <f t="shared" si="124"/>
        <v>484.42227309153105</v>
      </c>
      <c r="K1066" s="30">
        <f t="shared" si="125"/>
        <v>7822.364250681484</v>
      </c>
    </row>
    <row r="1067" spans="1:11" x14ac:dyDescent="0.25">
      <c r="A1067" s="29">
        <v>1017</v>
      </c>
      <c r="B1067" s="99">
        <f t="shared" si="126"/>
        <v>0</v>
      </c>
      <c r="C1067" s="75">
        <f t="shared" si="130"/>
        <v>104.50616427295054</v>
      </c>
      <c r="D1067" s="100">
        <f t="shared" si="127"/>
        <v>445.77777777777789</v>
      </c>
      <c r="E1067">
        <f t="shared" si="123"/>
        <v>0</v>
      </c>
      <c r="G1067">
        <v>1017</v>
      </c>
      <c r="H1067" s="15">
        <f t="shared" si="128"/>
        <v>3.3332641781299799E-2</v>
      </c>
      <c r="I1067">
        <f t="shared" si="129"/>
        <v>138.40546096452243</v>
      </c>
      <c r="J1067">
        <f t="shared" si="124"/>
        <v>484.44468618472695</v>
      </c>
      <c r="K1067" s="30">
        <f t="shared" si="125"/>
        <v>7823.0877830284726</v>
      </c>
    </row>
    <row r="1068" spans="1:11" x14ac:dyDescent="0.25">
      <c r="A1068" s="29">
        <v>1018</v>
      </c>
      <c r="B1068" s="99">
        <f t="shared" si="126"/>
        <v>0</v>
      </c>
      <c r="C1068" s="75">
        <f t="shared" si="130"/>
        <v>104.50616427295054</v>
      </c>
      <c r="D1068" s="100">
        <f t="shared" si="127"/>
        <v>445.77777777777789</v>
      </c>
      <c r="E1068">
        <f t="shared" si="123"/>
        <v>0</v>
      </c>
      <c r="G1068">
        <v>1018</v>
      </c>
      <c r="H1068" s="15">
        <f t="shared" si="128"/>
        <v>3.3332641781299799E-2</v>
      </c>
      <c r="I1068">
        <f t="shared" si="129"/>
        <v>138.43879360630373</v>
      </c>
      <c r="J1068">
        <f t="shared" si="124"/>
        <v>484.46707990157898</v>
      </c>
      <c r="K1068" s="30">
        <f t="shared" si="125"/>
        <v>7823.8107232731372</v>
      </c>
    </row>
    <row r="1069" spans="1:11" x14ac:dyDescent="0.25">
      <c r="A1069" s="29">
        <v>1019</v>
      </c>
      <c r="B1069" s="99">
        <f t="shared" si="126"/>
        <v>0</v>
      </c>
      <c r="C1069" s="75">
        <f t="shared" si="130"/>
        <v>104.50616427295054</v>
      </c>
      <c r="D1069" s="100">
        <f t="shared" si="127"/>
        <v>445.77777777777789</v>
      </c>
      <c r="E1069">
        <f t="shared" si="123"/>
        <v>0</v>
      </c>
      <c r="G1069">
        <v>1019</v>
      </c>
      <c r="H1069" s="15">
        <f t="shared" si="128"/>
        <v>3.3332641781299799E-2</v>
      </c>
      <c r="I1069">
        <f t="shared" si="129"/>
        <v>138.47212624808503</v>
      </c>
      <c r="J1069">
        <f t="shared" si="124"/>
        <v>484.4894542577162</v>
      </c>
      <c r="K1069" s="30">
        <f t="shared" si="125"/>
        <v>7824.5330718330888</v>
      </c>
    </row>
    <row r="1070" spans="1:11" x14ac:dyDescent="0.25">
      <c r="A1070" s="29">
        <v>1020</v>
      </c>
      <c r="B1070" s="99">
        <f t="shared" si="126"/>
        <v>0</v>
      </c>
      <c r="C1070" s="75">
        <f t="shared" si="130"/>
        <v>104.50616427295054</v>
      </c>
      <c r="D1070" s="100">
        <f t="shared" si="127"/>
        <v>445.77777777777789</v>
      </c>
      <c r="E1070">
        <f t="shared" si="123"/>
        <v>0</v>
      </c>
      <c r="G1070">
        <v>1020</v>
      </c>
      <c r="H1070" s="15">
        <f t="shared" si="128"/>
        <v>3.3332641781299799E-2</v>
      </c>
      <c r="I1070">
        <f t="shared" si="129"/>
        <v>138.50545888986633</v>
      </c>
      <c r="J1070">
        <f t="shared" si="124"/>
        <v>484.51180926873718</v>
      </c>
      <c r="K1070" s="30">
        <f t="shared" si="125"/>
        <v>7825.2548291251251</v>
      </c>
    </row>
    <row r="1071" spans="1:11" x14ac:dyDescent="0.25">
      <c r="A1071" s="29">
        <v>1021</v>
      </c>
      <c r="B1071" s="99">
        <f t="shared" si="126"/>
        <v>0</v>
      </c>
      <c r="C1071" s="75">
        <f t="shared" si="130"/>
        <v>104.50616427295054</v>
      </c>
      <c r="D1071" s="100">
        <f t="shared" si="127"/>
        <v>445.77777777777789</v>
      </c>
      <c r="E1071">
        <f t="shared" si="123"/>
        <v>0</v>
      </c>
      <c r="G1071">
        <v>1021</v>
      </c>
      <c r="H1071" s="15">
        <f t="shared" si="128"/>
        <v>3.3332641781299799E-2</v>
      </c>
      <c r="I1071">
        <f t="shared" si="129"/>
        <v>138.53879153164763</v>
      </c>
      <c r="J1071">
        <f t="shared" si="124"/>
        <v>484.53414495021036</v>
      </c>
      <c r="K1071" s="30">
        <f t="shared" si="125"/>
        <v>7825.975995565238</v>
      </c>
    </row>
    <row r="1072" spans="1:11" x14ac:dyDescent="0.25">
      <c r="A1072" s="29">
        <v>1022</v>
      </c>
      <c r="B1072" s="99">
        <f t="shared" si="126"/>
        <v>0</v>
      </c>
      <c r="C1072" s="75">
        <f t="shared" si="130"/>
        <v>104.50616427295054</v>
      </c>
      <c r="D1072" s="100">
        <f t="shared" si="127"/>
        <v>445.77777777777789</v>
      </c>
      <c r="E1072">
        <f t="shared" si="123"/>
        <v>0</v>
      </c>
      <c r="G1072">
        <v>1022</v>
      </c>
      <c r="H1072" s="15">
        <f t="shared" si="128"/>
        <v>3.3332641781299799E-2</v>
      </c>
      <c r="I1072">
        <f t="shared" si="129"/>
        <v>138.57212417342893</v>
      </c>
      <c r="J1072">
        <f t="shared" si="124"/>
        <v>484.55646131767401</v>
      </c>
      <c r="K1072" s="30">
        <f t="shared" si="125"/>
        <v>7826.6965715686129</v>
      </c>
    </row>
    <row r="1073" spans="1:11" x14ac:dyDescent="0.25">
      <c r="A1073" s="29">
        <v>1023</v>
      </c>
      <c r="B1073" s="99">
        <f t="shared" si="126"/>
        <v>0</v>
      </c>
      <c r="C1073" s="75">
        <f t="shared" si="130"/>
        <v>104.50616427295054</v>
      </c>
      <c r="D1073" s="100">
        <f t="shared" si="127"/>
        <v>445.77777777777789</v>
      </c>
      <c r="E1073">
        <f t="shared" si="123"/>
        <v>0</v>
      </c>
      <c r="G1073">
        <v>1023</v>
      </c>
      <c r="H1073" s="15">
        <f t="shared" si="128"/>
        <v>3.3332641781299799E-2</v>
      </c>
      <c r="I1073">
        <f t="shared" si="129"/>
        <v>138.60545681521023</v>
      </c>
      <c r="J1073">
        <f t="shared" si="124"/>
        <v>484.57875838663631</v>
      </c>
      <c r="K1073" s="30">
        <f t="shared" si="125"/>
        <v>7827.4165575496345</v>
      </c>
    </row>
    <row r="1074" spans="1:11" x14ac:dyDescent="0.25">
      <c r="A1074" s="29">
        <v>1024</v>
      </c>
      <c r="B1074" s="99">
        <f t="shared" si="126"/>
        <v>0</v>
      </c>
      <c r="C1074" s="75">
        <f t="shared" si="130"/>
        <v>104.50616427295054</v>
      </c>
      <c r="D1074" s="100">
        <f t="shared" si="127"/>
        <v>445.77777777777789</v>
      </c>
      <c r="E1074">
        <f t="shared" si="123"/>
        <v>0</v>
      </c>
      <c r="G1074">
        <v>1024</v>
      </c>
      <c r="H1074" s="15">
        <f t="shared" si="128"/>
        <v>3.3332641781299799E-2</v>
      </c>
      <c r="I1074">
        <f t="shared" si="129"/>
        <v>138.63878945699153</v>
      </c>
      <c r="J1074">
        <f t="shared" si="124"/>
        <v>484.6010361725755</v>
      </c>
      <c r="K1074" s="30">
        <f t="shared" si="125"/>
        <v>7828.1359539218856</v>
      </c>
    </row>
    <row r="1075" spans="1:11" x14ac:dyDescent="0.25">
      <c r="A1075" s="29">
        <v>1025</v>
      </c>
      <c r="B1075" s="99">
        <f t="shared" si="126"/>
        <v>0</v>
      </c>
      <c r="C1075" s="75">
        <f t="shared" si="130"/>
        <v>104.50616427295054</v>
      </c>
      <c r="D1075" s="100">
        <f t="shared" si="127"/>
        <v>445.77777777777789</v>
      </c>
      <c r="E1075">
        <f t="shared" ref="E1075:E1138" si="131">((D1075^2)+(D1075*D1076)+(D1076^2))*B1076/3</f>
        <v>0</v>
      </c>
      <c r="G1075">
        <v>1025</v>
      </c>
      <c r="H1075" s="15">
        <f t="shared" si="128"/>
        <v>3.3332641781299799E-2</v>
      </c>
      <c r="I1075">
        <f t="shared" si="129"/>
        <v>138.67212209877283</v>
      </c>
      <c r="J1075">
        <f t="shared" ref="J1075:J1138" si="132">IF($G$28&lt;$C$14,0,((($C$11^2)-((I1075-$C$13)^2))^0.5)+$C$16)</f>
        <v>484.62329469093993</v>
      </c>
      <c r="K1075" s="30">
        <f t="shared" ref="K1075:K1138" si="133">((J1075^2)+(J1075*J1076)+(J1076^2))*H1076/3</f>
        <v>7828.8547610981468</v>
      </c>
    </row>
    <row r="1076" spans="1:11" x14ac:dyDescent="0.25">
      <c r="A1076" s="29">
        <v>1026</v>
      </c>
      <c r="B1076" s="99">
        <f t="shared" ref="B1076:B1139" si="134">C1076-C1075</f>
        <v>0</v>
      </c>
      <c r="C1076" s="75">
        <f t="shared" si="130"/>
        <v>104.50616427295054</v>
      </c>
      <c r="D1076" s="100">
        <f t="shared" ref="D1076:D1139" si="135">IF($G$28&lt;$C$14,0,((($C$11^2)-((C1076-$C$13)^2))^0.5)+$C$16)</f>
        <v>445.77777777777789</v>
      </c>
      <c r="E1076">
        <f t="shared" si="131"/>
        <v>0</v>
      </c>
      <c r="G1076">
        <v>1026</v>
      </c>
      <c r="H1076" s="15">
        <f t="shared" ref="H1076:H1139" si="136">I1076-I1075</f>
        <v>3.3332641781299799E-2</v>
      </c>
      <c r="I1076">
        <f t="shared" ref="I1076:I1139" si="137">($G$27-$C$14)/2000+I1075</f>
        <v>138.70545474055413</v>
      </c>
      <c r="J1076">
        <f t="shared" si="132"/>
        <v>484.64553395714807</v>
      </c>
      <c r="K1076" s="30">
        <f t="shared" si="133"/>
        <v>7829.5729794904073</v>
      </c>
    </row>
    <row r="1077" spans="1:11" x14ac:dyDescent="0.25">
      <c r="A1077" s="29">
        <v>1027</v>
      </c>
      <c r="B1077" s="99">
        <f t="shared" si="134"/>
        <v>0</v>
      </c>
      <c r="C1077" s="75">
        <f t="shared" si="130"/>
        <v>104.50616427295054</v>
      </c>
      <c r="D1077" s="100">
        <f t="shared" si="135"/>
        <v>445.77777777777789</v>
      </c>
      <c r="E1077">
        <f t="shared" si="131"/>
        <v>0</v>
      </c>
      <c r="G1077">
        <v>1027</v>
      </c>
      <c r="H1077" s="15">
        <f t="shared" si="136"/>
        <v>3.3332641781299799E-2</v>
      </c>
      <c r="I1077">
        <f t="shared" si="137"/>
        <v>138.73878738233543</v>
      </c>
      <c r="J1077">
        <f t="shared" si="132"/>
        <v>484.66775398658865</v>
      </c>
      <c r="K1077" s="30">
        <f t="shared" si="133"/>
        <v>7830.290609509856</v>
      </c>
    </row>
    <row r="1078" spans="1:11" x14ac:dyDescent="0.25">
      <c r="A1078" s="29">
        <v>1028</v>
      </c>
      <c r="B1078" s="99">
        <f t="shared" si="134"/>
        <v>0</v>
      </c>
      <c r="C1078" s="75">
        <f t="shared" si="130"/>
        <v>104.50616427295054</v>
      </c>
      <c r="D1078" s="100">
        <f t="shared" si="135"/>
        <v>445.77777777777789</v>
      </c>
      <c r="E1078">
        <f t="shared" si="131"/>
        <v>0</v>
      </c>
      <c r="G1078">
        <v>1028</v>
      </c>
      <c r="H1078" s="15">
        <f t="shared" si="136"/>
        <v>3.3332641781299799E-2</v>
      </c>
      <c r="I1078">
        <f t="shared" si="137"/>
        <v>138.77212002411673</v>
      </c>
      <c r="J1078">
        <f t="shared" si="132"/>
        <v>484.68995479462063</v>
      </c>
      <c r="K1078" s="30">
        <f t="shared" si="133"/>
        <v>7831.0076515668943</v>
      </c>
    </row>
    <row r="1079" spans="1:11" x14ac:dyDescent="0.25">
      <c r="A1079" s="29">
        <v>1029</v>
      </c>
      <c r="B1079" s="99">
        <f t="shared" si="134"/>
        <v>0</v>
      </c>
      <c r="C1079" s="75">
        <f t="shared" si="130"/>
        <v>104.50616427295054</v>
      </c>
      <c r="D1079" s="100">
        <f t="shared" si="135"/>
        <v>445.77777777777789</v>
      </c>
      <c r="E1079">
        <f t="shared" si="131"/>
        <v>0</v>
      </c>
      <c r="G1079">
        <v>1029</v>
      </c>
      <c r="H1079" s="15">
        <f t="shared" si="136"/>
        <v>3.3332641781299799E-2</v>
      </c>
      <c r="I1079">
        <f t="shared" si="137"/>
        <v>138.80545266589803</v>
      </c>
      <c r="J1079">
        <f t="shared" si="132"/>
        <v>484.71213639657344</v>
      </c>
      <c r="K1079" s="30">
        <f t="shared" si="133"/>
        <v>7831.7241060711267</v>
      </c>
    </row>
    <row r="1080" spans="1:11" x14ac:dyDescent="0.25">
      <c r="A1080" s="29">
        <v>1030</v>
      </c>
      <c r="B1080" s="99">
        <f t="shared" si="134"/>
        <v>0</v>
      </c>
      <c r="C1080" s="75">
        <f t="shared" si="130"/>
        <v>104.50616427295054</v>
      </c>
      <c r="D1080" s="100">
        <f t="shared" si="135"/>
        <v>445.77777777777789</v>
      </c>
      <c r="E1080">
        <f t="shared" si="131"/>
        <v>0</v>
      </c>
      <c r="G1080">
        <v>1030</v>
      </c>
      <c r="H1080" s="15">
        <f t="shared" si="136"/>
        <v>3.3332641781299799E-2</v>
      </c>
      <c r="I1080">
        <f t="shared" si="137"/>
        <v>138.83878530767933</v>
      </c>
      <c r="J1080">
        <f t="shared" si="132"/>
        <v>484.73429880774705</v>
      </c>
      <c r="K1080" s="30">
        <f t="shared" si="133"/>
        <v>7832.4399734313729</v>
      </c>
    </row>
    <row r="1081" spans="1:11" x14ac:dyDescent="0.25">
      <c r="A1081" s="29">
        <v>1031</v>
      </c>
      <c r="B1081" s="99">
        <f t="shared" si="134"/>
        <v>0</v>
      </c>
      <c r="C1081" s="75">
        <f t="shared" si="130"/>
        <v>104.50616427295054</v>
      </c>
      <c r="D1081" s="100">
        <f t="shared" si="135"/>
        <v>445.77777777777789</v>
      </c>
      <c r="E1081">
        <f t="shared" si="131"/>
        <v>0</v>
      </c>
      <c r="G1081">
        <v>1031</v>
      </c>
      <c r="H1081" s="15">
        <f t="shared" si="136"/>
        <v>3.3332641781299799E-2</v>
      </c>
      <c r="I1081">
        <f t="shared" si="137"/>
        <v>138.87211794946063</v>
      </c>
      <c r="J1081">
        <f t="shared" si="132"/>
        <v>484.75644204341177</v>
      </c>
      <c r="K1081" s="30">
        <f t="shared" si="133"/>
        <v>7833.155254055665</v>
      </c>
    </row>
    <row r="1082" spans="1:11" x14ac:dyDescent="0.25">
      <c r="A1082" s="29">
        <v>1032</v>
      </c>
      <c r="B1082" s="99">
        <f t="shared" si="134"/>
        <v>0</v>
      </c>
      <c r="C1082" s="75">
        <f t="shared" si="130"/>
        <v>104.50616427295054</v>
      </c>
      <c r="D1082" s="100">
        <f t="shared" si="135"/>
        <v>445.77777777777789</v>
      </c>
      <c r="E1082">
        <f t="shared" si="131"/>
        <v>0</v>
      </c>
      <c r="G1082">
        <v>1032</v>
      </c>
      <c r="H1082" s="15">
        <f t="shared" si="136"/>
        <v>3.3332641781299799E-2</v>
      </c>
      <c r="I1082">
        <f t="shared" si="137"/>
        <v>138.90545059124193</v>
      </c>
      <c r="J1082">
        <f t="shared" si="132"/>
        <v>484.77856611880873</v>
      </c>
      <c r="K1082" s="30">
        <f t="shared" si="133"/>
        <v>7833.8699483512464</v>
      </c>
    </row>
    <row r="1083" spans="1:11" x14ac:dyDescent="0.25">
      <c r="A1083" s="29">
        <v>1033</v>
      </c>
      <c r="B1083" s="99">
        <f t="shared" si="134"/>
        <v>0</v>
      </c>
      <c r="C1083" s="75">
        <f t="shared" si="130"/>
        <v>104.50616427295054</v>
      </c>
      <c r="D1083" s="100">
        <f t="shared" si="135"/>
        <v>445.77777777777789</v>
      </c>
      <c r="E1083">
        <f t="shared" si="131"/>
        <v>0</v>
      </c>
      <c r="G1083">
        <v>1033</v>
      </c>
      <c r="H1083" s="15">
        <f t="shared" si="136"/>
        <v>3.3332641781299799E-2</v>
      </c>
      <c r="I1083">
        <f t="shared" si="137"/>
        <v>138.93878323302323</v>
      </c>
      <c r="J1083">
        <f t="shared" si="132"/>
        <v>484.80067104914957</v>
      </c>
      <c r="K1083" s="30">
        <f t="shared" si="133"/>
        <v>7834.5840567245832</v>
      </c>
    </row>
    <row r="1084" spans="1:11" x14ac:dyDescent="0.25">
      <c r="A1084" s="29">
        <v>1034</v>
      </c>
      <c r="B1084" s="99">
        <f t="shared" si="134"/>
        <v>0</v>
      </c>
      <c r="C1084" s="75">
        <f t="shared" si="130"/>
        <v>104.50616427295054</v>
      </c>
      <c r="D1084" s="100">
        <f t="shared" si="135"/>
        <v>445.77777777777789</v>
      </c>
      <c r="E1084">
        <f t="shared" si="131"/>
        <v>0</v>
      </c>
      <c r="G1084">
        <v>1034</v>
      </c>
      <c r="H1084" s="15">
        <f t="shared" si="136"/>
        <v>3.3332641781299799E-2</v>
      </c>
      <c r="I1084">
        <f t="shared" si="137"/>
        <v>138.97211587480453</v>
      </c>
      <c r="J1084">
        <f t="shared" si="132"/>
        <v>484.82275684961678</v>
      </c>
      <c r="K1084" s="30">
        <f t="shared" si="133"/>
        <v>7835.2975795813572</v>
      </c>
    </row>
    <row r="1085" spans="1:11" x14ac:dyDescent="0.25">
      <c r="A1085" s="29">
        <v>1035</v>
      </c>
      <c r="B1085" s="99">
        <f t="shared" si="134"/>
        <v>0</v>
      </c>
      <c r="C1085" s="75">
        <f t="shared" si="130"/>
        <v>104.50616427295054</v>
      </c>
      <c r="D1085" s="100">
        <f t="shared" si="135"/>
        <v>445.77777777777789</v>
      </c>
      <c r="E1085">
        <f t="shared" si="131"/>
        <v>0</v>
      </c>
      <c r="G1085">
        <v>1035</v>
      </c>
      <c r="H1085" s="15">
        <f t="shared" si="136"/>
        <v>3.3332641781299799E-2</v>
      </c>
      <c r="I1085">
        <f t="shared" si="137"/>
        <v>139.00544851658583</v>
      </c>
      <c r="J1085">
        <f t="shared" si="132"/>
        <v>484.84482353536367</v>
      </c>
      <c r="K1085" s="30">
        <f t="shared" si="133"/>
        <v>7836.0105173264683</v>
      </c>
    </row>
    <row r="1086" spans="1:11" x14ac:dyDescent="0.25">
      <c r="A1086" s="29">
        <v>1036</v>
      </c>
      <c r="B1086" s="99">
        <f t="shared" si="134"/>
        <v>0</v>
      </c>
      <c r="C1086" s="75">
        <f t="shared" si="130"/>
        <v>104.50616427295054</v>
      </c>
      <c r="D1086" s="100">
        <f t="shared" si="135"/>
        <v>445.77777777777789</v>
      </c>
      <c r="E1086">
        <f t="shared" si="131"/>
        <v>0</v>
      </c>
      <c r="G1086">
        <v>1036</v>
      </c>
      <c r="H1086" s="15">
        <f t="shared" si="136"/>
        <v>3.3332641781299799E-2</v>
      </c>
      <c r="I1086">
        <f t="shared" si="137"/>
        <v>139.03878115836713</v>
      </c>
      <c r="J1086">
        <f t="shared" si="132"/>
        <v>484.86687112151446</v>
      </c>
      <c r="K1086" s="30">
        <f t="shared" si="133"/>
        <v>7836.7228703640458</v>
      </c>
    </row>
    <row r="1087" spans="1:11" x14ac:dyDescent="0.25">
      <c r="A1087" s="29">
        <v>1037</v>
      </c>
      <c r="B1087" s="99">
        <f t="shared" si="134"/>
        <v>0</v>
      </c>
      <c r="C1087" s="75">
        <f t="shared" si="130"/>
        <v>104.50616427295054</v>
      </c>
      <c r="D1087" s="100">
        <f t="shared" si="135"/>
        <v>445.77777777777789</v>
      </c>
      <c r="E1087">
        <f t="shared" si="131"/>
        <v>0</v>
      </c>
      <c r="G1087">
        <v>1037</v>
      </c>
      <c r="H1087" s="15">
        <f t="shared" si="136"/>
        <v>3.3332641781299799E-2</v>
      </c>
      <c r="I1087">
        <f t="shared" si="137"/>
        <v>139.07211380014843</v>
      </c>
      <c r="J1087">
        <f t="shared" si="132"/>
        <v>484.88889962316432</v>
      </c>
      <c r="K1087" s="30">
        <f t="shared" si="133"/>
        <v>7837.4346390974388</v>
      </c>
    </row>
    <row r="1088" spans="1:11" x14ac:dyDescent="0.25">
      <c r="A1088" s="29">
        <v>1038</v>
      </c>
      <c r="B1088" s="99">
        <f t="shared" si="134"/>
        <v>0</v>
      </c>
      <c r="C1088" s="75">
        <f t="shared" si="130"/>
        <v>104.50616427295054</v>
      </c>
      <c r="D1088" s="100">
        <f t="shared" si="135"/>
        <v>445.77777777777789</v>
      </c>
      <c r="E1088">
        <f t="shared" si="131"/>
        <v>0</v>
      </c>
      <c r="G1088">
        <v>1038</v>
      </c>
      <c r="H1088" s="15">
        <f t="shared" si="136"/>
        <v>3.3332641781299799E-2</v>
      </c>
      <c r="I1088">
        <f t="shared" si="137"/>
        <v>139.10544644192973</v>
      </c>
      <c r="J1088">
        <f t="shared" si="132"/>
        <v>484.91090905537953</v>
      </c>
      <c r="K1088" s="30">
        <f t="shared" si="133"/>
        <v>7838.1458239292233</v>
      </c>
    </row>
    <row r="1089" spans="1:11" x14ac:dyDescent="0.25">
      <c r="A1089" s="29">
        <v>1039</v>
      </c>
      <c r="B1089" s="99">
        <f t="shared" si="134"/>
        <v>0</v>
      </c>
      <c r="C1089" s="75">
        <f t="shared" si="130"/>
        <v>104.50616427295054</v>
      </c>
      <c r="D1089" s="100">
        <f t="shared" si="135"/>
        <v>445.77777777777789</v>
      </c>
      <c r="E1089">
        <f t="shared" si="131"/>
        <v>0</v>
      </c>
      <c r="G1089">
        <v>1039</v>
      </c>
      <c r="H1089" s="15">
        <f t="shared" si="136"/>
        <v>3.3332641781299799E-2</v>
      </c>
      <c r="I1089">
        <f t="shared" si="137"/>
        <v>139.13877908371103</v>
      </c>
      <c r="J1089">
        <f t="shared" si="132"/>
        <v>484.93289943319746</v>
      </c>
      <c r="K1089" s="30">
        <f t="shared" si="133"/>
        <v>7838.8564252612096</v>
      </c>
    </row>
    <row r="1090" spans="1:11" x14ac:dyDescent="0.25">
      <c r="A1090" s="29">
        <v>1040</v>
      </c>
      <c r="B1090" s="99">
        <f t="shared" si="134"/>
        <v>0</v>
      </c>
      <c r="C1090" s="75">
        <f t="shared" si="130"/>
        <v>104.50616427295054</v>
      </c>
      <c r="D1090" s="100">
        <f t="shared" si="135"/>
        <v>445.77777777777789</v>
      </c>
      <c r="E1090">
        <f t="shared" si="131"/>
        <v>0</v>
      </c>
      <c r="G1090">
        <v>1040</v>
      </c>
      <c r="H1090" s="15">
        <f t="shared" si="136"/>
        <v>3.3332641781299799E-2</v>
      </c>
      <c r="I1090">
        <f t="shared" si="137"/>
        <v>139.17211172549233</v>
      </c>
      <c r="J1090">
        <f t="shared" si="132"/>
        <v>484.95487077162664</v>
      </c>
      <c r="K1090" s="30">
        <f t="shared" si="133"/>
        <v>7839.566443494431</v>
      </c>
    </row>
    <row r="1091" spans="1:11" x14ac:dyDescent="0.25">
      <c r="A1091" s="29">
        <v>1041</v>
      </c>
      <c r="B1091" s="99">
        <f t="shared" si="134"/>
        <v>0</v>
      </c>
      <c r="C1091" s="75">
        <f t="shared" si="130"/>
        <v>104.50616427295054</v>
      </c>
      <c r="D1091" s="100">
        <f t="shared" si="135"/>
        <v>445.77777777777789</v>
      </c>
      <c r="E1091">
        <f t="shared" si="131"/>
        <v>0</v>
      </c>
      <c r="G1091">
        <v>1041</v>
      </c>
      <c r="H1091" s="15">
        <f t="shared" si="136"/>
        <v>3.3332641781299799E-2</v>
      </c>
      <c r="I1091">
        <f t="shared" si="137"/>
        <v>139.20544436727363</v>
      </c>
      <c r="J1091">
        <f t="shared" si="132"/>
        <v>484.97682308564686</v>
      </c>
      <c r="K1091" s="30">
        <f t="shared" si="133"/>
        <v>7840.2758790291555</v>
      </c>
    </row>
    <row r="1092" spans="1:11" x14ac:dyDescent="0.25">
      <c r="A1092" s="29">
        <v>1042</v>
      </c>
      <c r="B1092" s="99">
        <f t="shared" si="134"/>
        <v>0</v>
      </c>
      <c r="C1092" s="75">
        <f t="shared" si="130"/>
        <v>104.50616427295054</v>
      </c>
      <c r="D1092" s="100">
        <f t="shared" si="135"/>
        <v>445.77777777777789</v>
      </c>
      <c r="E1092">
        <f t="shared" si="131"/>
        <v>0</v>
      </c>
      <c r="G1092">
        <v>1042</v>
      </c>
      <c r="H1092" s="15">
        <f t="shared" si="136"/>
        <v>3.3332641781299799E-2</v>
      </c>
      <c r="I1092">
        <f t="shared" si="137"/>
        <v>139.23877700905493</v>
      </c>
      <c r="J1092">
        <f t="shared" si="132"/>
        <v>484.99875639020939</v>
      </c>
      <c r="K1092" s="30">
        <f t="shared" si="133"/>
        <v>7840.9847322648902</v>
      </c>
    </row>
    <row r="1093" spans="1:11" x14ac:dyDescent="0.25">
      <c r="A1093" s="29">
        <v>1043</v>
      </c>
      <c r="B1093" s="99">
        <f t="shared" si="134"/>
        <v>0</v>
      </c>
      <c r="C1093" s="75">
        <f t="shared" si="130"/>
        <v>104.50616427295054</v>
      </c>
      <c r="D1093" s="100">
        <f t="shared" si="135"/>
        <v>445.77777777777789</v>
      </c>
      <c r="E1093">
        <f t="shared" si="131"/>
        <v>0</v>
      </c>
      <c r="G1093">
        <v>1043</v>
      </c>
      <c r="H1093" s="15">
        <f t="shared" si="136"/>
        <v>3.3332641781299799E-2</v>
      </c>
      <c r="I1093">
        <f t="shared" si="137"/>
        <v>139.27210965083623</v>
      </c>
      <c r="J1093">
        <f t="shared" si="132"/>
        <v>485.02067070023679</v>
      </c>
      <c r="K1093" s="30">
        <f t="shared" si="133"/>
        <v>7841.6930036003714</v>
      </c>
    </row>
    <row r="1094" spans="1:11" x14ac:dyDescent="0.25">
      <c r="A1094" s="29">
        <v>1044</v>
      </c>
      <c r="B1094" s="99">
        <f t="shared" si="134"/>
        <v>0</v>
      </c>
      <c r="C1094" s="75">
        <f t="shared" si="130"/>
        <v>104.50616427295054</v>
      </c>
      <c r="D1094" s="100">
        <f t="shared" si="135"/>
        <v>445.77777777777789</v>
      </c>
      <c r="E1094">
        <f t="shared" si="131"/>
        <v>0</v>
      </c>
      <c r="G1094">
        <v>1044</v>
      </c>
      <c r="H1094" s="15">
        <f t="shared" si="136"/>
        <v>3.3332641781299799E-2</v>
      </c>
      <c r="I1094">
        <f t="shared" si="137"/>
        <v>139.30544229261753</v>
      </c>
      <c r="J1094">
        <f t="shared" si="132"/>
        <v>485.04256603062305</v>
      </c>
      <c r="K1094" s="30">
        <f t="shared" si="133"/>
        <v>7842.4006934335766</v>
      </c>
    </row>
    <row r="1095" spans="1:11" x14ac:dyDescent="0.25">
      <c r="A1095" s="29">
        <v>1045</v>
      </c>
      <c r="B1095" s="99">
        <f t="shared" si="134"/>
        <v>0</v>
      </c>
      <c r="C1095" s="75">
        <f t="shared" si="130"/>
        <v>104.50616427295054</v>
      </c>
      <c r="D1095" s="100">
        <f t="shared" si="135"/>
        <v>445.77777777777789</v>
      </c>
      <c r="E1095">
        <f t="shared" si="131"/>
        <v>0</v>
      </c>
      <c r="G1095">
        <v>1045</v>
      </c>
      <c r="H1095" s="15">
        <f t="shared" si="136"/>
        <v>3.3332641781299799E-2</v>
      </c>
      <c r="I1095">
        <f t="shared" si="137"/>
        <v>139.33877493439883</v>
      </c>
      <c r="J1095">
        <f t="shared" si="132"/>
        <v>485.0644423962338</v>
      </c>
      <c r="K1095" s="30">
        <f t="shared" si="133"/>
        <v>7843.1078021617241</v>
      </c>
    </row>
    <row r="1096" spans="1:11" x14ac:dyDescent="0.25">
      <c r="A1096" s="29">
        <v>1046</v>
      </c>
      <c r="B1096" s="99">
        <f t="shared" si="134"/>
        <v>0</v>
      </c>
      <c r="C1096" s="75">
        <f t="shared" si="130"/>
        <v>104.50616427295054</v>
      </c>
      <c r="D1096" s="100">
        <f t="shared" si="135"/>
        <v>445.77777777777789</v>
      </c>
      <c r="E1096">
        <f t="shared" si="131"/>
        <v>0</v>
      </c>
      <c r="G1096">
        <v>1046</v>
      </c>
      <c r="H1096" s="15">
        <f t="shared" si="136"/>
        <v>3.3332641781299799E-2</v>
      </c>
      <c r="I1096">
        <f t="shared" si="137"/>
        <v>139.37210757618013</v>
      </c>
      <c r="J1096">
        <f t="shared" si="132"/>
        <v>485.08629981190631</v>
      </c>
      <c r="K1096" s="30">
        <f t="shared" si="133"/>
        <v>7843.8143301812752</v>
      </c>
    </row>
    <row r="1097" spans="1:11" x14ac:dyDescent="0.25">
      <c r="A1097" s="29">
        <v>1047</v>
      </c>
      <c r="B1097" s="99">
        <f t="shared" si="134"/>
        <v>0</v>
      </c>
      <c r="C1097" s="75">
        <f t="shared" si="130"/>
        <v>104.50616427295054</v>
      </c>
      <c r="D1097" s="100">
        <f t="shared" si="135"/>
        <v>445.77777777777789</v>
      </c>
      <c r="E1097">
        <f t="shared" si="131"/>
        <v>0</v>
      </c>
      <c r="G1097">
        <v>1047</v>
      </c>
      <c r="H1097" s="15">
        <f t="shared" si="136"/>
        <v>3.3332641781299799E-2</v>
      </c>
      <c r="I1097">
        <f t="shared" si="137"/>
        <v>139.40544021796143</v>
      </c>
      <c r="J1097">
        <f t="shared" si="132"/>
        <v>485.10813829244955</v>
      </c>
      <c r="K1097" s="30">
        <f t="shared" si="133"/>
        <v>7844.5202778879357</v>
      </c>
    </row>
    <row r="1098" spans="1:11" x14ac:dyDescent="0.25">
      <c r="A1098" s="29">
        <v>1048</v>
      </c>
      <c r="B1098" s="99">
        <f t="shared" si="134"/>
        <v>0</v>
      </c>
      <c r="C1098" s="75">
        <f t="shared" si="130"/>
        <v>104.50616427295054</v>
      </c>
      <c r="D1098" s="100">
        <f t="shared" si="135"/>
        <v>445.77777777777789</v>
      </c>
      <c r="E1098">
        <f t="shared" si="131"/>
        <v>0</v>
      </c>
      <c r="G1098">
        <v>1048</v>
      </c>
      <c r="H1098" s="15">
        <f t="shared" si="136"/>
        <v>3.3332641781299799E-2</v>
      </c>
      <c r="I1098">
        <f t="shared" si="137"/>
        <v>139.43877285974273</v>
      </c>
      <c r="J1098">
        <f t="shared" si="132"/>
        <v>485.12995785264422</v>
      </c>
      <c r="K1098" s="30">
        <f t="shared" si="133"/>
        <v>7845.2256456766509</v>
      </c>
    </row>
    <row r="1099" spans="1:11" x14ac:dyDescent="0.25">
      <c r="A1099" s="29">
        <v>1049</v>
      </c>
      <c r="B1099" s="99">
        <f t="shared" si="134"/>
        <v>0</v>
      </c>
      <c r="C1099" s="75">
        <f t="shared" si="130"/>
        <v>104.50616427295054</v>
      </c>
      <c r="D1099" s="100">
        <f t="shared" si="135"/>
        <v>445.77777777777789</v>
      </c>
      <c r="E1099">
        <f t="shared" si="131"/>
        <v>0</v>
      </c>
      <c r="G1099">
        <v>1049</v>
      </c>
      <c r="H1099" s="15">
        <f t="shared" si="136"/>
        <v>3.3332641781299799E-2</v>
      </c>
      <c r="I1099">
        <f t="shared" si="137"/>
        <v>139.47210550152403</v>
      </c>
      <c r="J1099">
        <f t="shared" si="132"/>
        <v>485.15175850724273</v>
      </c>
      <c r="K1099" s="30">
        <f t="shared" si="133"/>
        <v>7845.9304339416185</v>
      </c>
    </row>
    <row r="1100" spans="1:11" x14ac:dyDescent="0.25">
      <c r="A1100" s="29">
        <v>1050</v>
      </c>
      <c r="B1100" s="99">
        <f t="shared" si="134"/>
        <v>0</v>
      </c>
      <c r="C1100" s="75">
        <f t="shared" si="130"/>
        <v>104.50616427295054</v>
      </c>
      <c r="D1100" s="100">
        <f t="shared" si="135"/>
        <v>445.77777777777789</v>
      </c>
      <c r="E1100">
        <f t="shared" si="131"/>
        <v>0</v>
      </c>
      <c r="G1100">
        <v>1050</v>
      </c>
      <c r="H1100" s="15">
        <f t="shared" si="136"/>
        <v>3.3332641781299799E-2</v>
      </c>
      <c r="I1100">
        <f t="shared" si="137"/>
        <v>139.50543814330533</v>
      </c>
      <c r="J1100">
        <f t="shared" si="132"/>
        <v>485.17354027096962</v>
      </c>
      <c r="K1100" s="30">
        <f t="shared" si="133"/>
        <v>7846.6346430762869</v>
      </c>
    </row>
    <row r="1101" spans="1:11" x14ac:dyDescent="0.25">
      <c r="A1101" s="29">
        <v>1051</v>
      </c>
      <c r="B1101" s="99">
        <f t="shared" si="134"/>
        <v>0</v>
      </c>
      <c r="C1101" s="75">
        <f t="shared" si="130"/>
        <v>104.50616427295054</v>
      </c>
      <c r="D1101" s="100">
        <f t="shared" si="135"/>
        <v>445.77777777777789</v>
      </c>
      <c r="E1101">
        <f t="shared" si="131"/>
        <v>0</v>
      </c>
      <c r="G1101">
        <v>1051</v>
      </c>
      <c r="H1101" s="15">
        <f t="shared" si="136"/>
        <v>3.3332641781299799E-2</v>
      </c>
      <c r="I1101">
        <f t="shared" si="137"/>
        <v>139.53877078508663</v>
      </c>
      <c r="J1101">
        <f t="shared" si="132"/>
        <v>485.19530315852126</v>
      </c>
      <c r="K1101" s="30">
        <f t="shared" si="133"/>
        <v>7847.3382734733541</v>
      </c>
    </row>
    <row r="1102" spans="1:11" x14ac:dyDescent="0.25">
      <c r="A1102" s="29">
        <v>1052</v>
      </c>
      <c r="B1102" s="99">
        <f t="shared" si="134"/>
        <v>0</v>
      </c>
      <c r="C1102" s="75">
        <f t="shared" si="130"/>
        <v>104.50616427295054</v>
      </c>
      <c r="D1102" s="100">
        <f t="shared" si="135"/>
        <v>445.77777777777789</v>
      </c>
      <c r="E1102">
        <f t="shared" si="131"/>
        <v>0</v>
      </c>
      <c r="G1102">
        <v>1052</v>
      </c>
      <c r="H1102" s="15">
        <f t="shared" si="136"/>
        <v>3.3332641781299799E-2</v>
      </c>
      <c r="I1102">
        <f t="shared" si="137"/>
        <v>139.57210342686793</v>
      </c>
      <c r="J1102">
        <f t="shared" si="132"/>
        <v>485.21704718456618</v>
      </c>
      <c r="K1102" s="30">
        <f t="shared" si="133"/>
        <v>7848.0413255247722</v>
      </c>
    </row>
    <row r="1103" spans="1:11" x14ac:dyDescent="0.25">
      <c r="A1103" s="29">
        <v>1053</v>
      </c>
      <c r="B1103" s="99">
        <f t="shared" si="134"/>
        <v>0</v>
      </c>
      <c r="C1103" s="75">
        <f t="shared" si="130"/>
        <v>104.50616427295054</v>
      </c>
      <c r="D1103" s="100">
        <f t="shared" si="135"/>
        <v>445.77777777777789</v>
      </c>
      <c r="E1103">
        <f t="shared" si="131"/>
        <v>0</v>
      </c>
      <c r="G1103">
        <v>1053</v>
      </c>
      <c r="H1103" s="15">
        <f t="shared" si="136"/>
        <v>3.3332641781299799E-2</v>
      </c>
      <c r="I1103">
        <f t="shared" si="137"/>
        <v>139.60543606864923</v>
      </c>
      <c r="J1103">
        <f t="shared" si="132"/>
        <v>485.23877236374483</v>
      </c>
      <c r="K1103" s="30">
        <f t="shared" si="133"/>
        <v>7848.7437996217423</v>
      </c>
    </row>
    <row r="1104" spans="1:11" x14ac:dyDescent="0.25">
      <c r="A1104" s="29">
        <v>1054</v>
      </c>
      <c r="B1104" s="99">
        <f t="shared" si="134"/>
        <v>0</v>
      </c>
      <c r="C1104" s="75">
        <f t="shared" ref="C1104:C1167" si="138">($C$37-$C$36)/2000+C1103</f>
        <v>104.50616427295054</v>
      </c>
      <c r="D1104" s="100">
        <f t="shared" si="135"/>
        <v>445.77777777777789</v>
      </c>
      <c r="E1104">
        <f t="shared" si="131"/>
        <v>0</v>
      </c>
      <c r="G1104">
        <v>1054</v>
      </c>
      <c r="H1104" s="15">
        <f t="shared" si="136"/>
        <v>3.3332641781299799E-2</v>
      </c>
      <c r="I1104">
        <f t="shared" si="137"/>
        <v>139.63876871043053</v>
      </c>
      <c r="J1104">
        <f t="shared" si="132"/>
        <v>485.26047871067004</v>
      </c>
      <c r="K1104" s="30">
        <f t="shared" si="133"/>
        <v>7849.4456961547357</v>
      </c>
    </row>
    <row r="1105" spans="1:11" x14ac:dyDescent="0.25">
      <c r="A1105" s="29">
        <v>1055</v>
      </c>
      <c r="B1105" s="99">
        <f t="shared" si="134"/>
        <v>0</v>
      </c>
      <c r="C1105" s="75">
        <f t="shared" si="138"/>
        <v>104.50616427295054</v>
      </c>
      <c r="D1105" s="100">
        <f t="shared" si="135"/>
        <v>445.77777777777789</v>
      </c>
      <c r="E1105">
        <f t="shared" si="131"/>
        <v>0</v>
      </c>
      <c r="G1105">
        <v>1055</v>
      </c>
      <c r="H1105" s="15">
        <f t="shared" si="136"/>
        <v>3.3332641781299799E-2</v>
      </c>
      <c r="I1105">
        <f t="shared" si="137"/>
        <v>139.67210135221183</v>
      </c>
      <c r="J1105">
        <f t="shared" si="132"/>
        <v>485.28216623992682</v>
      </c>
      <c r="K1105" s="30">
        <f t="shared" si="133"/>
        <v>7850.1470155134675</v>
      </c>
    </row>
    <row r="1106" spans="1:11" x14ac:dyDescent="0.25">
      <c r="A1106" s="29">
        <v>1056</v>
      </c>
      <c r="B1106" s="99">
        <f t="shared" si="134"/>
        <v>0</v>
      </c>
      <c r="C1106" s="75">
        <f t="shared" si="138"/>
        <v>104.50616427295054</v>
      </c>
      <c r="D1106" s="100">
        <f t="shared" si="135"/>
        <v>445.77777777777789</v>
      </c>
      <c r="E1106">
        <f t="shared" si="131"/>
        <v>0</v>
      </c>
      <c r="G1106">
        <v>1056</v>
      </c>
      <c r="H1106" s="15">
        <f t="shared" si="136"/>
        <v>3.3332641781299799E-2</v>
      </c>
      <c r="I1106">
        <f t="shared" si="137"/>
        <v>139.70543399399313</v>
      </c>
      <c r="J1106">
        <f t="shared" si="132"/>
        <v>485.30383496607243</v>
      </c>
      <c r="K1106" s="30">
        <f t="shared" si="133"/>
        <v>7850.847758086923</v>
      </c>
    </row>
    <row r="1107" spans="1:11" x14ac:dyDescent="0.25">
      <c r="A1107" s="29">
        <v>1057</v>
      </c>
      <c r="B1107" s="99">
        <f t="shared" si="134"/>
        <v>0</v>
      </c>
      <c r="C1107" s="75">
        <f t="shared" si="138"/>
        <v>104.50616427295054</v>
      </c>
      <c r="D1107" s="100">
        <f t="shared" si="135"/>
        <v>445.77777777777789</v>
      </c>
      <c r="E1107">
        <f t="shared" si="131"/>
        <v>0</v>
      </c>
      <c r="G1107">
        <v>1057</v>
      </c>
      <c r="H1107" s="15">
        <f t="shared" si="136"/>
        <v>3.3332641781299799E-2</v>
      </c>
      <c r="I1107">
        <f t="shared" si="137"/>
        <v>139.73876663577443</v>
      </c>
      <c r="J1107">
        <f t="shared" si="132"/>
        <v>485.32548490363661</v>
      </c>
      <c r="K1107" s="30">
        <f t="shared" si="133"/>
        <v>7851.5479242633455</v>
      </c>
    </row>
    <row r="1108" spans="1:11" x14ac:dyDescent="0.25">
      <c r="A1108" s="29">
        <v>1058</v>
      </c>
      <c r="B1108" s="99">
        <f t="shared" si="134"/>
        <v>0</v>
      </c>
      <c r="C1108" s="75">
        <f t="shared" si="138"/>
        <v>104.50616427295054</v>
      </c>
      <c r="D1108" s="100">
        <f t="shared" si="135"/>
        <v>445.77777777777789</v>
      </c>
      <c r="E1108">
        <f t="shared" si="131"/>
        <v>0</v>
      </c>
      <c r="G1108">
        <v>1058</v>
      </c>
      <c r="H1108" s="15">
        <f t="shared" si="136"/>
        <v>3.3332641781299799E-2</v>
      </c>
      <c r="I1108">
        <f t="shared" si="137"/>
        <v>139.77209927755572</v>
      </c>
      <c r="J1108">
        <f t="shared" si="132"/>
        <v>485.34711606712148</v>
      </c>
      <c r="K1108" s="30">
        <f t="shared" si="133"/>
        <v>7852.2475144302452</v>
      </c>
    </row>
    <row r="1109" spans="1:11" x14ac:dyDescent="0.25">
      <c r="A1109" s="29">
        <v>1059</v>
      </c>
      <c r="B1109" s="99">
        <f t="shared" si="134"/>
        <v>0</v>
      </c>
      <c r="C1109" s="75">
        <f t="shared" si="138"/>
        <v>104.50616427295054</v>
      </c>
      <c r="D1109" s="100">
        <f t="shared" si="135"/>
        <v>445.77777777777789</v>
      </c>
      <c r="E1109">
        <f t="shared" si="131"/>
        <v>0</v>
      </c>
      <c r="G1109">
        <v>1059</v>
      </c>
      <c r="H1109" s="15">
        <f t="shared" si="136"/>
        <v>3.3332641781299799E-2</v>
      </c>
      <c r="I1109">
        <f t="shared" si="137"/>
        <v>139.80543191933702</v>
      </c>
      <c r="J1109">
        <f t="shared" si="132"/>
        <v>485.36872847100176</v>
      </c>
      <c r="K1109" s="30">
        <f t="shared" si="133"/>
        <v>7852.9465289743966</v>
      </c>
    </row>
    <row r="1110" spans="1:11" x14ac:dyDescent="0.25">
      <c r="A1110" s="29">
        <v>1060</v>
      </c>
      <c r="B1110" s="99">
        <f t="shared" si="134"/>
        <v>0</v>
      </c>
      <c r="C1110" s="75">
        <f t="shared" si="138"/>
        <v>104.50616427295054</v>
      </c>
      <c r="D1110" s="100">
        <f t="shared" si="135"/>
        <v>445.77777777777789</v>
      </c>
      <c r="E1110">
        <f t="shared" si="131"/>
        <v>0</v>
      </c>
      <c r="G1110">
        <v>1060</v>
      </c>
      <c r="H1110" s="15">
        <f t="shared" si="136"/>
        <v>3.3332641781299799E-2</v>
      </c>
      <c r="I1110">
        <f t="shared" si="137"/>
        <v>139.83876456111832</v>
      </c>
      <c r="J1110">
        <f t="shared" si="132"/>
        <v>485.39032212972472</v>
      </c>
      <c r="K1110" s="30">
        <f t="shared" si="133"/>
        <v>7853.6449682818411</v>
      </c>
    </row>
    <row r="1111" spans="1:11" x14ac:dyDescent="0.25">
      <c r="A1111" s="29">
        <v>1061</v>
      </c>
      <c r="B1111" s="99">
        <f t="shared" si="134"/>
        <v>0</v>
      </c>
      <c r="C1111" s="75">
        <f t="shared" si="138"/>
        <v>104.50616427295054</v>
      </c>
      <c r="D1111" s="100">
        <f t="shared" si="135"/>
        <v>445.77777777777789</v>
      </c>
      <c r="E1111">
        <f t="shared" si="131"/>
        <v>0</v>
      </c>
      <c r="G1111">
        <v>1061</v>
      </c>
      <c r="H1111" s="15">
        <f t="shared" si="136"/>
        <v>3.3332641781299799E-2</v>
      </c>
      <c r="I1111">
        <f t="shared" si="137"/>
        <v>139.87209720289962</v>
      </c>
      <c r="J1111">
        <f t="shared" si="132"/>
        <v>485.41189705771023</v>
      </c>
      <c r="K1111" s="30">
        <f t="shared" si="133"/>
        <v>7854.3428327378933</v>
      </c>
    </row>
    <row r="1112" spans="1:11" x14ac:dyDescent="0.25">
      <c r="A1112" s="29">
        <v>1062</v>
      </c>
      <c r="B1112" s="99">
        <f t="shared" si="134"/>
        <v>0</v>
      </c>
      <c r="C1112" s="75">
        <f t="shared" si="138"/>
        <v>104.50616427295054</v>
      </c>
      <c r="D1112" s="100">
        <f t="shared" si="135"/>
        <v>445.77777777777789</v>
      </c>
      <c r="E1112">
        <f t="shared" si="131"/>
        <v>0</v>
      </c>
      <c r="G1112">
        <v>1062</v>
      </c>
      <c r="H1112" s="15">
        <f t="shared" si="136"/>
        <v>3.3332641781299799E-2</v>
      </c>
      <c r="I1112">
        <f t="shared" si="137"/>
        <v>139.90542984468092</v>
      </c>
      <c r="J1112">
        <f t="shared" si="132"/>
        <v>485.43345326935105</v>
      </c>
      <c r="K1112" s="30">
        <f t="shared" si="133"/>
        <v>7855.0401227271359</v>
      </c>
    </row>
    <row r="1113" spans="1:11" x14ac:dyDescent="0.25">
      <c r="A1113" s="29">
        <v>1063</v>
      </c>
      <c r="B1113" s="99">
        <f t="shared" si="134"/>
        <v>0</v>
      </c>
      <c r="C1113" s="75">
        <f t="shared" si="138"/>
        <v>104.50616427295054</v>
      </c>
      <c r="D1113" s="100">
        <f t="shared" si="135"/>
        <v>445.77777777777789</v>
      </c>
      <c r="E1113">
        <f t="shared" si="131"/>
        <v>0</v>
      </c>
      <c r="G1113">
        <v>1063</v>
      </c>
      <c r="H1113" s="15">
        <f t="shared" si="136"/>
        <v>3.3332641781299799E-2</v>
      </c>
      <c r="I1113">
        <f t="shared" si="137"/>
        <v>139.93876248646222</v>
      </c>
      <c r="J1113">
        <f t="shared" si="132"/>
        <v>485.45499077901258</v>
      </c>
      <c r="K1113" s="30">
        <f t="shared" si="133"/>
        <v>7855.7368386334265</v>
      </c>
    </row>
    <row r="1114" spans="1:11" x14ac:dyDescent="0.25">
      <c r="A1114" s="29">
        <v>1064</v>
      </c>
      <c r="B1114" s="99">
        <f t="shared" si="134"/>
        <v>0</v>
      </c>
      <c r="C1114" s="75">
        <f t="shared" si="138"/>
        <v>104.50616427295054</v>
      </c>
      <c r="D1114" s="100">
        <f t="shared" si="135"/>
        <v>445.77777777777789</v>
      </c>
      <c r="E1114">
        <f t="shared" si="131"/>
        <v>0</v>
      </c>
      <c r="G1114">
        <v>1064</v>
      </c>
      <c r="H1114" s="15">
        <f t="shared" si="136"/>
        <v>3.3332641781299799E-2</v>
      </c>
      <c r="I1114">
        <f t="shared" si="137"/>
        <v>139.97209512824352</v>
      </c>
      <c r="J1114">
        <f t="shared" si="132"/>
        <v>485.47650960103306</v>
      </c>
      <c r="K1114" s="30">
        <f t="shared" si="133"/>
        <v>7856.4329808398943</v>
      </c>
    </row>
    <row r="1115" spans="1:11" x14ac:dyDescent="0.25">
      <c r="A1115" s="29">
        <v>1065</v>
      </c>
      <c r="B1115" s="99">
        <f t="shared" si="134"/>
        <v>0</v>
      </c>
      <c r="C1115" s="75">
        <f t="shared" si="138"/>
        <v>104.50616427295054</v>
      </c>
      <c r="D1115" s="100">
        <f t="shared" si="135"/>
        <v>445.77777777777789</v>
      </c>
      <c r="E1115">
        <f t="shared" si="131"/>
        <v>0</v>
      </c>
      <c r="G1115">
        <v>1065</v>
      </c>
      <c r="H1115" s="15">
        <f t="shared" si="136"/>
        <v>3.3332641781299799E-2</v>
      </c>
      <c r="I1115">
        <f t="shared" si="137"/>
        <v>140.00542777002482</v>
      </c>
      <c r="J1115">
        <f t="shared" si="132"/>
        <v>485.49800974972379</v>
      </c>
      <c r="K1115" s="30">
        <f t="shared" si="133"/>
        <v>7857.1285497289527</v>
      </c>
    </row>
    <row r="1116" spans="1:11" x14ac:dyDescent="0.25">
      <c r="A1116" s="29">
        <v>1066</v>
      </c>
      <c r="B1116" s="99">
        <f t="shared" si="134"/>
        <v>0</v>
      </c>
      <c r="C1116" s="75">
        <f t="shared" si="138"/>
        <v>104.50616427295054</v>
      </c>
      <c r="D1116" s="100">
        <f t="shared" si="135"/>
        <v>445.77777777777789</v>
      </c>
      <c r="E1116">
        <f t="shared" si="131"/>
        <v>0</v>
      </c>
      <c r="G1116">
        <v>1066</v>
      </c>
      <c r="H1116" s="15">
        <f t="shared" si="136"/>
        <v>3.3332641781299799E-2</v>
      </c>
      <c r="I1116">
        <f t="shared" si="137"/>
        <v>140.03876041180612</v>
      </c>
      <c r="J1116">
        <f t="shared" si="132"/>
        <v>485.51949123936902</v>
      </c>
      <c r="K1116" s="30">
        <f t="shared" si="133"/>
        <v>7857.823545682284</v>
      </c>
    </row>
    <row r="1117" spans="1:11" x14ac:dyDescent="0.25">
      <c r="A1117" s="29">
        <v>1067</v>
      </c>
      <c r="B1117" s="99">
        <f t="shared" si="134"/>
        <v>0</v>
      </c>
      <c r="C1117" s="75">
        <f t="shared" si="138"/>
        <v>104.50616427295054</v>
      </c>
      <c r="D1117" s="100">
        <f t="shared" si="135"/>
        <v>445.77777777777789</v>
      </c>
      <c r="E1117">
        <f t="shared" si="131"/>
        <v>0</v>
      </c>
      <c r="G1117">
        <v>1067</v>
      </c>
      <c r="H1117" s="15">
        <f t="shared" si="136"/>
        <v>3.3332641781299799E-2</v>
      </c>
      <c r="I1117">
        <f t="shared" si="137"/>
        <v>140.07209305358742</v>
      </c>
      <c r="J1117">
        <f t="shared" si="132"/>
        <v>485.54095408422592</v>
      </c>
      <c r="K1117" s="30">
        <f t="shared" si="133"/>
        <v>7858.5179690808554</v>
      </c>
    </row>
    <row r="1118" spans="1:11" x14ac:dyDescent="0.25">
      <c r="A1118" s="29">
        <v>1068</v>
      </c>
      <c r="B1118" s="99">
        <f t="shared" si="134"/>
        <v>0</v>
      </c>
      <c r="C1118" s="75">
        <f t="shared" si="138"/>
        <v>104.50616427295054</v>
      </c>
      <c r="D1118" s="100">
        <f t="shared" si="135"/>
        <v>445.77777777777789</v>
      </c>
      <c r="E1118">
        <f t="shared" si="131"/>
        <v>0</v>
      </c>
      <c r="G1118">
        <v>1068</v>
      </c>
      <c r="H1118" s="15">
        <f t="shared" si="136"/>
        <v>3.3332641781299799E-2</v>
      </c>
      <c r="I1118">
        <f t="shared" si="137"/>
        <v>140.10542569536872</v>
      </c>
      <c r="J1118">
        <f t="shared" si="132"/>
        <v>485.56239829852495</v>
      </c>
      <c r="K1118" s="30">
        <f t="shared" si="133"/>
        <v>7859.2118203049185</v>
      </c>
    </row>
    <row r="1119" spans="1:11" x14ac:dyDescent="0.25">
      <c r="A1119" s="29">
        <v>1069</v>
      </c>
      <c r="B1119" s="99">
        <f t="shared" si="134"/>
        <v>0</v>
      </c>
      <c r="C1119" s="75">
        <f t="shared" si="138"/>
        <v>104.50616427295054</v>
      </c>
      <c r="D1119" s="100">
        <f t="shared" si="135"/>
        <v>445.77777777777789</v>
      </c>
      <c r="E1119">
        <f t="shared" si="131"/>
        <v>0</v>
      </c>
      <c r="G1119">
        <v>1069</v>
      </c>
      <c r="H1119" s="15">
        <f t="shared" si="136"/>
        <v>3.3332641781299799E-2</v>
      </c>
      <c r="I1119">
        <f t="shared" si="137"/>
        <v>140.13875833715002</v>
      </c>
      <c r="J1119">
        <f t="shared" si="132"/>
        <v>485.58382389646971</v>
      </c>
      <c r="K1119" s="30">
        <f t="shared" si="133"/>
        <v>7859.9050997340082</v>
      </c>
    </row>
    <row r="1120" spans="1:11" x14ac:dyDescent="0.25">
      <c r="A1120" s="29">
        <v>1070</v>
      </c>
      <c r="B1120" s="99">
        <f t="shared" si="134"/>
        <v>0</v>
      </c>
      <c r="C1120" s="75">
        <f t="shared" si="138"/>
        <v>104.50616427295054</v>
      </c>
      <c r="D1120" s="100">
        <f t="shared" si="135"/>
        <v>445.77777777777789</v>
      </c>
      <c r="E1120">
        <f t="shared" si="131"/>
        <v>0</v>
      </c>
      <c r="G1120">
        <v>1070</v>
      </c>
      <c r="H1120" s="15">
        <f t="shared" si="136"/>
        <v>3.3332641781299799E-2</v>
      </c>
      <c r="I1120">
        <f t="shared" si="137"/>
        <v>140.17209097893132</v>
      </c>
      <c r="J1120">
        <f t="shared" si="132"/>
        <v>485.60523089223705</v>
      </c>
      <c r="K1120" s="30">
        <f t="shared" si="133"/>
        <v>7860.5978077469381</v>
      </c>
    </row>
    <row r="1121" spans="1:11" x14ac:dyDescent="0.25">
      <c r="A1121" s="29">
        <v>1071</v>
      </c>
      <c r="B1121" s="99">
        <f t="shared" si="134"/>
        <v>0</v>
      </c>
      <c r="C1121" s="75">
        <f t="shared" si="138"/>
        <v>104.50616427295054</v>
      </c>
      <c r="D1121" s="100">
        <f t="shared" si="135"/>
        <v>445.77777777777789</v>
      </c>
      <c r="E1121">
        <f t="shared" si="131"/>
        <v>0</v>
      </c>
      <c r="G1121">
        <v>1071</v>
      </c>
      <c r="H1121" s="15">
        <f t="shared" si="136"/>
        <v>3.3332641781299799E-2</v>
      </c>
      <c r="I1121">
        <f t="shared" si="137"/>
        <v>140.20542362071262</v>
      </c>
      <c r="J1121">
        <f t="shared" si="132"/>
        <v>485.62661929997705</v>
      </c>
      <c r="K1121" s="30">
        <f t="shared" si="133"/>
        <v>7861.2899447218178</v>
      </c>
    </row>
    <row r="1122" spans="1:11" x14ac:dyDescent="0.25">
      <c r="A1122" s="29">
        <v>1072</v>
      </c>
      <c r="B1122" s="99">
        <f t="shared" si="134"/>
        <v>0</v>
      </c>
      <c r="C1122" s="75">
        <f t="shared" si="138"/>
        <v>104.50616427295054</v>
      </c>
      <c r="D1122" s="100">
        <f t="shared" si="135"/>
        <v>445.77777777777789</v>
      </c>
      <c r="E1122">
        <f t="shared" si="131"/>
        <v>0</v>
      </c>
      <c r="G1122">
        <v>1072</v>
      </c>
      <c r="H1122" s="15">
        <f t="shared" si="136"/>
        <v>3.3332641781299799E-2</v>
      </c>
      <c r="I1122">
        <f t="shared" si="137"/>
        <v>140.23875626249392</v>
      </c>
      <c r="J1122">
        <f t="shared" si="132"/>
        <v>485.64798913381333</v>
      </c>
      <c r="K1122" s="30">
        <f t="shared" si="133"/>
        <v>7861.9815110360405</v>
      </c>
    </row>
    <row r="1123" spans="1:11" x14ac:dyDescent="0.25">
      <c r="A1123" s="29">
        <v>1073</v>
      </c>
      <c r="B1123" s="99">
        <f t="shared" si="134"/>
        <v>0</v>
      </c>
      <c r="C1123" s="75">
        <f t="shared" si="138"/>
        <v>104.50616427295054</v>
      </c>
      <c r="D1123" s="100">
        <f t="shared" si="135"/>
        <v>445.77777777777789</v>
      </c>
      <c r="E1123">
        <f t="shared" si="131"/>
        <v>0</v>
      </c>
      <c r="G1123">
        <v>1073</v>
      </c>
      <c r="H1123" s="15">
        <f t="shared" si="136"/>
        <v>3.3332641781299799E-2</v>
      </c>
      <c r="I1123">
        <f t="shared" si="137"/>
        <v>140.27208890427522</v>
      </c>
      <c r="J1123">
        <f t="shared" si="132"/>
        <v>485.66934040784287</v>
      </c>
      <c r="K1123" s="30">
        <f t="shared" si="133"/>
        <v>7862.6725070662933</v>
      </c>
    </row>
    <row r="1124" spans="1:11" x14ac:dyDescent="0.25">
      <c r="A1124" s="29">
        <v>1074</v>
      </c>
      <c r="B1124" s="99">
        <f t="shared" si="134"/>
        <v>0</v>
      </c>
      <c r="C1124" s="75">
        <f t="shared" si="138"/>
        <v>104.50616427295054</v>
      </c>
      <c r="D1124" s="100">
        <f t="shared" si="135"/>
        <v>445.77777777777789</v>
      </c>
      <c r="E1124">
        <f t="shared" si="131"/>
        <v>0</v>
      </c>
      <c r="G1124">
        <v>1074</v>
      </c>
      <c r="H1124" s="15">
        <f t="shared" si="136"/>
        <v>3.3332641781299799E-2</v>
      </c>
      <c r="I1124">
        <f t="shared" si="137"/>
        <v>140.30542154605652</v>
      </c>
      <c r="J1124">
        <f t="shared" si="132"/>
        <v>485.69067313613618</v>
      </c>
      <c r="K1124" s="30">
        <f t="shared" si="133"/>
        <v>7863.3629331885531</v>
      </c>
    </row>
    <row r="1125" spans="1:11" x14ac:dyDescent="0.25">
      <c r="A1125" s="29">
        <v>1075</v>
      </c>
      <c r="B1125" s="99">
        <f t="shared" si="134"/>
        <v>0</v>
      </c>
      <c r="C1125" s="75">
        <f t="shared" si="138"/>
        <v>104.50616427295054</v>
      </c>
      <c r="D1125" s="100">
        <f t="shared" si="135"/>
        <v>445.77777777777789</v>
      </c>
      <c r="E1125">
        <f t="shared" si="131"/>
        <v>0</v>
      </c>
      <c r="G1125">
        <v>1075</v>
      </c>
      <c r="H1125" s="15">
        <f t="shared" si="136"/>
        <v>3.3332641781299799E-2</v>
      </c>
      <c r="I1125">
        <f t="shared" si="137"/>
        <v>140.33875418783782</v>
      </c>
      <c r="J1125">
        <f t="shared" si="132"/>
        <v>485.71198733273729</v>
      </c>
      <c r="K1125" s="30">
        <f t="shared" si="133"/>
        <v>7864.0527897780912</v>
      </c>
    </row>
    <row r="1126" spans="1:11" x14ac:dyDescent="0.25">
      <c r="A1126" s="29">
        <v>1076</v>
      </c>
      <c r="B1126" s="99">
        <f t="shared" si="134"/>
        <v>0</v>
      </c>
      <c r="C1126" s="75">
        <f t="shared" si="138"/>
        <v>104.50616427295054</v>
      </c>
      <c r="D1126" s="100">
        <f t="shared" si="135"/>
        <v>445.77777777777789</v>
      </c>
      <c r="E1126">
        <f t="shared" si="131"/>
        <v>0</v>
      </c>
      <c r="G1126">
        <v>1076</v>
      </c>
      <c r="H1126" s="15">
        <f t="shared" si="136"/>
        <v>3.3332641781299799E-2</v>
      </c>
      <c r="I1126">
        <f t="shared" si="137"/>
        <v>140.37208682961912</v>
      </c>
      <c r="J1126">
        <f t="shared" si="132"/>
        <v>485.73328301166401</v>
      </c>
      <c r="K1126" s="30">
        <f t="shared" si="133"/>
        <v>7864.7420772094783</v>
      </c>
    </row>
    <row r="1127" spans="1:11" x14ac:dyDescent="0.25">
      <c r="A1127" s="29">
        <v>1077</v>
      </c>
      <c r="B1127" s="99">
        <f t="shared" si="134"/>
        <v>0</v>
      </c>
      <c r="C1127" s="75">
        <f t="shared" si="138"/>
        <v>104.50616427295054</v>
      </c>
      <c r="D1127" s="100">
        <f t="shared" si="135"/>
        <v>445.77777777777789</v>
      </c>
      <c r="E1127">
        <f t="shared" si="131"/>
        <v>0</v>
      </c>
      <c r="G1127">
        <v>1077</v>
      </c>
      <c r="H1127" s="15">
        <f t="shared" si="136"/>
        <v>3.3332641781299799E-2</v>
      </c>
      <c r="I1127">
        <f t="shared" si="137"/>
        <v>140.40541947140042</v>
      </c>
      <c r="J1127">
        <f t="shared" si="132"/>
        <v>485.75456018690772</v>
      </c>
      <c r="K1127" s="30">
        <f t="shared" si="133"/>
        <v>7865.4307958565769</v>
      </c>
    </row>
    <row r="1128" spans="1:11" x14ac:dyDescent="0.25">
      <c r="A1128" s="29">
        <v>1078</v>
      </c>
      <c r="B1128" s="99">
        <f t="shared" si="134"/>
        <v>0</v>
      </c>
      <c r="C1128" s="75">
        <f t="shared" si="138"/>
        <v>104.50616427295054</v>
      </c>
      <c r="D1128" s="100">
        <f t="shared" si="135"/>
        <v>445.77777777777789</v>
      </c>
      <c r="E1128">
        <f t="shared" si="131"/>
        <v>0</v>
      </c>
      <c r="G1128">
        <v>1078</v>
      </c>
      <c r="H1128" s="15">
        <f t="shared" si="136"/>
        <v>3.3332641781299799E-2</v>
      </c>
      <c r="I1128">
        <f t="shared" si="137"/>
        <v>140.43875211318172</v>
      </c>
      <c r="J1128">
        <f t="shared" si="132"/>
        <v>485.77581887243366</v>
      </c>
      <c r="K1128" s="30">
        <f t="shared" si="133"/>
        <v>7866.1189460925534</v>
      </c>
    </row>
    <row r="1129" spans="1:11" x14ac:dyDescent="0.25">
      <c r="A1129" s="29">
        <v>1079</v>
      </c>
      <c r="B1129" s="99">
        <f t="shared" si="134"/>
        <v>0</v>
      </c>
      <c r="C1129" s="75">
        <f t="shared" si="138"/>
        <v>104.50616427295054</v>
      </c>
      <c r="D1129" s="100">
        <f t="shared" si="135"/>
        <v>445.77777777777789</v>
      </c>
      <c r="E1129">
        <f t="shared" si="131"/>
        <v>0</v>
      </c>
      <c r="G1129">
        <v>1079</v>
      </c>
      <c r="H1129" s="15">
        <f t="shared" si="136"/>
        <v>3.3332641781299799E-2</v>
      </c>
      <c r="I1129">
        <f t="shared" si="137"/>
        <v>140.47208475496302</v>
      </c>
      <c r="J1129">
        <f t="shared" si="132"/>
        <v>485.79705908218079</v>
      </c>
      <c r="K1129" s="30">
        <f t="shared" si="133"/>
        <v>7866.8065282898724</v>
      </c>
    </row>
    <row r="1130" spans="1:11" x14ac:dyDescent="0.25">
      <c r="A1130" s="29">
        <v>1080</v>
      </c>
      <c r="B1130" s="99">
        <f t="shared" si="134"/>
        <v>0</v>
      </c>
      <c r="C1130" s="75">
        <f t="shared" si="138"/>
        <v>104.50616427295054</v>
      </c>
      <c r="D1130" s="100">
        <f t="shared" si="135"/>
        <v>445.77777777777789</v>
      </c>
      <c r="E1130">
        <f t="shared" si="131"/>
        <v>0</v>
      </c>
      <c r="G1130">
        <v>1080</v>
      </c>
      <c r="H1130" s="15">
        <f t="shared" si="136"/>
        <v>3.3332641781299799E-2</v>
      </c>
      <c r="I1130">
        <f t="shared" si="137"/>
        <v>140.50541739674432</v>
      </c>
      <c r="J1130">
        <f t="shared" si="132"/>
        <v>485.81828083006212</v>
      </c>
      <c r="K1130" s="30">
        <f t="shared" si="133"/>
        <v>7867.4935428203062</v>
      </c>
    </row>
    <row r="1131" spans="1:11" x14ac:dyDescent="0.25">
      <c r="A1131" s="29">
        <v>1081</v>
      </c>
      <c r="B1131" s="99">
        <f t="shared" si="134"/>
        <v>0</v>
      </c>
      <c r="C1131" s="75">
        <f t="shared" si="138"/>
        <v>104.50616427295054</v>
      </c>
      <c r="D1131" s="100">
        <f t="shared" si="135"/>
        <v>445.77777777777789</v>
      </c>
      <c r="E1131">
        <f t="shared" si="131"/>
        <v>0</v>
      </c>
      <c r="G1131">
        <v>1081</v>
      </c>
      <c r="H1131" s="15">
        <f t="shared" si="136"/>
        <v>3.3332641781299799E-2</v>
      </c>
      <c r="I1131">
        <f t="shared" si="137"/>
        <v>140.53875003852562</v>
      </c>
      <c r="J1131">
        <f t="shared" si="132"/>
        <v>485.83948412996449</v>
      </c>
      <c r="K1131" s="30">
        <f t="shared" si="133"/>
        <v>7868.179990054924</v>
      </c>
    </row>
    <row r="1132" spans="1:11" x14ac:dyDescent="0.25">
      <c r="A1132" s="29">
        <v>1082</v>
      </c>
      <c r="B1132" s="99">
        <f t="shared" si="134"/>
        <v>0</v>
      </c>
      <c r="C1132" s="75">
        <f t="shared" si="138"/>
        <v>104.50616427295054</v>
      </c>
      <c r="D1132" s="100">
        <f t="shared" si="135"/>
        <v>445.77777777777789</v>
      </c>
      <c r="E1132">
        <f t="shared" si="131"/>
        <v>0</v>
      </c>
      <c r="G1132">
        <v>1082</v>
      </c>
      <c r="H1132" s="15">
        <f t="shared" si="136"/>
        <v>3.3332641781299799E-2</v>
      </c>
      <c r="I1132">
        <f t="shared" si="137"/>
        <v>140.57208268030692</v>
      </c>
      <c r="J1132">
        <f t="shared" si="132"/>
        <v>485.86066899574882</v>
      </c>
      <c r="K1132" s="30">
        <f t="shared" si="133"/>
        <v>7868.8658703641058</v>
      </c>
    </row>
    <row r="1133" spans="1:11" x14ac:dyDescent="0.25">
      <c r="A1133" s="29">
        <v>1083</v>
      </c>
      <c r="B1133" s="99">
        <f t="shared" si="134"/>
        <v>0</v>
      </c>
      <c r="C1133" s="75">
        <f t="shared" si="138"/>
        <v>104.50616427295054</v>
      </c>
      <c r="D1133" s="100">
        <f t="shared" si="135"/>
        <v>445.77777777777789</v>
      </c>
      <c r="E1133">
        <f t="shared" si="131"/>
        <v>0</v>
      </c>
      <c r="G1133">
        <v>1083</v>
      </c>
      <c r="H1133" s="15">
        <f t="shared" si="136"/>
        <v>3.3332641781299799E-2</v>
      </c>
      <c r="I1133">
        <f t="shared" si="137"/>
        <v>140.60541532208822</v>
      </c>
      <c r="J1133">
        <f t="shared" si="132"/>
        <v>485.88183544125008</v>
      </c>
      <c r="K1133" s="30">
        <f t="shared" si="133"/>
        <v>7869.5511841175385</v>
      </c>
    </row>
    <row r="1134" spans="1:11" x14ac:dyDescent="0.25">
      <c r="A1134" s="29">
        <v>1084</v>
      </c>
      <c r="B1134" s="99">
        <f t="shared" si="134"/>
        <v>0</v>
      </c>
      <c r="C1134" s="75">
        <f t="shared" si="138"/>
        <v>104.50616427295054</v>
      </c>
      <c r="D1134" s="100">
        <f t="shared" si="135"/>
        <v>445.77777777777789</v>
      </c>
      <c r="E1134">
        <f t="shared" si="131"/>
        <v>0</v>
      </c>
      <c r="G1134">
        <v>1084</v>
      </c>
      <c r="H1134" s="15">
        <f t="shared" si="136"/>
        <v>3.3332641781299799E-2</v>
      </c>
      <c r="I1134">
        <f t="shared" si="137"/>
        <v>140.63874796386952</v>
      </c>
      <c r="J1134">
        <f t="shared" si="132"/>
        <v>485.9029834802775</v>
      </c>
      <c r="K1134" s="30">
        <f t="shared" si="133"/>
        <v>7870.2359316842185</v>
      </c>
    </row>
    <row r="1135" spans="1:11" x14ac:dyDescent="0.25">
      <c r="A1135" s="29">
        <v>1085</v>
      </c>
      <c r="B1135" s="99">
        <f t="shared" si="134"/>
        <v>0</v>
      </c>
      <c r="C1135" s="75">
        <f t="shared" si="138"/>
        <v>104.50616427295054</v>
      </c>
      <c r="D1135" s="100">
        <f t="shared" si="135"/>
        <v>445.77777777777789</v>
      </c>
      <c r="E1135">
        <f t="shared" si="131"/>
        <v>0</v>
      </c>
      <c r="G1135">
        <v>1085</v>
      </c>
      <c r="H1135" s="15">
        <f t="shared" si="136"/>
        <v>3.3332641781299799E-2</v>
      </c>
      <c r="I1135">
        <f t="shared" si="137"/>
        <v>140.67208060565082</v>
      </c>
      <c r="J1135">
        <f t="shared" si="132"/>
        <v>485.92411312661437</v>
      </c>
      <c r="K1135" s="30">
        <f t="shared" si="133"/>
        <v>7870.9201134324503</v>
      </c>
    </row>
    <row r="1136" spans="1:11" x14ac:dyDescent="0.25">
      <c r="A1136" s="29">
        <v>1086</v>
      </c>
      <c r="B1136" s="99">
        <f t="shared" si="134"/>
        <v>0</v>
      </c>
      <c r="C1136" s="75">
        <f t="shared" si="138"/>
        <v>104.50616427295054</v>
      </c>
      <c r="D1136" s="100">
        <f t="shared" si="135"/>
        <v>445.77777777777789</v>
      </c>
      <c r="E1136">
        <f t="shared" si="131"/>
        <v>0</v>
      </c>
      <c r="G1136">
        <v>1086</v>
      </c>
      <c r="H1136" s="15">
        <f t="shared" si="136"/>
        <v>3.3332641781299799E-2</v>
      </c>
      <c r="I1136">
        <f t="shared" si="137"/>
        <v>140.70541324743212</v>
      </c>
      <c r="J1136">
        <f t="shared" si="132"/>
        <v>485.94522439401834</v>
      </c>
      <c r="K1136" s="30">
        <f t="shared" si="133"/>
        <v>7871.6037297298581</v>
      </c>
    </row>
    <row r="1137" spans="1:11" x14ac:dyDescent="0.25">
      <c r="A1137" s="29">
        <v>1087</v>
      </c>
      <c r="B1137" s="99">
        <f t="shared" si="134"/>
        <v>0</v>
      </c>
      <c r="C1137" s="75">
        <f t="shared" si="138"/>
        <v>104.50616427295054</v>
      </c>
      <c r="D1137" s="100">
        <f t="shared" si="135"/>
        <v>445.77777777777789</v>
      </c>
      <c r="E1137">
        <f t="shared" si="131"/>
        <v>0</v>
      </c>
      <c r="G1137">
        <v>1087</v>
      </c>
      <c r="H1137" s="15">
        <f t="shared" si="136"/>
        <v>3.3332641781299799E-2</v>
      </c>
      <c r="I1137">
        <f t="shared" si="137"/>
        <v>140.73874588921342</v>
      </c>
      <c r="J1137">
        <f t="shared" si="132"/>
        <v>485.96631729622135</v>
      </c>
      <c r="K1137" s="30">
        <f t="shared" si="133"/>
        <v>7872.2867809433728</v>
      </c>
    </row>
    <row r="1138" spans="1:11" x14ac:dyDescent="0.25">
      <c r="A1138" s="29">
        <v>1088</v>
      </c>
      <c r="B1138" s="99">
        <f t="shared" si="134"/>
        <v>0</v>
      </c>
      <c r="C1138" s="75">
        <f t="shared" si="138"/>
        <v>104.50616427295054</v>
      </c>
      <c r="D1138" s="100">
        <f t="shared" si="135"/>
        <v>445.77777777777789</v>
      </c>
      <c r="E1138">
        <f t="shared" si="131"/>
        <v>0</v>
      </c>
      <c r="G1138">
        <v>1088</v>
      </c>
      <c r="H1138" s="15">
        <f t="shared" si="136"/>
        <v>3.3332641781299799E-2</v>
      </c>
      <c r="I1138">
        <f t="shared" si="137"/>
        <v>140.77207853099472</v>
      </c>
      <c r="J1138">
        <f t="shared" si="132"/>
        <v>485.98739184692977</v>
      </c>
      <c r="K1138" s="30">
        <f t="shared" si="133"/>
        <v>7872.9692674392463</v>
      </c>
    </row>
    <row r="1139" spans="1:11" x14ac:dyDescent="0.25">
      <c r="A1139" s="29">
        <v>1089</v>
      </c>
      <c r="B1139" s="99">
        <f t="shared" si="134"/>
        <v>0</v>
      </c>
      <c r="C1139" s="75">
        <f t="shared" si="138"/>
        <v>104.50616427295054</v>
      </c>
      <c r="D1139" s="100">
        <f t="shared" si="135"/>
        <v>445.77777777777789</v>
      </c>
      <c r="E1139">
        <f t="shared" ref="E1139:E1202" si="139">((D1139^2)+(D1139*D1140)+(D1140^2))*B1140/3</f>
        <v>0</v>
      </c>
      <c r="G1139">
        <v>1089</v>
      </c>
      <c r="H1139" s="15">
        <f t="shared" si="136"/>
        <v>3.3332641781299799E-2</v>
      </c>
      <c r="I1139">
        <f t="shared" si="137"/>
        <v>140.80541117277602</v>
      </c>
      <c r="J1139">
        <f t="shared" ref="J1139:J1202" si="140">IF($G$28&lt;$C$14,0,((($C$11^2)-((I1139-$C$13)^2))^0.5)+$C$16)</f>
        <v>486.00844805982439</v>
      </c>
      <c r="K1139" s="30">
        <f t="shared" ref="K1139:K1202" si="141">((J1139^2)+(J1139*J1140)+(J1140^2))*H1140/3</f>
        <v>7873.6511895830445</v>
      </c>
    </row>
    <row r="1140" spans="1:11" x14ac:dyDescent="0.25">
      <c r="A1140" s="29">
        <v>1090</v>
      </c>
      <c r="B1140" s="99">
        <f t="shared" ref="B1140:B1203" si="142">C1140-C1139</f>
        <v>0</v>
      </c>
      <c r="C1140" s="75">
        <f t="shared" si="138"/>
        <v>104.50616427295054</v>
      </c>
      <c r="D1140" s="100">
        <f t="shared" ref="D1140:D1203" si="143">IF($G$28&lt;$C$14,0,((($C$11^2)-((C1140-$C$13)^2))^0.5)+$C$16)</f>
        <v>445.77777777777789</v>
      </c>
      <c r="E1140">
        <f t="shared" si="139"/>
        <v>0</v>
      </c>
      <c r="G1140">
        <v>1090</v>
      </c>
      <c r="H1140" s="15">
        <f t="shared" ref="H1140:H1203" si="144">I1140-I1139</f>
        <v>3.3332641781299799E-2</v>
      </c>
      <c r="I1140">
        <f t="shared" ref="I1140:I1203" si="145">($G$27-$C$14)/2000+I1139</f>
        <v>140.83874381455732</v>
      </c>
      <c r="J1140">
        <f t="shared" si="140"/>
        <v>486.02948594856059</v>
      </c>
      <c r="K1140" s="30">
        <f t="shared" si="141"/>
        <v>7874.3325477396575</v>
      </c>
    </row>
    <row r="1141" spans="1:11" x14ac:dyDescent="0.25">
      <c r="A1141" s="29">
        <v>1091</v>
      </c>
      <c r="B1141" s="99">
        <f t="shared" si="142"/>
        <v>0</v>
      </c>
      <c r="C1141" s="75">
        <f t="shared" si="138"/>
        <v>104.50616427295054</v>
      </c>
      <c r="D1141" s="100">
        <f t="shared" si="143"/>
        <v>445.77777777777789</v>
      </c>
      <c r="E1141">
        <f t="shared" si="139"/>
        <v>0</v>
      </c>
      <c r="G1141">
        <v>1091</v>
      </c>
      <c r="H1141" s="15">
        <f t="shared" si="144"/>
        <v>3.3332641781299799E-2</v>
      </c>
      <c r="I1141">
        <f t="shared" si="145"/>
        <v>140.87207645633862</v>
      </c>
      <c r="J1141">
        <f t="shared" si="140"/>
        <v>486.05050552676823</v>
      </c>
      <c r="K1141" s="30">
        <f t="shared" si="141"/>
        <v>7875.0133422732906</v>
      </c>
    </row>
    <row r="1142" spans="1:11" x14ac:dyDescent="0.25">
      <c r="A1142" s="29">
        <v>1092</v>
      </c>
      <c r="B1142" s="99">
        <f t="shared" si="142"/>
        <v>0</v>
      </c>
      <c r="C1142" s="75">
        <f t="shared" si="138"/>
        <v>104.50616427295054</v>
      </c>
      <c r="D1142" s="100">
        <f t="shared" si="143"/>
        <v>445.77777777777789</v>
      </c>
      <c r="E1142">
        <f t="shared" si="139"/>
        <v>0</v>
      </c>
      <c r="G1142">
        <v>1092</v>
      </c>
      <c r="H1142" s="15">
        <f t="shared" si="144"/>
        <v>3.3332641781299799E-2</v>
      </c>
      <c r="I1142">
        <f t="shared" si="145"/>
        <v>140.90540909811992</v>
      </c>
      <c r="J1142">
        <f t="shared" si="140"/>
        <v>486.07150680805194</v>
      </c>
      <c r="K1142" s="30">
        <f t="shared" si="141"/>
        <v>7875.6935735474754</v>
      </c>
    </row>
    <row r="1143" spans="1:11" x14ac:dyDescent="0.25">
      <c r="A1143" s="29">
        <v>1093</v>
      </c>
      <c r="B1143" s="99">
        <f t="shared" si="142"/>
        <v>0</v>
      </c>
      <c r="C1143" s="75">
        <f t="shared" si="138"/>
        <v>104.50616427295054</v>
      </c>
      <c r="D1143" s="100">
        <f t="shared" si="143"/>
        <v>445.77777777777789</v>
      </c>
      <c r="E1143">
        <f t="shared" si="139"/>
        <v>0</v>
      </c>
      <c r="G1143">
        <v>1093</v>
      </c>
      <c r="H1143" s="15">
        <f t="shared" si="144"/>
        <v>3.3332641781299799E-2</v>
      </c>
      <c r="I1143">
        <f t="shared" si="145"/>
        <v>140.93874173990122</v>
      </c>
      <c r="J1143">
        <f t="shared" si="140"/>
        <v>486.09248980599085</v>
      </c>
      <c r="K1143" s="30">
        <f t="shared" si="141"/>
        <v>7876.3732419250637</v>
      </c>
    </row>
    <row r="1144" spans="1:11" x14ac:dyDescent="0.25">
      <c r="A1144" s="29">
        <v>1094</v>
      </c>
      <c r="B1144" s="99">
        <f t="shared" si="142"/>
        <v>0</v>
      </c>
      <c r="C1144" s="75">
        <f t="shared" si="138"/>
        <v>104.50616427295054</v>
      </c>
      <c r="D1144" s="100">
        <f t="shared" si="143"/>
        <v>445.77777777777789</v>
      </c>
      <c r="E1144">
        <f t="shared" si="139"/>
        <v>0</v>
      </c>
      <c r="G1144">
        <v>1094</v>
      </c>
      <c r="H1144" s="15">
        <f t="shared" si="144"/>
        <v>3.3332641781299799E-2</v>
      </c>
      <c r="I1144">
        <f t="shared" si="145"/>
        <v>140.97207438168252</v>
      </c>
      <c r="J1144">
        <f t="shared" si="140"/>
        <v>486.11345453413901</v>
      </c>
      <c r="K1144" s="30">
        <f t="shared" si="141"/>
        <v>7877.0523477682427</v>
      </c>
    </row>
    <row r="1145" spans="1:11" x14ac:dyDescent="0.25">
      <c r="A1145" s="29">
        <v>1095</v>
      </c>
      <c r="B1145" s="99">
        <f t="shared" si="142"/>
        <v>0</v>
      </c>
      <c r="C1145" s="75">
        <f t="shared" si="138"/>
        <v>104.50616427295054</v>
      </c>
      <c r="D1145" s="100">
        <f t="shared" si="143"/>
        <v>445.77777777777789</v>
      </c>
      <c r="E1145">
        <f t="shared" si="139"/>
        <v>0</v>
      </c>
      <c r="G1145">
        <v>1095</v>
      </c>
      <c r="H1145" s="15">
        <f t="shared" si="144"/>
        <v>3.3332641781299799E-2</v>
      </c>
      <c r="I1145">
        <f t="shared" si="145"/>
        <v>141.00540702346382</v>
      </c>
      <c r="J1145">
        <f t="shared" si="140"/>
        <v>486.13440100602537</v>
      </c>
      <c r="K1145" s="30">
        <f t="shared" si="141"/>
        <v>7877.7308914385139</v>
      </c>
    </row>
    <row r="1146" spans="1:11" x14ac:dyDescent="0.25">
      <c r="A1146" s="29">
        <v>1096</v>
      </c>
      <c r="B1146" s="99">
        <f t="shared" si="142"/>
        <v>0</v>
      </c>
      <c r="C1146" s="75">
        <f t="shared" si="138"/>
        <v>104.50616427295054</v>
      </c>
      <c r="D1146" s="100">
        <f t="shared" si="143"/>
        <v>445.77777777777789</v>
      </c>
      <c r="E1146">
        <f t="shared" si="139"/>
        <v>0</v>
      </c>
      <c r="G1146">
        <v>1096</v>
      </c>
      <c r="H1146" s="15">
        <f t="shared" si="144"/>
        <v>3.3332641781299799E-2</v>
      </c>
      <c r="I1146">
        <f t="shared" si="145"/>
        <v>141.03873966524512</v>
      </c>
      <c r="J1146">
        <f t="shared" si="140"/>
        <v>486.15532923515354</v>
      </c>
      <c r="K1146" s="30">
        <f t="shared" si="141"/>
        <v>7878.4088732967184</v>
      </c>
    </row>
    <row r="1147" spans="1:11" x14ac:dyDescent="0.25">
      <c r="A1147" s="29">
        <v>1097</v>
      </c>
      <c r="B1147" s="99">
        <f t="shared" si="142"/>
        <v>0</v>
      </c>
      <c r="C1147" s="75">
        <f t="shared" si="138"/>
        <v>104.50616427295054</v>
      </c>
      <c r="D1147" s="100">
        <f t="shared" si="143"/>
        <v>445.77777777777789</v>
      </c>
      <c r="E1147">
        <f t="shared" si="139"/>
        <v>0</v>
      </c>
      <c r="G1147">
        <v>1097</v>
      </c>
      <c r="H1147" s="15">
        <f t="shared" si="144"/>
        <v>3.3332641781299799E-2</v>
      </c>
      <c r="I1147">
        <f t="shared" si="145"/>
        <v>141.07207230702642</v>
      </c>
      <c r="J1147">
        <f t="shared" si="140"/>
        <v>486.17623923500219</v>
      </c>
      <c r="K1147" s="30">
        <f t="shared" si="141"/>
        <v>7879.0862937030188</v>
      </c>
    </row>
    <row r="1148" spans="1:11" x14ac:dyDescent="0.25">
      <c r="A1148" s="29">
        <v>1098</v>
      </c>
      <c r="B1148" s="99">
        <f t="shared" si="142"/>
        <v>0</v>
      </c>
      <c r="C1148" s="75">
        <f t="shared" si="138"/>
        <v>104.50616427295054</v>
      </c>
      <c r="D1148" s="100">
        <f t="shared" si="143"/>
        <v>445.77777777777789</v>
      </c>
      <c r="E1148">
        <f t="shared" si="139"/>
        <v>0</v>
      </c>
      <c r="G1148">
        <v>1098</v>
      </c>
      <c r="H1148" s="15">
        <f t="shared" si="144"/>
        <v>3.3332641781299799E-2</v>
      </c>
      <c r="I1148">
        <f t="shared" si="145"/>
        <v>141.10540494880772</v>
      </c>
      <c r="J1148">
        <f t="shared" si="140"/>
        <v>486.19713101902494</v>
      </c>
      <c r="K1148" s="30">
        <f t="shared" si="141"/>
        <v>7879.7631530169201</v>
      </c>
    </row>
    <row r="1149" spans="1:11" x14ac:dyDescent="0.25">
      <c r="A1149" s="29">
        <v>1099</v>
      </c>
      <c r="B1149" s="99">
        <f t="shared" si="142"/>
        <v>0</v>
      </c>
      <c r="C1149" s="75">
        <f t="shared" si="138"/>
        <v>104.50616427295054</v>
      </c>
      <c r="D1149" s="100">
        <f t="shared" si="143"/>
        <v>445.77777777777789</v>
      </c>
      <c r="E1149">
        <f t="shared" si="139"/>
        <v>0</v>
      </c>
      <c r="G1149">
        <v>1099</v>
      </c>
      <c r="H1149" s="15">
        <f t="shared" si="144"/>
        <v>3.3332641781299799E-2</v>
      </c>
      <c r="I1149">
        <f t="shared" si="145"/>
        <v>141.13873759058902</v>
      </c>
      <c r="J1149">
        <f t="shared" si="140"/>
        <v>486.21800460065066</v>
      </c>
      <c r="K1149" s="30">
        <f t="shared" si="141"/>
        <v>7880.4394515972526</v>
      </c>
    </row>
    <row r="1150" spans="1:11" x14ac:dyDescent="0.25">
      <c r="A1150" s="29">
        <v>1100</v>
      </c>
      <c r="B1150" s="99">
        <f t="shared" si="142"/>
        <v>0</v>
      </c>
      <c r="C1150" s="75">
        <f t="shared" si="138"/>
        <v>104.50616427295054</v>
      </c>
      <c r="D1150" s="100">
        <f t="shared" si="143"/>
        <v>445.77777777777789</v>
      </c>
      <c r="E1150">
        <f t="shared" si="139"/>
        <v>0</v>
      </c>
      <c r="G1150">
        <v>1100</v>
      </c>
      <c r="H1150" s="15">
        <f t="shared" si="144"/>
        <v>3.3332641781299799E-2</v>
      </c>
      <c r="I1150">
        <f t="shared" si="145"/>
        <v>141.17207023237032</v>
      </c>
      <c r="J1150">
        <f t="shared" si="140"/>
        <v>486.23885999328309</v>
      </c>
      <c r="K1150" s="30">
        <f t="shared" si="141"/>
        <v>7881.1151898021863</v>
      </c>
    </row>
    <row r="1151" spans="1:11" x14ac:dyDescent="0.25">
      <c r="A1151" s="29">
        <v>1101</v>
      </c>
      <c r="B1151" s="99">
        <f t="shared" si="142"/>
        <v>0</v>
      </c>
      <c r="C1151" s="75">
        <f t="shared" si="138"/>
        <v>104.50616427295054</v>
      </c>
      <c r="D1151" s="100">
        <f t="shared" si="143"/>
        <v>445.77777777777789</v>
      </c>
      <c r="E1151">
        <f t="shared" si="139"/>
        <v>0</v>
      </c>
      <c r="G1151">
        <v>1101</v>
      </c>
      <c r="H1151" s="15">
        <f t="shared" si="144"/>
        <v>3.3332641781299799E-2</v>
      </c>
      <c r="I1151">
        <f t="shared" si="145"/>
        <v>141.20540287415162</v>
      </c>
      <c r="J1151">
        <f t="shared" si="140"/>
        <v>486.25969721030123</v>
      </c>
      <c r="K1151" s="30">
        <f t="shared" si="141"/>
        <v>7881.7903679892261</v>
      </c>
    </row>
    <row r="1152" spans="1:11" x14ac:dyDescent="0.25">
      <c r="A1152" s="29">
        <v>1102</v>
      </c>
      <c r="B1152" s="99">
        <f t="shared" si="142"/>
        <v>0</v>
      </c>
      <c r="C1152" s="75">
        <f t="shared" si="138"/>
        <v>104.50616427295054</v>
      </c>
      <c r="D1152" s="100">
        <f t="shared" si="143"/>
        <v>445.77777777777789</v>
      </c>
      <c r="E1152">
        <f t="shared" si="139"/>
        <v>0</v>
      </c>
      <c r="G1152">
        <v>1102</v>
      </c>
      <c r="H1152" s="15">
        <f t="shared" si="144"/>
        <v>3.3332641781299799E-2</v>
      </c>
      <c r="I1152">
        <f t="shared" si="145"/>
        <v>141.23873551593292</v>
      </c>
      <c r="J1152">
        <f t="shared" si="140"/>
        <v>486.28051626505942</v>
      </c>
      <c r="K1152" s="30">
        <f t="shared" si="141"/>
        <v>7882.4649865152169</v>
      </c>
    </row>
    <row r="1153" spans="1:11" x14ac:dyDescent="0.25">
      <c r="A1153" s="29">
        <v>1103</v>
      </c>
      <c r="B1153" s="99">
        <f t="shared" si="142"/>
        <v>0</v>
      </c>
      <c r="C1153" s="75">
        <f t="shared" si="138"/>
        <v>104.50616427295054</v>
      </c>
      <c r="D1153" s="100">
        <f t="shared" si="143"/>
        <v>445.77777777777789</v>
      </c>
      <c r="E1153">
        <f t="shared" si="139"/>
        <v>0</v>
      </c>
      <c r="G1153">
        <v>1103</v>
      </c>
      <c r="H1153" s="15">
        <f t="shared" si="144"/>
        <v>3.3332641781299799E-2</v>
      </c>
      <c r="I1153">
        <f t="shared" si="145"/>
        <v>141.27206815771422</v>
      </c>
      <c r="J1153">
        <f t="shared" si="140"/>
        <v>486.30131717088716</v>
      </c>
      <c r="K1153" s="30">
        <f t="shared" si="141"/>
        <v>7883.1390457363441</v>
      </c>
    </row>
    <row r="1154" spans="1:11" x14ac:dyDescent="0.25">
      <c r="A1154" s="29">
        <v>1104</v>
      </c>
      <c r="B1154" s="99">
        <f t="shared" si="142"/>
        <v>0</v>
      </c>
      <c r="C1154" s="75">
        <f t="shared" si="138"/>
        <v>104.50616427295054</v>
      </c>
      <c r="D1154" s="100">
        <f t="shared" si="143"/>
        <v>445.77777777777789</v>
      </c>
      <c r="E1154">
        <f t="shared" si="139"/>
        <v>0</v>
      </c>
      <c r="G1154">
        <v>1104</v>
      </c>
      <c r="H1154" s="15">
        <f t="shared" si="144"/>
        <v>3.3332641781299799E-2</v>
      </c>
      <c r="I1154">
        <f t="shared" si="145"/>
        <v>141.30540079949552</v>
      </c>
      <c r="J1154">
        <f t="shared" si="140"/>
        <v>486.32209994108939</v>
      </c>
      <c r="K1154" s="30">
        <f t="shared" si="141"/>
        <v>7883.8125460081292</v>
      </c>
    </row>
    <row r="1155" spans="1:11" x14ac:dyDescent="0.25">
      <c r="A1155" s="29">
        <v>1105</v>
      </c>
      <c r="B1155" s="99">
        <f t="shared" si="142"/>
        <v>0</v>
      </c>
      <c r="C1155" s="75">
        <f t="shared" si="138"/>
        <v>104.50616427295054</v>
      </c>
      <c r="D1155" s="100">
        <f t="shared" si="143"/>
        <v>445.77777777777789</v>
      </c>
      <c r="E1155">
        <f t="shared" si="139"/>
        <v>0</v>
      </c>
      <c r="G1155">
        <v>1105</v>
      </c>
      <c r="H1155" s="15">
        <f t="shared" si="144"/>
        <v>3.3332641781299799E-2</v>
      </c>
      <c r="I1155">
        <f t="shared" si="145"/>
        <v>141.33873344127682</v>
      </c>
      <c r="J1155">
        <f t="shared" si="140"/>
        <v>486.34286458894644</v>
      </c>
      <c r="K1155" s="30">
        <f t="shared" si="141"/>
        <v>7884.4854876854479</v>
      </c>
    </row>
    <row r="1156" spans="1:11" x14ac:dyDescent="0.25">
      <c r="A1156" s="29">
        <v>1106</v>
      </c>
      <c r="B1156" s="99">
        <f t="shared" si="142"/>
        <v>0</v>
      </c>
      <c r="C1156" s="75">
        <f t="shared" si="138"/>
        <v>104.50616427295054</v>
      </c>
      <c r="D1156" s="100">
        <f t="shared" si="143"/>
        <v>445.77777777777789</v>
      </c>
      <c r="E1156">
        <f t="shared" si="139"/>
        <v>0</v>
      </c>
      <c r="G1156">
        <v>1106</v>
      </c>
      <c r="H1156" s="15">
        <f t="shared" si="144"/>
        <v>3.3332641781299799E-2</v>
      </c>
      <c r="I1156">
        <f t="shared" si="145"/>
        <v>141.37206608305812</v>
      </c>
      <c r="J1156">
        <f t="shared" si="140"/>
        <v>486.36361112771414</v>
      </c>
      <c r="K1156" s="30">
        <f t="shared" si="141"/>
        <v>7885.1578711225111</v>
      </c>
    </row>
    <row r="1157" spans="1:11" x14ac:dyDescent="0.25">
      <c r="A1157" s="29">
        <v>1107</v>
      </c>
      <c r="B1157" s="99">
        <f t="shared" si="142"/>
        <v>0</v>
      </c>
      <c r="C1157" s="75">
        <f t="shared" si="138"/>
        <v>104.50616427295054</v>
      </c>
      <c r="D1157" s="100">
        <f t="shared" si="143"/>
        <v>445.77777777777789</v>
      </c>
      <c r="E1157">
        <f t="shared" si="139"/>
        <v>0</v>
      </c>
      <c r="G1157">
        <v>1107</v>
      </c>
      <c r="H1157" s="15">
        <f t="shared" si="144"/>
        <v>3.3332641781299799E-2</v>
      </c>
      <c r="I1157">
        <f t="shared" si="145"/>
        <v>141.40539872483942</v>
      </c>
      <c r="J1157">
        <f t="shared" si="140"/>
        <v>486.38433957062381</v>
      </c>
      <c r="K1157" s="30">
        <f t="shared" si="141"/>
        <v>7885.8296966728776</v>
      </c>
    </row>
    <row r="1158" spans="1:11" x14ac:dyDescent="0.25">
      <c r="A1158" s="29">
        <v>1108</v>
      </c>
      <c r="B1158" s="99">
        <f t="shared" si="142"/>
        <v>0</v>
      </c>
      <c r="C1158" s="75">
        <f t="shared" si="138"/>
        <v>104.50616427295054</v>
      </c>
      <c r="D1158" s="100">
        <f t="shared" si="143"/>
        <v>445.77777777777789</v>
      </c>
      <c r="E1158">
        <f t="shared" si="139"/>
        <v>0</v>
      </c>
      <c r="G1158">
        <v>1108</v>
      </c>
      <c r="H1158" s="15">
        <f t="shared" si="144"/>
        <v>3.3332641781299799E-2</v>
      </c>
      <c r="I1158">
        <f t="shared" si="145"/>
        <v>141.43873136662071</v>
      </c>
      <c r="J1158">
        <f t="shared" si="140"/>
        <v>486.40504993088234</v>
      </c>
      <c r="K1158" s="30">
        <f t="shared" si="141"/>
        <v>7886.5009646894587</v>
      </c>
    </row>
    <row r="1159" spans="1:11" x14ac:dyDescent="0.25">
      <c r="A1159" s="29">
        <v>1109</v>
      </c>
      <c r="B1159" s="99">
        <f t="shared" si="142"/>
        <v>0</v>
      </c>
      <c r="C1159" s="75">
        <f t="shared" si="138"/>
        <v>104.50616427295054</v>
      </c>
      <c r="D1159" s="100">
        <f t="shared" si="143"/>
        <v>445.77777777777789</v>
      </c>
      <c r="E1159">
        <f t="shared" si="139"/>
        <v>0</v>
      </c>
      <c r="G1159">
        <v>1109</v>
      </c>
      <c r="H1159" s="15">
        <f t="shared" si="144"/>
        <v>3.3332641781299799E-2</v>
      </c>
      <c r="I1159">
        <f t="shared" si="145"/>
        <v>141.47206400840201</v>
      </c>
      <c r="J1159">
        <f t="shared" si="140"/>
        <v>486.42574222167241</v>
      </c>
      <c r="K1159" s="30">
        <f t="shared" si="141"/>
        <v>7887.1716755245106</v>
      </c>
    </row>
    <row r="1160" spans="1:11" x14ac:dyDescent="0.25">
      <c r="A1160" s="29">
        <v>1110</v>
      </c>
      <c r="B1160" s="99">
        <f t="shared" si="142"/>
        <v>0</v>
      </c>
      <c r="C1160" s="75">
        <f t="shared" si="138"/>
        <v>104.50616427295054</v>
      </c>
      <c r="D1160" s="100">
        <f t="shared" si="143"/>
        <v>445.77777777777789</v>
      </c>
      <c r="E1160">
        <f t="shared" si="139"/>
        <v>0</v>
      </c>
      <c r="G1160">
        <v>1110</v>
      </c>
      <c r="H1160" s="15">
        <f t="shared" si="144"/>
        <v>3.3332641781299799E-2</v>
      </c>
      <c r="I1160">
        <f t="shared" si="145"/>
        <v>141.50539665018331</v>
      </c>
      <c r="J1160">
        <f t="shared" si="140"/>
        <v>486.44641645615218</v>
      </c>
      <c r="K1160" s="30">
        <f t="shared" si="141"/>
        <v>7887.8418295296433</v>
      </c>
    </row>
    <row r="1161" spans="1:11" x14ac:dyDescent="0.25">
      <c r="A1161" s="29">
        <v>1111</v>
      </c>
      <c r="B1161" s="99">
        <f t="shared" si="142"/>
        <v>0</v>
      </c>
      <c r="C1161" s="75">
        <f t="shared" si="138"/>
        <v>104.50616427295054</v>
      </c>
      <c r="D1161" s="100">
        <f t="shared" si="143"/>
        <v>445.77777777777789</v>
      </c>
      <c r="E1161">
        <f t="shared" si="139"/>
        <v>0</v>
      </c>
      <c r="G1161">
        <v>1111</v>
      </c>
      <c r="H1161" s="15">
        <f t="shared" si="144"/>
        <v>3.3332641781299799E-2</v>
      </c>
      <c r="I1161">
        <f t="shared" si="145"/>
        <v>141.53872929196461</v>
      </c>
      <c r="J1161">
        <f t="shared" si="140"/>
        <v>486.46707264745578</v>
      </c>
      <c r="K1161" s="30">
        <f t="shared" si="141"/>
        <v>7888.5114270558179</v>
      </c>
    </row>
    <row r="1162" spans="1:11" x14ac:dyDescent="0.25">
      <c r="A1162" s="29">
        <v>1112</v>
      </c>
      <c r="B1162" s="99">
        <f t="shared" si="142"/>
        <v>0</v>
      </c>
      <c r="C1162" s="75">
        <f t="shared" si="138"/>
        <v>104.50616427295054</v>
      </c>
      <c r="D1162" s="100">
        <f t="shared" si="143"/>
        <v>445.77777777777789</v>
      </c>
      <c r="E1162">
        <f t="shared" si="139"/>
        <v>0</v>
      </c>
      <c r="G1162">
        <v>1112</v>
      </c>
      <c r="H1162" s="15">
        <f t="shared" si="144"/>
        <v>3.3332641781299799E-2</v>
      </c>
      <c r="I1162">
        <f t="shared" si="145"/>
        <v>141.57206193374591</v>
      </c>
      <c r="J1162">
        <f t="shared" si="140"/>
        <v>486.48771080869301</v>
      </c>
      <c r="K1162" s="30">
        <f t="shared" si="141"/>
        <v>7889.1804684533463</v>
      </c>
    </row>
    <row r="1163" spans="1:11" x14ac:dyDescent="0.25">
      <c r="A1163" s="29">
        <v>1113</v>
      </c>
      <c r="B1163" s="99">
        <f t="shared" si="142"/>
        <v>0</v>
      </c>
      <c r="C1163" s="75">
        <f t="shared" si="138"/>
        <v>104.50616427295054</v>
      </c>
      <c r="D1163" s="100">
        <f t="shared" si="143"/>
        <v>445.77777777777789</v>
      </c>
      <c r="E1163">
        <f t="shared" si="139"/>
        <v>0</v>
      </c>
      <c r="G1163">
        <v>1113</v>
      </c>
      <c r="H1163" s="15">
        <f t="shared" si="144"/>
        <v>3.3332641781299799E-2</v>
      </c>
      <c r="I1163">
        <f t="shared" si="145"/>
        <v>141.60539457552721</v>
      </c>
      <c r="J1163">
        <f t="shared" si="140"/>
        <v>486.50833095294962</v>
      </c>
      <c r="K1163" s="30">
        <f t="shared" si="141"/>
        <v>7889.848954071902</v>
      </c>
    </row>
    <row r="1164" spans="1:11" x14ac:dyDescent="0.25">
      <c r="A1164" s="29">
        <v>1114</v>
      </c>
      <c r="B1164" s="99">
        <f t="shared" si="142"/>
        <v>0</v>
      </c>
      <c r="C1164" s="75">
        <f t="shared" si="138"/>
        <v>104.50616427295054</v>
      </c>
      <c r="D1164" s="100">
        <f t="shared" si="143"/>
        <v>445.77777777777789</v>
      </c>
      <c r="E1164">
        <f t="shared" si="139"/>
        <v>0</v>
      </c>
      <c r="G1164">
        <v>1114</v>
      </c>
      <c r="H1164" s="15">
        <f t="shared" si="144"/>
        <v>3.3332641781299799E-2</v>
      </c>
      <c r="I1164">
        <f t="shared" si="145"/>
        <v>141.63872721730851</v>
      </c>
      <c r="J1164">
        <f t="shared" si="140"/>
        <v>486.52893309328726</v>
      </c>
      <c r="K1164" s="30">
        <f t="shared" si="141"/>
        <v>7890.5168842605126</v>
      </c>
    </row>
    <row r="1165" spans="1:11" x14ac:dyDescent="0.25">
      <c r="A1165" s="29">
        <v>1115</v>
      </c>
      <c r="B1165" s="99">
        <f t="shared" si="142"/>
        <v>0</v>
      </c>
      <c r="C1165" s="75">
        <f t="shared" si="138"/>
        <v>104.50616427295054</v>
      </c>
      <c r="D1165" s="100">
        <f t="shared" si="143"/>
        <v>445.77777777777789</v>
      </c>
      <c r="E1165">
        <f t="shared" si="139"/>
        <v>0</v>
      </c>
      <c r="G1165">
        <v>1115</v>
      </c>
      <c r="H1165" s="15">
        <f t="shared" si="144"/>
        <v>3.3332641781299799E-2</v>
      </c>
      <c r="I1165">
        <f t="shared" si="145"/>
        <v>141.67205985908981</v>
      </c>
      <c r="J1165">
        <f t="shared" si="140"/>
        <v>486.54951724274366</v>
      </c>
      <c r="K1165" s="30">
        <f t="shared" si="141"/>
        <v>7891.1842593675638</v>
      </c>
    </row>
    <row r="1166" spans="1:11" x14ac:dyDescent="0.25">
      <c r="A1166" s="29">
        <v>1116</v>
      </c>
      <c r="B1166" s="99">
        <f t="shared" si="142"/>
        <v>0</v>
      </c>
      <c r="C1166" s="75">
        <f t="shared" si="138"/>
        <v>104.50616427295054</v>
      </c>
      <c r="D1166" s="100">
        <f t="shared" si="143"/>
        <v>445.77777777777789</v>
      </c>
      <c r="E1166">
        <f t="shared" si="139"/>
        <v>0</v>
      </c>
      <c r="G1166">
        <v>1116</v>
      </c>
      <c r="H1166" s="15">
        <f t="shared" si="144"/>
        <v>3.3332641781299799E-2</v>
      </c>
      <c r="I1166">
        <f t="shared" si="145"/>
        <v>141.70539250087111</v>
      </c>
      <c r="J1166">
        <f t="shared" si="140"/>
        <v>486.57008341433243</v>
      </c>
      <c r="K1166" s="30">
        <f t="shared" si="141"/>
        <v>7891.8510797408026</v>
      </c>
    </row>
    <row r="1167" spans="1:11" x14ac:dyDescent="0.25">
      <c r="A1167" s="29">
        <v>1117</v>
      </c>
      <c r="B1167" s="99">
        <f t="shared" si="142"/>
        <v>0</v>
      </c>
      <c r="C1167" s="75">
        <f t="shared" si="138"/>
        <v>104.50616427295054</v>
      </c>
      <c r="D1167" s="100">
        <f t="shared" si="143"/>
        <v>445.77777777777789</v>
      </c>
      <c r="E1167">
        <f t="shared" si="139"/>
        <v>0</v>
      </c>
      <c r="G1167">
        <v>1117</v>
      </c>
      <c r="H1167" s="15">
        <f t="shared" si="144"/>
        <v>3.3332641781299799E-2</v>
      </c>
      <c r="I1167">
        <f t="shared" si="145"/>
        <v>141.73872514265241</v>
      </c>
      <c r="J1167">
        <f t="shared" si="140"/>
        <v>486.59063162104343</v>
      </c>
      <c r="K1167" s="30">
        <f t="shared" si="141"/>
        <v>7892.5173457273368</v>
      </c>
    </row>
    <row r="1168" spans="1:11" x14ac:dyDescent="0.25">
      <c r="A1168" s="29">
        <v>1118</v>
      </c>
      <c r="B1168" s="99">
        <f t="shared" si="142"/>
        <v>0</v>
      </c>
      <c r="C1168" s="75">
        <f t="shared" ref="C1168:C1231" si="146">($C$37-$C$36)/2000+C1167</f>
        <v>104.50616427295054</v>
      </c>
      <c r="D1168" s="100">
        <f t="shared" si="143"/>
        <v>445.77777777777789</v>
      </c>
      <c r="E1168">
        <f t="shared" si="139"/>
        <v>0</v>
      </c>
      <c r="G1168">
        <v>1118</v>
      </c>
      <c r="H1168" s="15">
        <f t="shared" si="144"/>
        <v>3.3332641781299799E-2</v>
      </c>
      <c r="I1168">
        <f t="shared" si="145"/>
        <v>141.77205778443371</v>
      </c>
      <c r="J1168">
        <f t="shared" si="140"/>
        <v>486.61116187584264</v>
      </c>
      <c r="K1168" s="30">
        <f t="shared" si="141"/>
        <v>7893.1830576736356</v>
      </c>
    </row>
    <row r="1169" spans="1:11" x14ac:dyDescent="0.25">
      <c r="A1169" s="29">
        <v>1119</v>
      </c>
      <c r="B1169" s="99">
        <f t="shared" si="142"/>
        <v>0</v>
      </c>
      <c r="C1169" s="75">
        <f t="shared" si="146"/>
        <v>104.50616427295054</v>
      </c>
      <c r="D1169" s="100">
        <f t="shared" si="143"/>
        <v>445.77777777777789</v>
      </c>
      <c r="E1169">
        <f t="shared" si="139"/>
        <v>0</v>
      </c>
      <c r="G1169">
        <v>1119</v>
      </c>
      <c r="H1169" s="15">
        <f t="shared" si="144"/>
        <v>3.3332641781299799E-2</v>
      </c>
      <c r="I1169">
        <f t="shared" si="145"/>
        <v>141.80539042621501</v>
      </c>
      <c r="J1169">
        <f t="shared" si="140"/>
        <v>486.63167419167218</v>
      </c>
      <c r="K1169" s="30">
        <f t="shared" si="141"/>
        <v>7893.8482159255391</v>
      </c>
    </row>
    <row r="1170" spans="1:11" x14ac:dyDescent="0.25">
      <c r="A1170" s="29">
        <v>1120</v>
      </c>
      <c r="B1170" s="99">
        <f t="shared" si="142"/>
        <v>0</v>
      </c>
      <c r="C1170" s="75">
        <f t="shared" si="146"/>
        <v>104.50616427295054</v>
      </c>
      <c r="D1170" s="100">
        <f t="shared" si="143"/>
        <v>445.77777777777789</v>
      </c>
      <c r="E1170">
        <f t="shared" si="139"/>
        <v>0</v>
      </c>
      <c r="G1170">
        <v>1120</v>
      </c>
      <c r="H1170" s="15">
        <f t="shared" si="144"/>
        <v>3.3332641781299799E-2</v>
      </c>
      <c r="I1170">
        <f t="shared" si="145"/>
        <v>141.83872306799631</v>
      </c>
      <c r="J1170">
        <f t="shared" si="140"/>
        <v>486.65216858145055</v>
      </c>
      <c r="K1170" s="30">
        <f t="shared" si="141"/>
        <v>7894.512820828244</v>
      </c>
    </row>
    <row r="1171" spans="1:11" x14ac:dyDescent="0.25">
      <c r="A1171" s="29">
        <v>1121</v>
      </c>
      <c r="B1171" s="99">
        <f t="shared" si="142"/>
        <v>0</v>
      </c>
      <c r="C1171" s="75">
        <f t="shared" si="146"/>
        <v>104.50616427295054</v>
      </c>
      <c r="D1171" s="100">
        <f t="shared" si="143"/>
        <v>445.77777777777789</v>
      </c>
      <c r="E1171">
        <f t="shared" si="139"/>
        <v>0</v>
      </c>
      <c r="G1171">
        <v>1121</v>
      </c>
      <c r="H1171" s="15">
        <f t="shared" si="144"/>
        <v>3.3332641781299799E-2</v>
      </c>
      <c r="I1171">
        <f t="shared" si="145"/>
        <v>141.87205570977761</v>
      </c>
      <c r="J1171">
        <f t="shared" si="140"/>
        <v>486.67264505807253</v>
      </c>
      <c r="K1171" s="30">
        <f t="shared" si="141"/>
        <v>7895.1768727263234</v>
      </c>
    </row>
    <row r="1172" spans="1:11" x14ac:dyDescent="0.25">
      <c r="A1172" s="29">
        <v>1122</v>
      </c>
      <c r="B1172" s="99">
        <f t="shared" si="142"/>
        <v>0</v>
      </c>
      <c r="C1172" s="75">
        <f t="shared" si="146"/>
        <v>104.50616427295054</v>
      </c>
      <c r="D1172" s="100">
        <f t="shared" si="143"/>
        <v>445.77777777777789</v>
      </c>
      <c r="E1172">
        <f t="shared" si="139"/>
        <v>0</v>
      </c>
      <c r="G1172">
        <v>1122</v>
      </c>
      <c r="H1172" s="15">
        <f t="shared" si="144"/>
        <v>3.3332641781299799E-2</v>
      </c>
      <c r="I1172">
        <f t="shared" si="145"/>
        <v>141.90538835155891</v>
      </c>
      <c r="J1172">
        <f t="shared" si="140"/>
        <v>486.69310363440923</v>
      </c>
      <c r="K1172" s="30">
        <f t="shared" si="141"/>
        <v>7895.8403719637126</v>
      </c>
    </row>
    <row r="1173" spans="1:11" x14ac:dyDescent="0.25">
      <c r="A1173" s="29">
        <v>1123</v>
      </c>
      <c r="B1173" s="99">
        <f t="shared" si="142"/>
        <v>0</v>
      </c>
      <c r="C1173" s="75">
        <f t="shared" si="146"/>
        <v>104.50616427295054</v>
      </c>
      <c r="D1173" s="100">
        <f t="shared" si="143"/>
        <v>445.77777777777789</v>
      </c>
      <c r="E1173">
        <f t="shared" si="139"/>
        <v>0</v>
      </c>
      <c r="G1173">
        <v>1123</v>
      </c>
      <c r="H1173" s="15">
        <f t="shared" si="144"/>
        <v>3.3332641781299799E-2</v>
      </c>
      <c r="I1173">
        <f t="shared" si="145"/>
        <v>141.93872099334021</v>
      </c>
      <c r="J1173">
        <f t="shared" si="140"/>
        <v>486.71354432330827</v>
      </c>
      <c r="K1173" s="30">
        <f t="shared" si="141"/>
        <v>7896.5033188837233</v>
      </c>
    </row>
    <row r="1174" spans="1:11" x14ac:dyDescent="0.25">
      <c r="A1174" s="29">
        <v>1124</v>
      </c>
      <c r="B1174" s="99">
        <f t="shared" si="142"/>
        <v>0</v>
      </c>
      <c r="C1174" s="75">
        <f t="shared" si="146"/>
        <v>104.50616427295054</v>
      </c>
      <c r="D1174" s="100">
        <f t="shared" si="143"/>
        <v>445.77777777777789</v>
      </c>
      <c r="E1174">
        <f t="shared" si="139"/>
        <v>0</v>
      </c>
      <c r="G1174">
        <v>1124</v>
      </c>
      <c r="H1174" s="15">
        <f t="shared" si="144"/>
        <v>3.3332641781299799E-2</v>
      </c>
      <c r="I1174">
        <f t="shared" si="145"/>
        <v>141.97205363512151</v>
      </c>
      <c r="J1174">
        <f t="shared" si="140"/>
        <v>486.73396713759371</v>
      </c>
      <c r="K1174" s="30">
        <f t="shared" si="141"/>
        <v>7897.165713829032</v>
      </c>
    </row>
    <row r="1175" spans="1:11" x14ac:dyDescent="0.25">
      <c r="A1175" s="29">
        <v>1125</v>
      </c>
      <c r="B1175" s="99">
        <f t="shared" si="142"/>
        <v>0</v>
      </c>
      <c r="C1175" s="75">
        <f t="shared" si="146"/>
        <v>104.50616427295054</v>
      </c>
      <c r="D1175" s="100">
        <f t="shared" si="143"/>
        <v>445.77777777777789</v>
      </c>
      <c r="E1175">
        <f t="shared" si="139"/>
        <v>0</v>
      </c>
      <c r="G1175">
        <v>1125</v>
      </c>
      <c r="H1175" s="15">
        <f t="shared" si="144"/>
        <v>3.3332641781299799E-2</v>
      </c>
      <c r="I1175">
        <f t="shared" si="145"/>
        <v>142.00538627690281</v>
      </c>
      <c r="J1175">
        <f t="shared" si="140"/>
        <v>486.75437209006617</v>
      </c>
      <c r="K1175" s="30">
        <f t="shared" si="141"/>
        <v>7897.8275571416971</v>
      </c>
    </row>
    <row r="1176" spans="1:11" x14ac:dyDescent="0.25">
      <c r="A1176" s="29">
        <v>1126</v>
      </c>
      <c r="B1176" s="99">
        <f t="shared" si="142"/>
        <v>0</v>
      </c>
      <c r="C1176" s="75">
        <f t="shared" si="146"/>
        <v>104.50616427295054</v>
      </c>
      <c r="D1176" s="100">
        <f t="shared" si="143"/>
        <v>445.77777777777789</v>
      </c>
      <c r="E1176">
        <f t="shared" si="139"/>
        <v>0</v>
      </c>
      <c r="G1176">
        <v>1126</v>
      </c>
      <c r="H1176" s="15">
        <f t="shared" si="144"/>
        <v>3.3332641781299799E-2</v>
      </c>
      <c r="I1176">
        <f t="shared" si="145"/>
        <v>142.03871891868411</v>
      </c>
      <c r="J1176">
        <f t="shared" si="140"/>
        <v>486.77475919350292</v>
      </c>
      <c r="K1176" s="30">
        <f t="shared" si="141"/>
        <v>7898.4888491631455</v>
      </c>
    </row>
    <row r="1177" spans="1:11" x14ac:dyDescent="0.25">
      <c r="A1177" s="29">
        <v>1127</v>
      </c>
      <c r="B1177" s="99">
        <f t="shared" si="142"/>
        <v>0</v>
      </c>
      <c r="C1177" s="75">
        <f t="shared" si="146"/>
        <v>104.50616427295054</v>
      </c>
      <c r="D1177" s="100">
        <f t="shared" si="143"/>
        <v>445.77777777777789</v>
      </c>
      <c r="E1177">
        <f t="shared" si="139"/>
        <v>0</v>
      </c>
      <c r="G1177">
        <v>1127</v>
      </c>
      <c r="H1177" s="15">
        <f t="shared" si="144"/>
        <v>3.3332641781299799E-2</v>
      </c>
      <c r="I1177">
        <f t="shared" si="145"/>
        <v>142.07205156046541</v>
      </c>
      <c r="J1177">
        <f t="shared" si="140"/>
        <v>486.79512846065785</v>
      </c>
      <c r="K1177" s="30">
        <f t="shared" si="141"/>
        <v>7899.1495902341821</v>
      </c>
    </row>
    <row r="1178" spans="1:11" x14ac:dyDescent="0.25">
      <c r="A1178" s="29">
        <v>1128</v>
      </c>
      <c r="B1178" s="99">
        <f t="shared" si="142"/>
        <v>0</v>
      </c>
      <c r="C1178" s="75">
        <f t="shared" si="146"/>
        <v>104.50616427295054</v>
      </c>
      <c r="D1178" s="100">
        <f t="shared" si="143"/>
        <v>445.77777777777789</v>
      </c>
      <c r="E1178">
        <f t="shared" si="139"/>
        <v>0</v>
      </c>
      <c r="G1178">
        <v>1128</v>
      </c>
      <c r="H1178" s="15">
        <f t="shared" si="144"/>
        <v>3.3332641781299799E-2</v>
      </c>
      <c r="I1178">
        <f t="shared" si="145"/>
        <v>142.10538420224671</v>
      </c>
      <c r="J1178">
        <f t="shared" si="140"/>
        <v>486.81547990426151</v>
      </c>
      <c r="K1178" s="30">
        <f t="shared" si="141"/>
        <v>7899.8097806949918</v>
      </c>
    </row>
    <row r="1179" spans="1:11" x14ac:dyDescent="0.25">
      <c r="A1179" s="29">
        <v>1129</v>
      </c>
      <c r="B1179" s="99">
        <f t="shared" si="142"/>
        <v>0</v>
      </c>
      <c r="C1179" s="75">
        <f t="shared" si="146"/>
        <v>104.50616427295054</v>
      </c>
      <c r="D1179" s="100">
        <f t="shared" si="143"/>
        <v>445.77777777777789</v>
      </c>
      <c r="E1179">
        <f t="shared" si="139"/>
        <v>0</v>
      </c>
      <c r="G1179">
        <v>1129</v>
      </c>
      <c r="H1179" s="15">
        <f t="shared" si="144"/>
        <v>3.3332641781299799E-2</v>
      </c>
      <c r="I1179">
        <f t="shared" si="145"/>
        <v>142.13871684402801</v>
      </c>
      <c r="J1179">
        <f t="shared" si="140"/>
        <v>486.83581353702129</v>
      </c>
      <c r="K1179" s="30">
        <f t="shared" si="141"/>
        <v>7900.469420885137</v>
      </c>
    </row>
    <row r="1180" spans="1:11" x14ac:dyDescent="0.25">
      <c r="A1180" s="29">
        <v>1130</v>
      </c>
      <c r="B1180" s="99">
        <f t="shared" si="142"/>
        <v>0</v>
      </c>
      <c r="C1180" s="75">
        <f t="shared" si="146"/>
        <v>104.50616427295054</v>
      </c>
      <c r="D1180" s="100">
        <f t="shared" si="143"/>
        <v>445.77777777777789</v>
      </c>
      <c r="E1180">
        <f t="shared" si="139"/>
        <v>0</v>
      </c>
      <c r="G1180">
        <v>1130</v>
      </c>
      <c r="H1180" s="15">
        <f t="shared" si="144"/>
        <v>3.3332641781299799E-2</v>
      </c>
      <c r="I1180">
        <f t="shared" si="145"/>
        <v>142.17204948580931</v>
      </c>
      <c r="J1180">
        <f t="shared" si="140"/>
        <v>486.85612937162136</v>
      </c>
      <c r="K1180" s="30">
        <f t="shared" si="141"/>
        <v>7901.12851114356</v>
      </c>
    </row>
    <row r="1181" spans="1:11" x14ac:dyDescent="0.25">
      <c r="A1181" s="29">
        <v>1131</v>
      </c>
      <c r="B1181" s="99">
        <f t="shared" si="142"/>
        <v>0</v>
      </c>
      <c r="C1181" s="75">
        <f t="shared" si="146"/>
        <v>104.50616427295054</v>
      </c>
      <c r="D1181" s="100">
        <f t="shared" si="143"/>
        <v>445.77777777777789</v>
      </c>
      <c r="E1181">
        <f t="shared" si="139"/>
        <v>0</v>
      </c>
      <c r="G1181">
        <v>1131</v>
      </c>
      <c r="H1181" s="15">
        <f t="shared" si="144"/>
        <v>3.3332641781299799E-2</v>
      </c>
      <c r="I1181">
        <f t="shared" si="145"/>
        <v>142.20538212759061</v>
      </c>
      <c r="J1181">
        <f t="shared" si="140"/>
        <v>486.87642742072273</v>
      </c>
      <c r="K1181" s="30">
        <f t="shared" si="141"/>
        <v>7901.7870518085847</v>
      </c>
    </row>
    <row r="1182" spans="1:11" x14ac:dyDescent="0.25">
      <c r="A1182" s="29">
        <v>1132</v>
      </c>
      <c r="B1182" s="99">
        <f t="shared" si="142"/>
        <v>0</v>
      </c>
      <c r="C1182" s="75">
        <f t="shared" si="146"/>
        <v>104.50616427295054</v>
      </c>
      <c r="D1182" s="100">
        <f t="shared" si="143"/>
        <v>445.77777777777789</v>
      </c>
      <c r="E1182">
        <f t="shared" si="139"/>
        <v>0</v>
      </c>
      <c r="G1182">
        <v>1132</v>
      </c>
      <c r="H1182" s="15">
        <f t="shared" si="144"/>
        <v>3.3332641781299799E-2</v>
      </c>
      <c r="I1182">
        <f t="shared" si="145"/>
        <v>142.23871476937191</v>
      </c>
      <c r="J1182">
        <f t="shared" si="140"/>
        <v>486.89670769696346</v>
      </c>
      <c r="K1182" s="30">
        <f t="shared" si="141"/>
        <v>7902.4450432179219</v>
      </c>
    </row>
    <row r="1183" spans="1:11" x14ac:dyDescent="0.25">
      <c r="A1183" s="29">
        <v>1133</v>
      </c>
      <c r="B1183" s="99">
        <f t="shared" si="142"/>
        <v>0</v>
      </c>
      <c r="C1183" s="75">
        <f t="shared" si="146"/>
        <v>104.50616427295054</v>
      </c>
      <c r="D1183" s="100">
        <f t="shared" si="143"/>
        <v>445.77777777777789</v>
      </c>
      <c r="E1183">
        <f t="shared" si="139"/>
        <v>0</v>
      </c>
      <c r="G1183">
        <v>1133</v>
      </c>
      <c r="H1183" s="15">
        <f t="shared" si="144"/>
        <v>3.3332641781299799E-2</v>
      </c>
      <c r="I1183">
        <f t="shared" si="145"/>
        <v>142.27204741115321</v>
      </c>
      <c r="J1183">
        <f t="shared" si="140"/>
        <v>486.91697021295846</v>
      </c>
      <c r="K1183" s="30">
        <f t="shared" si="141"/>
        <v>7903.1024857086659</v>
      </c>
    </row>
    <row r="1184" spans="1:11" x14ac:dyDescent="0.25">
      <c r="A1184" s="29">
        <v>1134</v>
      </c>
      <c r="B1184" s="99">
        <f t="shared" si="142"/>
        <v>0</v>
      </c>
      <c r="C1184" s="75">
        <f t="shared" si="146"/>
        <v>104.50616427295054</v>
      </c>
      <c r="D1184" s="100">
        <f t="shared" si="143"/>
        <v>445.77777777777789</v>
      </c>
      <c r="E1184">
        <f t="shared" si="139"/>
        <v>0</v>
      </c>
      <c r="G1184">
        <v>1134</v>
      </c>
      <c r="H1184" s="15">
        <f t="shared" si="144"/>
        <v>3.3332641781299799E-2</v>
      </c>
      <c r="I1184">
        <f t="shared" si="145"/>
        <v>142.30538005293451</v>
      </c>
      <c r="J1184">
        <f t="shared" si="140"/>
        <v>486.93721498129969</v>
      </c>
      <c r="K1184" s="30">
        <f t="shared" si="141"/>
        <v>7903.7593796172941</v>
      </c>
    </row>
    <row r="1185" spans="1:11" x14ac:dyDescent="0.25">
      <c r="A1185" s="29">
        <v>1135</v>
      </c>
      <c r="B1185" s="99">
        <f t="shared" si="142"/>
        <v>0</v>
      </c>
      <c r="C1185" s="75">
        <f t="shared" si="146"/>
        <v>104.50616427295054</v>
      </c>
      <c r="D1185" s="100">
        <f t="shared" si="143"/>
        <v>445.77777777777789</v>
      </c>
      <c r="E1185">
        <f t="shared" si="139"/>
        <v>0</v>
      </c>
      <c r="G1185">
        <v>1135</v>
      </c>
      <c r="H1185" s="15">
        <f t="shared" si="144"/>
        <v>3.3332641781299799E-2</v>
      </c>
      <c r="I1185">
        <f t="shared" si="145"/>
        <v>142.33871269471581</v>
      </c>
      <c r="J1185">
        <f t="shared" si="140"/>
        <v>486.95744201455619</v>
      </c>
      <c r="K1185" s="30">
        <f t="shared" si="141"/>
        <v>7904.4157252796767</v>
      </c>
    </row>
    <row r="1186" spans="1:11" x14ac:dyDescent="0.25">
      <c r="A1186" s="29">
        <v>1136</v>
      </c>
      <c r="B1186" s="99">
        <f t="shared" si="142"/>
        <v>0</v>
      </c>
      <c r="C1186" s="75">
        <f t="shared" si="146"/>
        <v>104.50616427295054</v>
      </c>
      <c r="D1186" s="100">
        <f t="shared" si="143"/>
        <v>445.77777777777789</v>
      </c>
      <c r="E1186">
        <f t="shared" si="139"/>
        <v>0</v>
      </c>
      <c r="G1186">
        <v>1136</v>
      </c>
      <c r="H1186" s="15">
        <f t="shared" si="144"/>
        <v>3.3332641781299799E-2</v>
      </c>
      <c r="I1186">
        <f t="shared" si="145"/>
        <v>142.37204533649711</v>
      </c>
      <c r="J1186">
        <f t="shared" si="140"/>
        <v>486.97765132527428</v>
      </c>
      <c r="K1186" s="30">
        <f t="shared" si="141"/>
        <v>7905.0715230310716</v>
      </c>
    </row>
    <row r="1187" spans="1:11" x14ac:dyDescent="0.25">
      <c r="A1187" s="29">
        <v>1137</v>
      </c>
      <c r="B1187" s="99">
        <f t="shared" si="142"/>
        <v>0</v>
      </c>
      <c r="C1187" s="75">
        <f t="shared" si="146"/>
        <v>104.50616427295054</v>
      </c>
      <c r="D1187" s="100">
        <f t="shared" si="143"/>
        <v>445.77777777777789</v>
      </c>
      <c r="E1187">
        <f t="shared" si="139"/>
        <v>0</v>
      </c>
      <c r="G1187">
        <v>1137</v>
      </c>
      <c r="H1187" s="15">
        <f t="shared" si="144"/>
        <v>3.3332641781299799E-2</v>
      </c>
      <c r="I1187">
        <f t="shared" si="145"/>
        <v>142.40537797827841</v>
      </c>
      <c r="J1187">
        <f t="shared" si="140"/>
        <v>486.9978429259773</v>
      </c>
      <c r="K1187" s="30">
        <f t="shared" si="141"/>
        <v>7905.7267732061255</v>
      </c>
    </row>
    <row r="1188" spans="1:11" x14ac:dyDescent="0.25">
      <c r="A1188" s="29">
        <v>1138</v>
      </c>
      <c r="B1188" s="99">
        <f t="shared" si="142"/>
        <v>0</v>
      </c>
      <c r="C1188" s="75">
        <f t="shared" si="146"/>
        <v>104.50616427295054</v>
      </c>
      <c r="D1188" s="100">
        <f t="shared" si="143"/>
        <v>445.77777777777789</v>
      </c>
      <c r="E1188">
        <f t="shared" si="139"/>
        <v>0</v>
      </c>
      <c r="G1188">
        <v>1138</v>
      </c>
      <c r="H1188" s="15">
        <f t="shared" si="144"/>
        <v>3.3332641781299799E-2</v>
      </c>
      <c r="I1188">
        <f t="shared" si="145"/>
        <v>142.43871062005971</v>
      </c>
      <c r="J1188">
        <f t="shared" si="140"/>
        <v>487.01801682916584</v>
      </c>
      <c r="K1188" s="30">
        <f t="shared" si="141"/>
        <v>7906.3814761388776</v>
      </c>
    </row>
    <row r="1189" spans="1:11" x14ac:dyDescent="0.25">
      <c r="A1189" s="29">
        <v>1139</v>
      </c>
      <c r="B1189" s="99">
        <f t="shared" si="142"/>
        <v>0</v>
      </c>
      <c r="C1189" s="75">
        <f t="shared" si="146"/>
        <v>104.50616427295054</v>
      </c>
      <c r="D1189" s="100">
        <f t="shared" si="143"/>
        <v>445.77777777777789</v>
      </c>
      <c r="E1189">
        <f t="shared" si="139"/>
        <v>0</v>
      </c>
      <c r="G1189">
        <v>1139</v>
      </c>
      <c r="H1189" s="15">
        <f t="shared" si="144"/>
        <v>3.3332641781299799E-2</v>
      </c>
      <c r="I1189">
        <f t="shared" si="145"/>
        <v>142.47204326184101</v>
      </c>
      <c r="J1189">
        <f t="shared" si="140"/>
        <v>487.03817304731797</v>
      </c>
      <c r="K1189" s="30">
        <f t="shared" si="141"/>
        <v>7907.0356321627651</v>
      </c>
    </row>
    <row r="1190" spans="1:11" x14ac:dyDescent="0.25">
      <c r="A1190" s="29">
        <v>1140</v>
      </c>
      <c r="B1190" s="99">
        <f t="shared" si="142"/>
        <v>0</v>
      </c>
      <c r="C1190" s="75">
        <f t="shared" si="146"/>
        <v>104.50616427295054</v>
      </c>
      <c r="D1190" s="100">
        <f t="shared" si="143"/>
        <v>445.77777777777789</v>
      </c>
      <c r="E1190">
        <f t="shared" si="139"/>
        <v>0</v>
      </c>
      <c r="G1190">
        <v>1140</v>
      </c>
      <c r="H1190" s="15">
        <f t="shared" si="144"/>
        <v>3.3332641781299799E-2</v>
      </c>
      <c r="I1190">
        <f t="shared" si="145"/>
        <v>142.50537590362231</v>
      </c>
      <c r="J1190">
        <f t="shared" si="140"/>
        <v>487.05831159288891</v>
      </c>
      <c r="K1190" s="30">
        <f t="shared" si="141"/>
        <v>7907.689241610612</v>
      </c>
    </row>
    <row r="1191" spans="1:11" x14ac:dyDescent="0.25">
      <c r="A1191" s="29">
        <v>1141</v>
      </c>
      <c r="B1191" s="99">
        <f t="shared" si="142"/>
        <v>0</v>
      </c>
      <c r="C1191" s="75">
        <f t="shared" si="146"/>
        <v>104.50616427295054</v>
      </c>
      <c r="D1191" s="100">
        <f t="shared" si="143"/>
        <v>445.77777777777789</v>
      </c>
      <c r="E1191">
        <f t="shared" si="139"/>
        <v>0</v>
      </c>
      <c r="G1191">
        <v>1141</v>
      </c>
      <c r="H1191" s="15">
        <f t="shared" si="144"/>
        <v>3.3332641781299799E-2</v>
      </c>
      <c r="I1191">
        <f t="shared" si="145"/>
        <v>142.53870854540361</v>
      </c>
      <c r="J1191">
        <f t="shared" si="140"/>
        <v>487.0784324783113</v>
      </c>
      <c r="K1191" s="30">
        <f t="shared" si="141"/>
        <v>7908.3423048146442</v>
      </c>
    </row>
    <row r="1192" spans="1:11" x14ac:dyDescent="0.25">
      <c r="A1192" s="29">
        <v>1142</v>
      </c>
      <c r="B1192" s="99">
        <f t="shared" si="142"/>
        <v>0</v>
      </c>
      <c r="C1192" s="75">
        <f t="shared" si="146"/>
        <v>104.50616427295054</v>
      </c>
      <c r="D1192" s="100">
        <f t="shared" si="143"/>
        <v>445.77777777777789</v>
      </c>
      <c r="E1192">
        <f t="shared" si="139"/>
        <v>0</v>
      </c>
      <c r="G1192">
        <v>1142</v>
      </c>
      <c r="H1192" s="15">
        <f t="shared" si="144"/>
        <v>3.3332641781299799E-2</v>
      </c>
      <c r="I1192">
        <f t="shared" si="145"/>
        <v>142.57204118718491</v>
      </c>
      <c r="J1192">
        <f t="shared" si="140"/>
        <v>487.09853571599541</v>
      </c>
      <c r="K1192" s="30">
        <f t="shared" si="141"/>
        <v>7908.9948221064869</v>
      </c>
    </row>
    <row r="1193" spans="1:11" x14ac:dyDescent="0.25">
      <c r="A1193" s="29">
        <v>1143</v>
      </c>
      <c r="B1193" s="99">
        <f t="shared" si="142"/>
        <v>0</v>
      </c>
      <c r="C1193" s="75">
        <f t="shared" si="146"/>
        <v>104.50616427295054</v>
      </c>
      <c r="D1193" s="100">
        <f t="shared" si="143"/>
        <v>445.77777777777789</v>
      </c>
      <c r="E1193">
        <f t="shared" si="139"/>
        <v>0</v>
      </c>
      <c r="G1193">
        <v>1143</v>
      </c>
      <c r="H1193" s="15">
        <f t="shared" si="144"/>
        <v>3.3332641781299799E-2</v>
      </c>
      <c r="I1193">
        <f t="shared" si="145"/>
        <v>142.60537382896621</v>
      </c>
      <c r="J1193">
        <f t="shared" si="140"/>
        <v>487.11862131832879</v>
      </c>
      <c r="K1193" s="30">
        <f t="shared" si="141"/>
        <v>7909.6467938171591</v>
      </c>
    </row>
    <row r="1194" spans="1:11" x14ac:dyDescent="0.25">
      <c r="A1194" s="29">
        <v>1144</v>
      </c>
      <c r="B1194" s="99">
        <f t="shared" si="142"/>
        <v>0</v>
      </c>
      <c r="C1194" s="75">
        <f t="shared" si="146"/>
        <v>104.50616427295054</v>
      </c>
      <c r="D1194" s="100">
        <f t="shared" si="143"/>
        <v>445.77777777777789</v>
      </c>
      <c r="E1194">
        <f t="shared" si="139"/>
        <v>0</v>
      </c>
      <c r="G1194">
        <v>1144</v>
      </c>
      <c r="H1194" s="15">
        <f t="shared" si="144"/>
        <v>3.3332641781299799E-2</v>
      </c>
      <c r="I1194">
        <f t="shared" si="145"/>
        <v>142.63870647074751</v>
      </c>
      <c r="J1194">
        <f t="shared" si="140"/>
        <v>487.13868929767671</v>
      </c>
      <c r="K1194" s="30">
        <f t="shared" si="141"/>
        <v>7910.2982202770836</v>
      </c>
    </row>
    <row r="1195" spans="1:11" x14ac:dyDescent="0.25">
      <c r="A1195" s="29">
        <v>1145</v>
      </c>
      <c r="B1195" s="99">
        <f t="shared" si="142"/>
        <v>0</v>
      </c>
      <c r="C1195" s="75">
        <f t="shared" si="146"/>
        <v>104.50616427295054</v>
      </c>
      <c r="D1195" s="100">
        <f t="shared" si="143"/>
        <v>445.77777777777789</v>
      </c>
      <c r="E1195">
        <f t="shared" si="139"/>
        <v>0</v>
      </c>
      <c r="G1195">
        <v>1145</v>
      </c>
      <c r="H1195" s="15">
        <f t="shared" si="144"/>
        <v>3.3332641781299799E-2</v>
      </c>
      <c r="I1195">
        <f t="shared" si="145"/>
        <v>142.67203911252881</v>
      </c>
      <c r="J1195">
        <f t="shared" si="140"/>
        <v>487.15873966638196</v>
      </c>
      <c r="K1195" s="30">
        <f t="shared" si="141"/>
        <v>7910.9491018160816</v>
      </c>
    </row>
    <row r="1196" spans="1:11" x14ac:dyDescent="0.25">
      <c r="A1196" s="29">
        <v>1146</v>
      </c>
      <c r="B1196" s="99">
        <f t="shared" si="142"/>
        <v>0</v>
      </c>
      <c r="C1196" s="75">
        <f t="shared" si="146"/>
        <v>104.50616427295054</v>
      </c>
      <c r="D1196" s="100">
        <f t="shared" si="143"/>
        <v>445.77777777777789</v>
      </c>
      <c r="E1196">
        <f t="shared" si="139"/>
        <v>0</v>
      </c>
      <c r="G1196">
        <v>1146</v>
      </c>
      <c r="H1196" s="15">
        <f t="shared" si="144"/>
        <v>3.3332641781299799E-2</v>
      </c>
      <c r="I1196">
        <f t="shared" si="145"/>
        <v>142.70537175431011</v>
      </c>
      <c r="J1196">
        <f t="shared" si="140"/>
        <v>487.17877243676497</v>
      </c>
      <c r="K1196" s="30">
        <f t="shared" si="141"/>
        <v>7911.5994387633828</v>
      </c>
    </row>
    <row r="1197" spans="1:11" x14ac:dyDescent="0.25">
      <c r="A1197" s="29">
        <v>1147</v>
      </c>
      <c r="B1197" s="99">
        <f t="shared" si="142"/>
        <v>0</v>
      </c>
      <c r="C1197" s="75">
        <f t="shared" si="146"/>
        <v>104.50616427295054</v>
      </c>
      <c r="D1197" s="100">
        <f t="shared" si="143"/>
        <v>445.77777777777789</v>
      </c>
      <c r="E1197">
        <f t="shared" si="139"/>
        <v>0</v>
      </c>
      <c r="G1197">
        <v>1147</v>
      </c>
      <c r="H1197" s="15">
        <f t="shared" si="144"/>
        <v>3.3332641781299799E-2</v>
      </c>
      <c r="I1197">
        <f t="shared" si="145"/>
        <v>142.73870439609141</v>
      </c>
      <c r="J1197">
        <f t="shared" si="140"/>
        <v>487.19878762112404</v>
      </c>
      <c r="K1197" s="30">
        <f t="shared" si="141"/>
        <v>7912.2492314476185</v>
      </c>
    </row>
    <row r="1198" spans="1:11" x14ac:dyDescent="0.25">
      <c r="A1198" s="29">
        <v>1148</v>
      </c>
      <c r="B1198" s="99">
        <f t="shared" si="142"/>
        <v>0</v>
      </c>
      <c r="C1198" s="75">
        <f t="shared" si="146"/>
        <v>104.50616427295054</v>
      </c>
      <c r="D1198" s="100">
        <f t="shared" si="143"/>
        <v>445.77777777777789</v>
      </c>
      <c r="E1198">
        <f t="shared" si="139"/>
        <v>0</v>
      </c>
      <c r="G1198">
        <v>1148</v>
      </c>
      <c r="H1198" s="15">
        <f t="shared" si="144"/>
        <v>3.3332641781299799E-2</v>
      </c>
      <c r="I1198">
        <f t="shared" si="145"/>
        <v>142.77203703787271</v>
      </c>
      <c r="J1198">
        <f t="shared" si="140"/>
        <v>487.21878523173507</v>
      </c>
      <c r="K1198" s="30">
        <f t="shared" si="141"/>
        <v>7912.8984801968263</v>
      </c>
    </row>
    <row r="1199" spans="1:11" x14ac:dyDescent="0.25">
      <c r="A1199" s="29">
        <v>1149</v>
      </c>
      <c r="B1199" s="99">
        <f t="shared" si="142"/>
        <v>0</v>
      </c>
      <c r="C1199" s="75">
        <f t="shared" si="146"/>
        <v>104.50616427295054</v>
      </c>
      <c r="D1199" s="100">
        <f t="shared" si="143"/>
        <v>445.77777777777789</v>
      </c>
      <c r="E1199">
        <f t="shared" si="139"/>
        <v>0</v>
      </c>
      <c r="G1199">
        <v>1149</v>
      </c>
      <c r="H1199" s="15">
        <f t="shared" si="144"/>
        <v>3.3332641781299799E-2</v>
      </c>
      <c r="I1199">
        <f t="shared" si="145"/>
        <v>142.80536967965401</v>
      </c>
      <c r="J1199">
        <f t="shared" si="140"/>
        <v>487.23876528085179</v>
      </c>
      <c r="K1199" s="30">
        <f t="shared" si="141"/>
        <v>7913.547185338447</v>
      </c>
    </row>
    <row r="1200" spans="1:11" x14ac:dyDescent="0.25">
      <c r="A1200" s="29">
        <v>1150</v>
      </c>
      <c r="B1200" s="99">
        <f t="shared" si="142"/>
        <v>0</v>
      </c>
      <c r="C1200" s="75">
        <f t="shared" si="146"/>
        <v>104.50616427295054</v>
      </c>
      <c r="D1200" s="100">
        <f t="shared" si="143"/>
        <v>445.77777777777789</v>
      </c>
      <c r="E1200">
        <f t="shared" si="139"/>
        <v>0</v>
      </c>
      <c r="G1200">
        <v>1150</v>
      </c>
      <c r="H1200" s="15">
        <f t="shared" si="144"/>
        <v>3.3332641781299799E-2</v>
      </c>
      <c r="I1200">
        <f t="shared" si="145"/>
        <v>142.83870232143531</v>
      </c>
      <c r="J1200">
        <f t="shared" si="140"/>
        <v>487.2587277807059</v>
      </c>
      <c r="K1200" s="30">
        <f t="shared" si="141"/>
        <v>7914.1953471993402</v>
      </c>
    </row>
    <row r="1201" spans="1:11" x14ac:dyDescent="0.25">
      <c r="A1201" s="29">
        <v>1151</v>
      </c>
      <c r="B1201" s="99">
        <f t="shared" si="142"/>
        <v>0</v>
      </c>
      <c r="C1201" s="75">
        <f t="shared" si="146"/>
        <v>104.50616427295054</v>
      </c>
      <c r="D1201" s="100">
        <f t="shared" si="143"/>
        <v>445.77777777777789</v>
      </c>
      <c r="E1201">
        <f t="shared" si="139"/>
        <v>0</v>
      </c>
      <c r="G1201">
        <v>1151</v>
      </c>
      <c r="H1201" s="15">
        <f t="shared" si="144"/>
        <v>3.3332641781299799E-2</v>
      </c>
      <c r="I1201">
        <f t="shared" si="145"/>
        <v>142.87203496321661</v>
      </c>
      <c r="J1201">
        <f t="shared" si="140"/>
        <v>487.27867274350689</v>
      </c>
      <c r="K1201" s="30">
        <f t="shared" si="141"/>
        <v>7914.8429661057608</v>
      </c>
    </row>
    <row r="1202" spans="1:11" x14ac:dyDescent="0.25">
      <c r="A1202" s="29">
        <v>1152</v>
      </c>
      <c r="B1202" s="99">
        <f t="shared" si="142"/>
        <v>0</v>
      </c>
      <c r="C1202" s="75">
        <f t="shared" si="146"/>
        <v>104.50616427295054</v>
      </c>
      <c r="D1202" s="100">
        <f t="shared" si="143"/>
        <v>445.77777777777789</v>
      </c>
      <c r="E1202">
        <f t="shared" si="139"/>
        <v>0</v>
      </c>
      <c r="G1202">
        <v>1152</v>
      </c>
      <c r="H1202" s="15">
        <f t="shared" si="144"/>
        <v>3.3332641781299799E-2</v>
      </c>
      <c r="I1202">
        <f t="shared" si="145"/>
        <v>142.90536760499791</v>
      </c>
      <c r="J1202">
        <f t="shared" si="140"/>
        <v>487.29860018144228</v>
      </c>
      <c r="K1202" s="30">
        <f t="shared" si="141"/>
        <v>7915.4900423833906</v>
      </c>
    </row>
    <row r="1203" spans="1:11" x14ac:dyDescent="0.25">
      <c r="A1203" s="29">
        <v>1153</v>
      </c>
      <c r="B1203" s="99">
        <f t="shared" si="142"/>
        <v>0</v>
      </c>
      <c r="C1203" s="75">
        <f t="shared" si="146"/>
        <v>104.50616427295054</v>
      </c>
      <c r="D1203" s="100">
        <f t="shared" si="143"/>
        <v>445.77777777777789</v>
      </c>
      <c r="E1203">
        <f t="shared" ref="E1203:E1266" si="147">((D1203^2)+(D1203*D1204)+(D1204^2))*B1204/3</f>
        <v>0</v>
      </c>
      <c r="G1203">
        <v>1153</v>
      </c>
      <c r="H1203" s="15">
        <f t="shared" si="144"/>
        <v>3.3332641781299799E-2</v>
      </c>
      <c r="I1203">
        <f t="shared" si="145"/>
        <v>142.93870024677921</v>
      </c>
      <c r="J1203">
        <f t="shared" ref="J1203:J1266" si="148">IF($G$28&lt;$C$14,0,((($C$11^2)-((I1203-$C$13)^2))^0.5)+$C$16)</f>
        <v>487.31851010667759</v>
      </c>
      <c r="K1203" s="30">
        <f t="shared" ref="K1203:K1266" si="149">((J1203^2)+(J1203*J1204)+(J1204^2))*H1204/3</f>
        <v>7916.1365763573149</v>
      </c>
    </row>
    <row r="1204" spans="1:11" x14ac:dyDescent="0.25">
      <c r="A1204" s="29">
        <v>1154</v>
      </c>
      <c r="B1204" s="99">
        <f t="shared" ref="B1204:B1267" si="150">C1204-C1203</f>
        <v>0</v>
      </c>
      <c r="C1204" s="75">
        <f t="shared" si="146"/>
        <v>104.50616427295054</v>
      </c>
      <c r="D1204" s="100">
        <f t="shared" ref="D1204:D1267" si="151">IF($G$28&lt;$C$14,0,((($C$11^2)-((C1204-$C$13)^2))^0.5)+$C$16)</f>
        <v>445.77777777777789</v>
      </c>
      <c r="E1204">
        <f t="shared" si="147"/>
        <v>0</v>
      </c>
      <c r="G1204">
        <v>1154</v>
      </c>
      <c r="H1204" s="15">
        <f t="shared" ref="H1204:H1267" si="152">I1204-I1203</f>
        <v>3.3332641781299799E-2</v>
      </c>
      <c r="I1204">
        <f t="shared" ref="I1204:I1267" si="153">($G$27-$C$14)/2000+I1203</f>
        <v>142.97203288856051</v>
      </c>
      <c r="J1204">
        <f t="shared" si="148"/>
        <v>487.33840253135645</v>
      </c>
      <c r="K1204" s="30">
        <f t="shared" si="149"/>
        <v>7916.7825683520323</v>
      </c>
    </row>
    <row r="1205" spans="1:11" x14ac:dyDescent="0.25">
      <c r="A1205" s="29">
        <v>1155</v>
      </c>
      <c r="B1205" s="99">
        <f t="shared" si="150"/>
        <v>0</v>
      </c>
      <c r="C1205" s="75">
        <f t="shared" si="146"/>
        <v>104.50616427295054</v>
      </c>
      <c r="D1205" s="100">
        <f t="shared" si="151"/>
        <v>445.77777777777789</v>
      </c>
      <c r="E1205">
        <f t="shared" si="147"/>
        <v>0</v>
      </c>
      <c r="G1205">
        <v>1155</v>
      </c>
      <c r="H1205" s="15">
        <f t="shared" si="152"/>
        <v>3.3332641781299799E-2</v>
      </c>
      <c r="I1205">
        <f t="shared" si="153"/>
        <v>143.00536553034181</v>
      </c>
      <c r="J1205">
        <f t="shared" si="148"/>
        <v>487.3582774676006</v>
      </c>
      <c r="K1205" s="30">
        <f t="shared" si="149"/>
        <v>7917.4280186914621</v>
      </c>
    </row>
    <row r="1206" spans="1:11" x14ac:dyDescent="0.25">
      <c r="A1206" s="29">
        <v>1156</v>
      </c>
      <c r="B1206" s="99">
        <f t="shared" si="150"/>
        <v>0</v>
      </c>
      <c r="C1206" s="75">
        <f t="shared" si="146"/>
        <v>104.50616427295054</v>
      </c>
      <c r="D1206" s="100">
        <f t="shared" si="151"/>
        <v>445.77777777777789</v>
      </c>
      <c r="E1206">
        <f t="shared" si="147"/>
        <v>0</v>
      </c>
      <c r="G1206">
        <v>1156</v>
      </c>
      <c r="H1206" s="15">
        <f t="shared" si="152"/>
        <v>3.3332641781299799E-2</v>
      </c>
      <c r="I1206">
        <f t="shared" si="153"/>
        <v>143.03869817212311</v>
      </c>
      <c r="J1206">
        <f t="shared" si="148"/>
        <v>487.37813492750979</v>
      </c>
      <c r="K1206" s="30">
        <f t="shared" si="149"/>
        <v>7918.0729276989396</v>
      </c>
    </row>
    <row r="1207" spans="1:11" x14ac:dyDescent="0.25">
      <c r="A1207" s="29">
        <v>1157</v>
      </c>
      <c r="B1207" s="99">
        <f t="shared" si="150"/>
        <v>0</v>
      </c>
      <c r="C1207" s="75">
        <f t="shared" si="146"/>
        <v>104.50616427295054</v>
      </c>
      <c r="D1207" s="100">
        <f t="shared" si="151"/>
        <v>445.77777777777789</v>
      </c>
      <c r="E1207">
        <f t="shared" si="147"/>
        <v>0</v>
      </c>
      <c r="G1207">
        <v>1157</v>
      </c>
      <c r="H1207" s="15">
        <f t="shared" si="152"/>
        <v>3.3332641781299799E-2</v>
      </c>
      <c r="I1207">
        <f t="shared" si="153"/>
        <v>143.07203081390441</v>
      </c>
      <c r="J1207">
        <f t="shared" si="148"/>
        <v>487.39797492316222</v>
      </c>
      <c r="K1207" s="30">
        <f t="shared" si="149"/>
        <v>7918.7172956972099</v>
      </c>
    </row>
    <row r="1208" spans="1:11" x14ac:dyDescent="0.25">
      <c r="A1208" s="29">
        <v>1158</v>
      </c>
      <c r="B1208" s="99">
        <f t="shared" si="150"/>
        <v>0</v>
      </c>
      <c r="C1208" s="75">
        <f t="shared" si="146"/>
        <v>104.50616427295054</v>
      </c>
      <c r="D1208" s="100">
        <f t="shared" si="151"/>
        <v>445.77777777777789</v>
      </c>
      <c r="E1208">
        <f t="shared" si="147"/>
        <v>0</v>
      </c>
      <c r="G1208">
        <v>1158</v>
      </c>
      <c r="H1208" s="15">
        <f t="shared" si="152"/>
        <v>3.3332641781299799E-2</v>
      </c>
      <c r="I1208">
        <f t="shared" si="153"/>
        <v>143.1053634556857</v>
      </c>
      <c r="J1208">
        <f t="shared" si="148"/>
        <v>487.41779746661416</v>
      </c>
      <c r="K1208" s="30">
        <f t="shared" si="149"/>
        <v>7919.3611230084471</v>
      </c>
    </row>
    <row r="1209" spans="1:11" x14ac:dyDescent="0.25">
      <c r="A1209" s="29">
        <v>1159</v>
      </c>
      <c r="B1209" s="99">
        <f t="shared" si="150"/>
        <v>0</v>
      </c>
      <c r="C1209" s="75">
        <f t="shared" si="146"/>
        <v>104.50616427295054</v>
      </c>
      <c r="D1209" s="100">
        <f t="shared" si="151"/>
        <v>445.77777777777789</v>
      </c>
      <c r="E1209">
        <f t="shared" si="147"/>
        <v>0</v>
      </c>
      <c r="G1209">
        <v>1159</v>
      </c>
      <c r="H1209" s="15">
        <f t="shared" si="152"/>
        <v>3.3332641781299799E-2</v>
      </c>
      <c r="I1209">
        <f t="shared" si="153"/>
        <v>143.138696097467</v>
      </c>
      <c r="J1209">
        <f t="shared" si="148"/>
        <v>487.43760256990038</v>
      </c>
      <c r="K1209" s="30">
        <f t="shared" si="149"/>
        <v>7920.0044099542429</v>
      </c>
    </row>
    <row r="1210" spans="1:11" x14ac:dyDescent="0.25">
      <c r="A1210" s="29">
        <v>1160</v>
      </c>
      <c r="B1210" s="99">
        <f t="shared" si="150"/>
        <v>0</v>
      </c>
      <c r="C1210" s="75">
        <f t="shared" si="146"/>
        <v>104.50616427295054</v>
      </c>
      <c r="D1210" s="100">
        <f t="shared" si="151"/>
        <v>445.77777777777789</v>
      </c>
      <c r="E1210">
        <f t="shared" si="147"/>
        <v>0</v>
      </c>
      <c r="G1210">
        <v>1160</v>
      </c>
      <c r="H1210" s="15">
        <f t="shared" si="152"/>
        <v>3.3332641781299799E-2</v>
      </c>
      <c r="I1210">
        <f t="shared" si="153"/>
        <v>143.1720287392483</v>
      </c>
      <c r="J1210">
        <f t="shared" si="148"/>
        <v>487.45739024503382</v>
      </c>
      <c r="K1210" s="30">
        <f t="shared" si="149"/>
        <v>7920.6471568556108</v>
      </c>
    </row>
    <row r="1211" spans="1:11" x14ac:dyDescent="0.25">
      <c r="A1211" s="29">
        <v>1161</v>
      </c>
      <c r="B1211" s="99">
        <f t="shared" si="150"/>
        <v>0</v>
      </c>
      <c r="C1211" s="75">
        <f t="shared" si="146"/>
        <v>104.50616427295054</v>
      </c>
      <c r="D1211" s="100">
        <f t="shared" si="151"/>
        <v>445.77777777777789</v>
      </c>
      <c r="E1211">
        <f t="shared" si="147"/>
        <v>0</v>
      </c>
      <c r="G1211">
        <v>1161</v>
      </c>
      <c r="H1211" s="15">
        <f t="shared" si="152"/>
        <v>3.3332641781299799E-2</v>
      </c>
      <c r="I1211">
        <f t="shared" si="153"/>
        <v>143.2053613810296</v>
      </c>
      <c r="J1211">
        <f t="shared" si="148"/>
        <v>487.47716050400595</v>
      </c>
      <c r="K1211" s="30">
        <f t="shared" si="149"/>
        <v>7921.2893640329858</v>
      </c>
    </row>
    <row r="1212" spans="1:11" x14ac:dyDescent="0.25">
      <c r="A1212" s="29">
        <v>1162</v>
      </c>
      <c r="B1212" s="99">
        <f t="shared" si="150"/>
        <v>0</v>
      </c>
      <c r="C1212" s="75">
        <f t="shared" si="146"/>
        <v>104.50616427295054</v>
      </c>
      <c r="D1212" s="100">
        <f t="shared" si="151"/>
        <v>445.77777777777789</v>
      </c>
      <c r="E1212">
        <f t="shared" si="147"/>
        <v>0</v>
      </c>
      <c r="G1212">
        <v>1162</v>
      </c>
      <c r="H1212" s="15">
        <f t="shared" si="152"/>
        <v>3.3332641781299799E-2</v>
      </c>
      <c r="I1212">
        <f t="shared" si="153"/>
        <v>143.2386940228109</v>
      </c>
      <c r="J1212">
        <f t="shared" si="148"/>
        <v>487.49691335878674</v>
      </c>
      <c r="K1212" s="30">
        <f t="shared" si="149"/>
        <v>7921.9310318062298</v>
      </c>
    </row>
    <row r="1213" spans="1:11" x14ac:dyDescent="0.25">
      <c r="A1213" s="29">
        <v>1163</v>
      </c>
      <c r="B1213" s="99">
        <f t="shared" si="150"/>
        <v>0</v>
      </c>
      <c r="C1213" s="75">
        <f t="shared" si="146"/>
        <v>104.50616427295054</v>
      </c>
      <c r="D1213" s="100">
        <f t="shared" si="151"/>
        <v>445.77777777777789</v>
      </c>
      <c r="E1213">
        <f t="shared" si="147"/>
        <v>0</v>
      </c>
      <c r="G1213">
        <v>1163</v>
      </c>
      <c r="H1213" s="15">
        <f t="shared" si="152"/>
        <v>3.3332641781299799E-2</v>
      </c>
      <c r="I1213">
        <f t="shared" si="153"/>
        <v>143.2720266645922</v>
      </c>
      <c r="J1213">
        <f t="shared" si="148"/>
        <v>487.51664882132451</v>
      </c>
      <c r="K1213" s="30">
        <f t="shared" si="149"/>
        <v>7922.5721604946293</v>
      </c>
    </row>
    <row r="1214" spans="1:11" x14ac:dyDescent="0.25">
      <c r="A1214" s="29">
        <v>1164</v>
      </c>
      <c r="B1214" s="99">
        <f t="shared" si="150"/>
        <v>0</v>
      </c>
      <c r="C1214" s="75">
        <f t="shared" si="146"/>
        <v>104.50616427295054</v>
      </c>
      <c r="D1214" s="100">
        <f t="shared" si="151"/>
        <v>445.77777777777789</v>
      </c>
      <c r="E1214">
        <f t="shared" si="147"/>
        <v>0</v>
      </c>
      <c r="G1214">
        <v>1164</v>
      </c>
      <c r="H1214" s="15">
        <f t="shared" si="152"/>
        <v>3.3332641781299799E-2</v>
      </c>
      <c r="I1214">
        <f t="shared" si="153"/>
        <v>143.3053593063735</v>
      </c>
      <c r="J1214">
        <f t="shared" si="148"/>
        <v>487.53636690354631</v>
      </c>
      <c r="K1214" s="30">
        <f t="shared" si="149"/>
        <v>7923.2127504168993</v>
      </c>
    </row>
    <row r="1215" spans="1:11" x14ac:dyDescent="0.25">
      <c r="A1215" s="29">
        <v>1165</v>
      </c>
      <c r="B1215" s="99">
        <f t="shared" si="150"/>
        <v>0</v>
      </c>
      <c r="C1215" s="75">
        <f t="shared" si="146"/>
        <v>104.50616427295054</v>
      </c>
      <c r="D1215" s="100">
        <f t="shared" si="151"/>
        <v>445.77777777777789</v>
      </c>
      <c r="E1215">
        <f t="shared" si="147"/>
        <v>0</v>
      </c>
      <c r="G1215">
        <v>1165</v>
      </c>
      <c r="H1215" s="15">
        <f t="shared" si="152"/>
        <v>3.3332641781299799E-2</v>
      </c>
      <c r="I1215">
        <f t="shared" si="153"/>
        <v>143.3386919481548</v>
      </c>
      <c r="J1215">
        <f t="shared" si="148"/>
        <v>487.55606761735771</v>
      </c>
      <c r="K1215" s="30">
        <f t="shared" si="149"/>
        <v>7923.852801891182</v>
      </c>
    </row>
    <row r="1216" spans="1:11" x14ac:dyDescent="0.25">
      <c r="A1216" s="29">
        <v>1166</v>
      </c>
      <c r="B1216" s="99">
        <f t="shared" si="150"/>
        <v>0</v>
      </c>
      <c r="C1216" s="75">
        <f t="shared" si="146"/>
        <v>104.50616427295054</v>
      </c>
      <c r="D1216" s="100">
        <f t="shared" si="151"/>
        <v>445.77777777777789</v>
      </c>
      <c r="E1216">
        <f t="shared" si="147"/>
        <v>0</v>
      </c>
      <c r="G1216">
        <v>1166</v>
      </c>
      <c r="H1216" s="15">
        <f t="shared" si="152"/>
        <v>3.3332641781299799E-2</v>
      </c>
      <c r="I1216">
        <f t="shared" si="153"/>
        <v>143.3720245899361</v>
      </c>
      <c r="J1216">
        <f t="shared" si="148"/>
        <v>487.57575097464292</v>
      </c>
      <c r="K1216" s="30">
        <f t="shared" si="149"/>
        <v>7924.492315235052</v>
      </c>
    </row>
    <row r="1217" spans="1:11" x14ac:dyDescent="0.25">
      <c r="A1217" s="29">
        <v>1167</v>
      </c>
      <c r="B1217" s="99">
        <f t="shared" si="150"/>
        <v>0</v>
      </c>
      <c r="C1217" s="75">
        <f t="shared" si="146"/>
        <v>104.50616427295054</v>
      </c>
      <c r="D1217" s="100">
        <f t="shared" si="151"/>
        <v>445.77777777777789</v>
      </c>
      <c r="E1217">
        <f t="shared" si="147"/>
        <v>0</v>
      </c>
      <c r="G1217">
        <v>1167</v>
      </c>
      <c r="H1217" s="15">
        <f t="shared" si="152"/>
        <v>3.3332641781299799E-2</v>
      </c>
      <c r="I1217">
        <f t="shared" si="153"/>
        <v>143.4053572317174</v>
      </c>
      <c r="J1217">
        <f t="shared" si="148"/>
        <v>487.59541698726491</v>
      </c>
      <c r="K1217" s="30">
        <f t="shared" si="149"/>
        <v>7925.1312907655056</v>
      </c>
    </row>
    <row r="1218" spans="1:11" x14ac:dyDescent="0.25">
      <c r="A1218" s="29">
        <v>1168</v>
      </c>
      <c r="B1218" s="99">
        <f t="shared" si="150"/>
        <v>0</v>
      </c>
      <c r="C1218" s="75">
        <f t="shared" si="146"/>
        <v>104.50616427295054</v>
      </c>
      <c r="D1218" s="100">
        <f t="shared" si="151"/>
        <v>445.77777777777789</v>
      </c>
      <c r="E1218">
        <f t="shared" si="147"/>
        <v>0</v>
      </c>
      <c r="G1218">
        <v>1168</v>
      </c>
      <c r="H1218" s="15">
        <f t="shared" si="152"/>
        <v>3.3332641781299799E-2</v>
      </c>
      <c r="I1218">
        <f t="shared" si="153"/>
        <v>143.4386898734987</v>
      </c>
      <c r="J1218">
        <f t="shared" si="148"/>
        <v>487.61506566706532</v>
      </c>
      <c r="K1218" s="30">
        <f t="shared" si="149"/>
        <v>7925.7697287989895</v>
      </c>
    </row>
    <row r="1219" spans="1:11" x14ac:dyDescent="0.25">
      <c r="A1219" s="29">
        <v>1169</v>
      </c>
      <c r="B1219" s="99">
        <f t="shared" si="150"/>
        <v>0</v>
      </c>
      <c r="C1219" s="75">
        <f t="shared" si="146"/>
        <v>104.50616427295054</v>
      </c>
      <c r="D1219" s="100">
        <f t="shared" si="151"/>
        <v>445.77777777777789</v>
      </c>
      <c r="E1219">
        <f t="shared" si="147"/>
        <v>0</v>
      </c>
      <c r="G1219">
        <v>1169</v>
      </c>
      <c r="H1219" s="15">
        <f t="shared" si="152"/>
        <v>3.3332641781299799E-2</v>
      </c>
      <c r="I1219">
        <f t="shared" si="153"/>
        <v>143.47202251528</v>
      </c>
      <c r="J1219">
        <f t="shared" si="148"/>
        <v>487.6346970258648</v>
      </c>
      <c r="K1219" s="30">
        <f t="shared" si="149"/>
        <v>7926.4076296513667</v>
      </c>
    </row>
    <row r="1220" spans="1:11" x14ac:dyDescent="0.25">
      <c r="A1220" s="29">
        <v>1170</v>
      </c>
      <c r="B1220" s="99">
        <f t="shared" si="150"/>
        <v>0</v>
      </c>
      <c r="C1220" s="75">
        <f t="shared" si="146"/>
        <v>104.50616427295054</v>
      </c>
      <c r="D1220" s="100">
        <f t="shared" si="151"/>
        <v>445.77777777777789</v>
      </c>
      <c r="E1220">
        <f t="shared" si="147"/>
        <v>0</v>
      </c>
      <c r="G1220">
        <v>1170</v>
      </c>
      <c r="H1220" s="15">
        <f t="shared" si="152"/>
        <v>3.3332641781299799E-2</v>
      </c>
      <c r="I1220">
        <f t="shared" si="153"/>
        <v>143.5053551570613</v>
      </c>
      <c r="J1220">
        <f t="shared" si="148"/>
        <v>487.65431107546254</v>
      </c>
      <c r="K1220" s="30">
        <f t="shared" si="149"/>
        <v>7927.04499363794</v>
      </c>
    </row>
    <row r="1221" spans="1:11" x14ac:dyDescent="0.25">
      <c r="A1221" s="29">
        <v>1171</v>
      </c>
      <c r="B1221" s="99">
        <f t="shared" si="150"/>
        <v>0</v>
      </c>
      <c r="C1221" s="75">
        <f t="shared" si="146"/>
        <v>104.50616427295054</v>
      </c>
      <c r="D1221" s="100">
        <f t="shared" si="151"/>
        <v>445.77777777777789</v>
      </c>
      <c r="E1221">
        <f t="shared" si="147"/>
        <v>0</v>
      </c>
      <c r="G1221">
        <v>1171</v>
      </c>
      <c r="H1221" s="15">
        <f t="shared" si="152"/>
        <v>3.3332641781299799E-2</v>
      </c>
      <c r="I1221">
        <f t="shared" si="153"/>
        <v>143.5386877988426</v>
      </c>
      <c r="J1221">
        <f t="shared" si="148"/>
        <v>487.67390782763687</v>
      </c>
      <c r="K1221" s="30">
        <f t="shared" si="149"/>
        <v>7927.6818210734555</v>
      </c>
    </row>
    <row r="1222" spans="1:11" x14ac:dyDescent="0.25">
      <c r="A1222" s="29">
        <v>1172</v>
      </c>
      <c r="B1222" s="99">
        <f t="shared" si="150"/>
        <v>0</v>
      </c>
      <c r="C1222" s="75">
        <f t="shared" si="146"/>
        <v>104.50616427295054</v>
      </c>
      <c r="D1222" s="100">
        <f t="shared" si="151"/>
        <v>445.77777777777789</v>
      </c>
      <c r="E1222">
        <f t="shared" si="147"/>
        <v>0</v>
      </c>
      <c r="G1222">
        <v>1172</v>
      </c>
      <c r="H1222" s="15">
        <f t="shared" si="152"/>
        <v>3.3332641781299799E-2</v>
      </c>
      <c r="I1222">
        <f t="shared" si="153"/>
        <v>143.5720204406239</v>
      </c>
      <c r="J1222">
        <f t="shared" si="148"/>
        <v>487.69348729414492</v>
      </c>
      <c r="K1222" s="30">
        <f t="shared" si="149"/>
        <v>7928.3181122720853</v>
      </c>
    </row>
    <row r="1223" spans="1:11" x14ac:dyDescent="0.25">
      <c r="A1223" s="29">
        <v>1173</v>
      </c>
      <c r="B1223" s="99">
        <f t="shared" si="150"/>
        <v>0</v>
      </c>
      <c r="C1223" s="75">
        <f t="shared" si="146"/>
        <v>104.50616427295054</v>
      </c>
      <c r="D1223" s="100">
        <f t="shared" si="151"/>
        <v>445.77777777777789</v>
      </c>
      <c r="E1223">
        <f t="shared" si="147"/>
        <v>0</v>
      </c>
      <c r="G1223">
        <v>1173</v>
      </c>
      <c r="H1223" s="15">
        <f t="shared" si="152"/>
        <v>3.3332641781299799E-2</v>
      </c>
      <c r="I1223">
        <f t="shared" si="153"/>
        <v>143.6053530824052</v>
      </c>
      <c r="J1223">
        <f t="shared" si="148"/>
        <v>487.71304948672292</v>
      </c>
      <c r="K1223" s="30">
        <f t="shared" si="149"/>
        <v>7928.9538675474505</v>
      </c>
    </row>
    <row r="1224" spans="1:11" x14ac:dyDescent="0.25">
      <c r="A1224" s="29">
        <v>1174</v>
      </c>
      <c r="B1224" s="99">
        <f t="shared" si="150"/>
        <v>0</v>
      </c>
      <c r="C1224" s="75">
        <f t="shared" si="146"/>
        <v>104.50616427295054</v>
      </c>
      <c r="D1224" s="100">
        <f t="shared" si="151"/>
        <v>445.77777777777789</v>
      </c>
      <c r="E1224">
        <f t="shared" si="147"/>
        <v>0</v>
      </c>
      <c r="G1224">
        <v>1174</v>
      </c>
      <c r="H1224" s="15">
        <f t="shared" si="152"/>
        <v>3.3332641781299799E-2</v>
      </c>
      <c r="I1224">
        <f t="shared" si="153"/>
        <v>143.6386857241865</v>
      </c>
      <c r="J1224">
        <f t="shared" si="148"/>
        <v>487.73259441708603</v>
      </c>
      <c r="K1224" s="30">
        <f t="shared" si="149"/>
        <v>7929.5890872126065</v>
      </c>
    </row>
    <row r="1225" spans="1:11" x14ac:dyDescent="0.25">
      <c r="A1225" s="29">
        <v>1175</v>
      </c>
      <c r="B1225" s="99">
        <f t="shared" si="150"/>
        <v>0</v>
      </c>
      <c r="C1225" s="75">
        <f t="shared" si="146"/>
        <v>104.50616427295054</v>
      </c>
      <c r="D1225" s="100">
        <f t="shared" si="151"/>
        <v>445.77777777777789</v>
      </c>
      <c r="E1225">
        <f t="shared" si="147"/>
        <v>0</v>
      </c>
      <c r="G1225">
        <v>1175</v>
      </c>
      <c r="H1225" s="15">
        <f t="shared" si="152"/>
        <v>3.3332641781299799E-2</v>
      </c>
      <c r="I1225">
        <f t="shared" si="153"/>
        <v>143.6720183659678</v>
      </c>
      <c r="J1225">
        <f t="shared" si="148"/>
        <v>487.75212209692859</v>
      </c>
      <c r="K1225" s="30">
        <f t="shared" si="149"/>
        <v>7930.2237715800511</v>
      </c>
    </row>
    <row r="1226" spans="1:11" x14ac:dyDescent="0.25">
      <c r="A1226" s="29">
        <v>1176</v>
      </c>
      <c r="B1226" s="99">
        <f t="shared" si="150"/>
        <v>0</v>
      </c>
      <c r="C1226" s="75">
        <f t="shared" si="146"/>
        <v>104.50616427295054</v>
      </c>
      <c r="D1226" s="100">
        <f t="shared" si="151"/>
        <v>445.77777777777789</v>
      </c>
      <c r="E1226">
        <f t="shared" si="147"/>
        <v>0</v>
      </c>
      <c r="G1226">
        <v>1176</v>
      </c>
      <c r="H1226" s="15">
        <f t="shared" si="152"/>
        <v>3.3332641781299799E-2</v>
      </c>
      <c r="I1226">
        <f t="shared" si="153"/>
        <v>143.7053510077491</v>
      </c>
      <c r="J1226">
        <f t="shared" si="148"/>
        <v>487.77163253792401</v>
      </c>
      <c r="K1226" s="30">
        <f t="shared" si="149"/>
        <v>7930.8579209617246</v>
      </c>
    </row>
    <row r="1227" spans="1:11" x14ac:dyDescent="0.25">
      <c r="A1227" s="29">
        <v>1177</v>
      </c>
      <c r="B1227" s="99">
        <f t="shared" si="150"/>
        <v>0</v>
      </c>
      <c r="C1227" s="75">
        <f t="shared" si="146"/>
        <v>104.50616427295054</v>
      </c>
      <c r="D1227" s="100">
        <f t="shared" si="151"/>
        <v>445.77777777777789</v>
      </c>
      <c r="E1227">
        <f t="shared" si="147"/>
        <v>0</v>
      </c>
      <c r="G1227">
        <v>1177</v>
      </c>
      <c r="H1227" s="15">
        <f t="shared" si="152"/>
        <v>3.3332641781299799E-2</v>
      </c>
      <c r="I1227">
        <f t="shared" si="153"/>
        <v>143.7386836495304</v>
      </c>
      <c r="J1227">
        <f t="shared" si="148"/>
        <v>487.79112575172491</v>
      </c>
      <c r="K1227" s="30">
        <f t="shared" si="149"/>
        <v>7931.4915356690108</v>
      </c>
    </row>
    <row r="1228" spans="1:11" x14ac:dyDescent="0.25">
      <c r="A1228" s="29">
        <v>1178</v>
      </c>
      <c r="B1228" s="99">
        <f t="shared" si="150"/>
        <v>0</v>
      </c>
      <c r="C1228" s="75">
        <f t="shared" si="146"/>
        <v>104.50616427295054</v>
      </c>
      <c r="D1228" s="100">
        <f t="shared" si="151"/>
        <v>445.77777777777789</v>
      </c>
      <c r="E1228">
        <f t="shared" si="147"/>
        <v>0</v>
      </c>
      <c r="G1228">
        <v>1178</v>
      </c>
      <c r="H1228" s="15">
        <f t="shared" si="152"/>
        <v>3.3332641781299799E-2</v>
      </c>
      <c r="I1228">
        <f t="shared" si="153"/>
        <v>143.7720162913117</v>
      </c>
      <c r="J1228">
        <f t="shared" si="148"/>
        <v>487.8106017499631</v>
      </c>
      <c r="K1228" s="30">
        <f t="shared" si="149"/>
        <v>7932.1246160127412</v>
      </c>
    </row>
    <row r="1229" spans="1:11" x14ac:dyDescent="0.25">
      <c r="A1229" s="29">
        <v>1179</v>
      </c>
      <c r="B1229" s="99">
        <f t="shared" si="150"/>
        <v>0</v>
      </c>
      <c r="C1229" s="75">
        <f t="shared" si="146"/>
        <v>104.50616427295054</v>
      </c>
      <c r="D1229" s="100">
        <f t="shared" si="151"/>
        <v>445.77777777777789</v>
      </c>
      <c r="E1229">
        <f t="shared" si="147"/>
        <v>0</v>
      </c>
      <c r="G1229">
        <v>1179</v>
      </c>
      <c r="H1229" s="15">
        <f t="shared" si="152"/>
        <v>3.3332641781299799E-2</v>
      </c>
      <c r="I1229">
        <f t="shared" si="153"/>
        <v>143.805348933093</v>
      </c>
      <c r="J1229">
        <f t="shared" si="148"/>
        <v>487.8300605442497</v>
      </c>
      <c r="K1229" s="30">
        <f t="shared" si="149"/>
        <v>7932.7571623031872</v>
      </c>
    </row>
    <row r="1230" spans="1:11" x14ac:dyDescent="0.25">
      <c r="A1230" s="29">
        <v>1180</v>
      </c>
      <c r="B1230" s="99">
        <f t="shared" si="150"/>
        <v>0</v>
      </c>
      <c r="C1230" s="75">
        <f t="shared" si="146"/>
        <v>104.50616427295054</v>
      </c>
      <c r="D1230" s="100">
        <f t="shared" si="151"/>
        <v>445.77777777777789</v>
      </c>
      <c r="E1230">
        <f t="shared" si="147"/>
        <v>0</v>
      </c>
      <c r="G1230">
        <v>1180</v>
      </c>
      <c r="H1230" s="15">
        <f t="shared" si="152"/>
        <v>3.3332641781299799E-2</v>
      </c>
      <c r="I1230">
        <f t="shared" si="153"/>
        <v>143.8386815748743</v>
      </c>
      <c r="J1230">
        <f t="shared" si="148"/>
        <v>487.84950214617515</v>
      </c>
      <c r="K1230" s="30">
        <f t="shared" si="149"/>
        <v>7933.3891748500782</v>
      </c>
    </row>
    <row r="1231" spans="1:11" x14ac:dyDescent="0.25">
      <c r="A1231" s="29">
        <v>1181</v>
      </c>
      <c r="B1231" s="99">
        <f t="shared" si="150"/>
        <v>0</v>
      </c>
      <c r="C1231" s="75">
        <f t="shared" si="146"/>
        <v>104.50616427295054</v>
      </c>
      <c r="D1231" s="100">
        <f t="shared" si="151"/>
        <v>445.77777777777789</v>
      </c>
      <c r="E1231">
        <f t="shared" si="147"/>
        <v>0</v>
      </c>
      <c r="G1231">
        <v>1181</v>
      </c>
      <c r="H1231" s="15">
        <f t="shared" si="152"/>
        <v>3.3332641781299799E-2</v>
      </c>
      <c r="I1231">
        <f t="shared" si="153"/>
        <v>143.8720142166556</v>
      </c>
      <c r="J1231">
        <f t="shared" si="148"/>
        <v>487.86892656730925</v>
      </c>
      <c r="K1231" s="30">
        <f t="shared" si="149"/>
        <v>7934.0206539625769</v>
      </c>
    </row>
    <row r="1232" spans="1:11" x14ac:dyDescent="0.25">
      <c r="A1232" s="29">
        <v>1182</v>
      </c>
      <c r="B1232" s="99">
        <f t="shared" si="150"/>
        <v>0</v>
      </c>
      <c r="C1232" s="75">
        <f t="shared" ref="C1232:C1295" si="154">($C$37-$C$36)/2000+C1231</f>
        <v>104.50616427295054</v>
      </c>
      <c r="D1232" s="100">
        <f t="shared" si="151"/>
        <v>445.77777777777789</v>
      </c>
      <c r="E1232">
        <f t="shared" si="147"/>
        <v>0</v>
      </c>
      <c r="G1232">
        <v>1182</v>
      </c>
      <c r="H1232" s="15">
        <f t="shared" si="152"/>
        <v>3.3332641781299799E-2</v>
      </c>
      <c r="I1232">
        <f t="shared" si="153"/>
        <v>143.9053468584369</v>
      </c>
      <c r="J1232">
        <f t="shared" si="148"/>
        <v>487.88833381920114</v>
      </c>
      <c r="K1232" s="30">
        <f t="shared" si="149"/>
        <v>7934.6515999493104</v>
      </c>
    </row>
    <row r="1233" spans="1:11" x14ac:dyDescent="0.25">
      <c r="A1233" s="29">
        <v>1183</v>
      </c>
      <c r="B1233" s="99">
        <f t="shared" si="150"/>
        <v>0</v>
      </c>
      <c r="C1233" s="75">
        <f t="shared" si="154"/>
        <v>104.50616427295054</v>
      </c>
      <c r="D1233" s="100">
        <f t="shared" si="151"/>
        <v>445.77777777777789</v>
      </c>
      <c r="E1233">
        <f t="shared" si="147"/>
        <v>0</v>
      </c>
      <c r="G1233">
        <v>1183</v>
      </c>
      <c r="H1233" s="15">
        <f t="shared" si="152"/>
        <v>3.3332641781299799E-2</v>
      </c>
      <c r="I1233">
        <f t="shared" si="153"/>
        <v>143.9386795002182</v>
      </c>
      <c r="J1233">
        <f t="shared" si="148"/>
        <v>487.90772391337953</v>
      </c>
      <c r="K1233" s="30">
        <f t="shared" si="149"/>
        <v>7935.2820131183507</v>
      </c>
    </row>
    <row r="1234" spans="1:11" x14ac:dyDescent="0.25">
      <c r="A1234" s="29">
        <v>1184</v>
      </c>
      <c r="B1234" s="99">
        <f t="shared" si="150"/>
        <v>0</v>
      </c>
      <c r="C1234" s="75">
        <f t="shared" si="154"/>
        <v>104.50616427295054</v>
      </c>
      <c r="D1234" s="100">
        <f t="shared" si="151"/>
        <v>445.77777777777789</v>
      </c>
      <c r="E1234">
        <f t="shared" si="147"/>
        <v>0</v>
      </c>
      <c r="G1234">
        <v>1184</v>
      </c>
      <c r="H1234" s="15">
        <f t="shared" si="152"/>
        <v>3.3332641781299799E-2</v>
      </c>
      <c r="I1234">
        <f t="shared" si="153"/>
        <v>143.9720121419995</v>
      </c>
      <c r="J1234">
        <f t="shared" si="148"/>
        <v>487.92709686135254</v>
      </c>
      <c r="K1234" s="30">
        <f t="shared" si="149"/>
        <v>7935.9118937772218</v>
      </c>
    </row>
    <row r="1235" spans="1:11" x14ac:dyDescent="0.25">
      <c r="A1235" s="29">
        <v>1185</v>
      </c>
      <c r="B1235" s="99">
        <f t="shared" si="150"/>
        <v>0</v>
      </c>
      <c r="C1235" s="75">
        <f t="shared" si="154"/>
        <v>104.50616427295054</v>
      </c>
      <c r="D1235" s="100">
        <f t="shared" si="151"/>
        <v>445.77777777777789</v>
      </c>
      <c r="E1235">
        <f t="shared" si="147"/>
        <v>0</v>
      </c>
      <c r="G1235">
        <v>1185</v>
      </c>
      <c r="H1235" s="15">
        <f t="shared" si="152"/>
        <v>3.3332641781299799E-2</v>
      </c>
      <c r="I1235">
        <f t="shared" si="153"/>
        <v>144.0053447837808</v>
      </c>
      <c r="J1235">
        <f t="shared" si="148"/>
        <v>487.94645267460788</v>
      </c>
      <c r="K1235" s="30">
        <f t="shared" si="149"/>
        <v>7936.5412422329036</v>
      </c>
    </row>
    <row r="1236" spans="1:11" x14ac:dyDescent="0.25">
      <c r="A1236" s="29">
        <v>1186</v>
      </c>
      <c r="B1236" s="99">
        <f t="shared" si="150"/>
        <v>0</v>
      </c>
      <c r="C1236" s="75">
        <f t="shared" si="154"/>
        <v>104.50616427295054</v>
      </c>
      <c r="D1236" s="100">
        <f t="shared" si="151"/>
        <v>445.77777777777789</v>
      </c>
      <c r="E1236">
        <f t="shared" si="147"/>
        <v>0</v>
      </c>
      <c r="G1236">
        <v>1186</v>
      </c>
      <c r="H1236" s="15">
        <f t="shared" si="152"/>
        <v>3.3332641781299799E-2</v>
      </c>
      <c r="I1236">
        <f t="shared" si="153"/>
        <v>144.0386774255621</v>
      </c>
      <c r="J1236">
        <f t="shared" si="148"/>
        <v>487.96579136461293</v>
      </c>
      <c r="K1236" s="30">
        <f t="shared" si="149"/>
        <v>7937.1700587918267</v>
      </c>
    </row>
    <row r="1237" spans="1:11" x14ac:dyDescent="0.25">
      <c r="A1237" s="29">
        <v>1187</v>
      </c>
      <c r="B1237" s="99">
        <f t="shared" si="150"/>
        <v>0</v>
      </c>
      <c r="C1237" s="75">
        <f t="shared" si="154"/>
        <v>104.50616427295054</v>
      </c>
      <c r="D1237" s="100">
        <f t="shared" si="151"/>
        <v>445.77777777777789</v>
      </c>
      <c r="E1237">
        <f t="shared" si="147"/>
        <v>0</v>
      </c>
      <c r="G1237">
        <v>1187</v>
      </c>
      <c r="H1237" s="15">
        <f t="shared" si="152"/>
        <v>3.3332641781299799E-2</v>
      </c>
      <c r="I1237">
        <f t="shared" si="153"/>
        <v>144.0720100673434</v>
      </c>
      <c r="J1237">
        <f t="shared" si="148"/>
        <v>487.98511294281445</v>
      </c>
      <c r="K1237" s="30">
        <f t="shared" si="149"/>
        <v>7937.7983437598823</v>
      </c>
    </row>
    <row r="1238" spans="1:11" x14ac:dyDescent="0.25">
      <c r="A1238" s="29">
        <v>1188</v>
      </c>
      <c r="B1238" s="99">
        <f t="shared" si="150"/>
        <v>0</v>
      </c>
      <c r="C1238" s="75">
        <f t="shared" si="154"/>
        <v>104.50616427295054</v>
      </c>
      <c r="D1238" s="100">
        <f t="shared" si="151"/>
        <v>445.77777777777789</v>
      </c>
      <c r="E1238">
        <f t="shared" si="147"/>
        <v>0</v>
      </c>
      <c r="G1238">
        <v>1188</v>
      </c>
      <c r="H1238" s="15">
        <f t="shared" si="152"/>
        <v>3.3332641781299799E-2</v>
      </c>
      <c r="I1238">
        <f t="shared" si="153"/>
        <v>144.1053427091247</v>
      </c>
      <c r="J1238">
        <f t="shared" si="148"/>
        <v>488.00441742063924</v>
      </c>
      <c r="K1238" s="30">
        <f t="shared" si="149"/>
        <v>7938.4260974424205</v>
      </c>
    </row>
    <row r="1239" spans="1:11" x14ac:dyDescent="0.25">
      <c r="A1239" s="29">
        <v>1189</v>
      </c>
      <c r="B1239" s="99">
        <f t="shared" si="150"/>
        <v>0</v>
      </c>
      <c r="C1239" s="75">
        <f t="shared" si="154"/>
        <v>104.50616427295054</v>
      </c>
      <c r="D1239" s="100">
        <f t="shared" si="151"/>
        <v>445.77777777777789</v>
      </c>
      <c r="E1239">
        <f t="shared" si="147"/>
        <v>0</v>
      </c>
      <c r="G1239">
        <v>1189</v>
      </c>
      <c r="H1239" s="15">
        <f t="shared" si="152"/>
        <v>3.3332641781299799E-2</v>
      </c>
      <c r="I1239">
        <f t="shared" si="153"/>
        <v>144.138675350906</v>
      </c>
      <c r="J1239">
        <f t="shared" si="148"/>
        <v>488.02370480949355</v>
      </c>
      <c r="K1239" s="30">
        <f t="shared" si="149"/>
        <v>7939.0533201442386</v>
      </c>
    </row>
    <row r="1240" spans="1:11" x14ac:dyDescent="0.25">
      <c r="A1240" s="29">
        <v>1190</v>
      </c>
      <c r="B1240" s="99">
        <f t="shared" si="150"/>
        <v>0</v>
      </c>
      <c r="C1240" s="75">
        <f t="shared" si="154"/>
        <v>104.50616427295054</v>
      </c>
      <c r="D1240" s="100">
        <f t="shared" si="151"/>
        <v>445.77777777777789</v>
      </c>
      <c r="E1240">
        <f t="shared" si="147"/>
        <v>0</v>
      </c>
      <c r="G1240">
        <v>1190</v>
      </c>
      <c r="H1240" s="15">
        <f t="shared" si="152"/>
        <v>3.3332641781299799E-2</v>
      </c>
      <c r="I1240">
        <f t="shared" si="153"/>
        <v>144.1720079926873</v>
      </c>
      <c r="J1240">
        <f t="shared" si="148"/>
        <v>488.04297512076357</v>
      </c>
      <c r="K1240" s="30">
        <f t="shared" si="149"/>
        <v>7939.6800121696078</v>
      </c>
    </row>
    <row r="1241" spans="1:11" x14ac:dyDescent="0.25">
      <c r="A1241" s="29">
        <v>1191</v>
      </c>
      <c r="B1241" s="99">
        <f t="shared" si="150"/>
        <v>0</v>
      </c>
      <c r="C1241" s="75">
        <f t="shared" si="154"/>
        <v>104.50616427295054</v>
      </c>
      <c r="D1241" s="100">
        <f t="shared" si="151"/>
        <v>445.77777777777789</v>
      </c>
      <c r="E1241">
        <f t="shared" si="147"/>
        <v>0</v>
      </c>
      <c r="G1241">
        <v>1191</v>
      </c>
      <c r="H1241" s="15">
        <f t="shared" si="152"/>
        <v>3.3332641781299799E-2</v>
      </c>
      <c r="I1241">
        <f t="shared" si="153"/>
        <v>144.2053406344686</v>
      </c>
      <c r="J1241">
        <f t="shared" si="148"/>
        <v>488.06222836581514</v>
      </c>
      <c r="K1241" s="30">
        <f t="shared" si="149"/>
        <v>7940.3061738222495</v>
      </c>
    </row>
    <row r="1242" spans="1:11" x14ac:dyDescent="0.25">
      <c r="A1242" s="29">
        <v>1192</v>
      </c>
      <c r="B1242" s="99">
        <f t="shared" si="150"/>
        <v>0</v>
      </c>
      <c r="C1242" s="75">
        <f t="shared" si="154"/>
        <v>104.50616427295054</v>
      </c>
      <c r="D1242" s="100">
        <f t="shared" si="151"/>
        <v>445.77777777777789</v>
      </c>
      <c r="E1242">
        <f t="shared" si="147"/>
        <v>0</v>
      </c>
      <c r="G1242">
        <v>1192</v>
      </c>
      <c r="H1242" s="15">
        <f t="shared" si="152"/>
        <v>3.3332641781299799E-2</v>
      </c>
      <c r="I1242">
        <f t="shared" si="153"/>
        <v>144.2386732762499</v>
      </c>
      <c r="J1242">
        <f t="shared" si="148"/>
        <v>488.08146455599416</v>
      </c>
      <c r="K1242" s="30">
        <f t="shared" si="149"/>
        <v>7940.9318054053538</v>
      </c>
    </row>
    <row r="1243" spans="1:11" x14ac:dyDescent="0.25">
      <c r="A1243" s="29">
        <v>1193</v>
      </c>
      <c r="B1243" s="99">
        <f t="shared" si="150"/>
        <v>0</v>
      </c>
      <c r="C1243" s="75">
        <f t="shared" si="154"/>
        <v>104.50616427295054</v>
      </c>
      <c r="D1243" s="100">
        <f t="shared" si="151"/>
        <v>445.77777777777789</v>
      </c>
      <c r="E1243">
        <f t="shared" si="147"/>
        <v>0</v>
      </c>
      <c r="G1243">
        <v>1193</v>
      </c>
      <c r="H1243" s="15">
        <f t="shared" si="152"/>
        <v>3.3332641781299799E-2</v>
      </c>
      <c r="I1243">
        <f t="shared" si="153"/>
        <v>144.2720059180312</v>
      </c>
      <c r="J1243">
        <f t="shared" si="148"/>
        <v>488.10068370262633</v>
      </c>
      <c r="K1243" s="30">
        <f t="shared" si="149"/>
        <v>7941.5569072215694</v>
      </c>
    </row>
    <row r="1244" spans="1:11" x14ac:dyDescent="0.25">
      <c r="A1244" s="29">
        <v>1194</v>
      </c>
      <c r="B1244" s="99">
        <f t="shared" si="150"/>
        <v>0</v>
      </c>
      <c r="C1244" s="75">
        <f t="shared" si="154"/>
        <v>104.50616427295054</v>
      </c>
      <c r="D1244" s="100">
        <f t="shared" si="151"/>
        <v>445.77777777777789</v>
      </c>
      <c r="E1244">
        <f t="shared" si="147"/>
        <v>0</v>
      </c>
      <c r="G1244">
        <v>1194</v>
      </c>
      <c r="H1244" s="15">
        <f t="shared" si="152"/>
        <v>3.3332641781299799E-2</v>
      </c>
      <c r="I1244">
        <f t="shared" si="153"/>
        <v>144.3053385598125</v>
      </c>
      <c r="J1244">
        <f t="shared" si="148"/>
        <v>488.11988581701723</v>
      </c>
      <c r="K1244" s="30">
        <f t="shared" si="149"/>
        <v>7942.1814795730143</v>
      </c>
    </row>
    <row r="1245" spans="1:11" x14ac:dyDescent="0.25">
      <c r="A1245" s="29">
        <v>1195</v>
      </c>
      <c r="B1245" s="99">
        <f t="shared" si="150"/>
        <v>0</v>
      </c>
      <c r="C1245" s="75">
        <f t="shared" si="154"/>
        <v>104.50616427295054</v>
      </c>
      <c r="D1245" s="100">
        <f t="shared" si="151"/>
        <v>445.77777777777789</v>
      </c>
      <c r="E1245">
        <f t="shared" si="147"/>
        <v>0</v>
      </c>
      <c r="G1245">
        <v>1195</v>
      </c>
      <c r="H1245" s="15">
        <f t="shared" si="152"/>
        <v>3.3332641781299799E-2</v>
      </c>
      <c r="I1245">
        <f t="shared" si="153"/>
        <v>144.3386712015938</v>
      </c>
      <c r="J1245">
        <f t="shared" si="148"/>
        <v>488.13907091045269</v>
      </c>
      <c r="K1245" s="30">
        <f t="shared" si="149"/>
        <v>7942.8055227612667</v>
      </c>
    </row>
    <row r="1246" spans="1:11" x14ac:dyDescent="0.25">
      <c r="A1246" s="29">
        <v>1196</v>
      </c>
      <c r="B1246" s="99">
        <f t="shared" si="150"/>
        <v>0</v>
      </c>
      <c r="C1246" s="75">
        <f t="shared" si="154"/>
        <v>104.50616427295054</v>
      </c>
      <c r="D1246" s="100">
        <f t="shared" si="151"/>
        <v>445.77777777777789</v>
      </c>
      <c r="E1246">
        <f t="shared" si="147"/>
        <v>0</v>
      </c>
      <c r="G1246">
        <v>1196</v>
      </c>
      <c r="H1246" s="15">
        <f t="shared" si="152"/>
        <v>3.3332641781299799E-2</v>
      </c>
      <c r="I1246">
        <f t="shared" si="153"/>
        <v>144.3720038433751</v>
      </c>
      <c r="J1246">
        <f t="shared" si="148"/>
        <v>488.15823899419826</v>
      </c>
      <c r="K1246" s="30">
        <f t="shared" si="149"/>
        <v>7943.429037087375</v>
      </c>
    </row>
    <row r="1247" spans="1:11" x14ac:dyDescent="0.25">
      <c r="A1247" s="29">
        <v>1197</v>
      </c>
      <c r="B1247" s="99">
        <f t="shared" si="150"/>
        <v>0</v>
      </c>
      <c r="C1247" s="75">
        <f t="shared" si="154"/>
        <v>104.50616427295054</v>
      </c>
      <c r="D1247" s="100">
        <f t="shared" si="151"/>
        <v>445.77777777777789</v>
      </c>
      <c r="E1247">
        <f t="shared" si="147"/>
        <v>0</v>
      </c>
      <c r="G1247">
        <v>1197</v>
      </c>
      <c r="H1247" s="15">
        <f t="shared" si="152"/>
        <v>3.3332641781299799E-2</v>
      </c>
      <c r="I1247">
        <f t="shared" si="153"/>
        <v>144.4053364851564</v>
      </c>
      <c r="J1247">
        <f t="shared" si="148"/>
        <v>488.17739007949979</v>
      </c>
      <c r="K1247" s="30">
        <f t="shared" si="149"/>
        <v>7944.0520228518544</v>
      </c>
    </row>
    <row r="1248" spans="1:11" x14ac:dyDescent="0.25">
      <c r="A1248" s="29">
        <v>1198</v>
      </c>
      <c r="B1248" s="99">
        <f t="shared" si="150"/>
        <v>0</v>
      </c>
      <c r="C1248" s="75">
        <f t="shared" si="154"/>
        <v>104.50616427295054</v>
      </c>
      <c r="D1248" s="100">
        <f t="shared" si="151"/>
        <v>445.77777777777789</v>
      </c>
      <c r="E1248">
        <f t="shared" si="147"/>
        <v>0</v>
      </c>
      <c r="G1248">
        <v>1198</v>
      </c>
      <c r="H1248" s="15">
        <f t="shared" si="152"/>
        <v>3.3332641781299799E-2</v>
      </c>
      <c r="I1248">
        <f t="shared" si="153"/>
        <v>144.4386691269377</v>
      </c>
      <c r="J1248">
        <f t="shared" si="148"/>
        <v>488.19652417758323</v>
      </c>
      <c r="K1248" s="30">
        <f t="shared" si="149"/>
        <v>7944.6744803546908</v>
      </c>
    </row>
    <row r="1249" spans="1:11" x14ac:dyDescent="0.25">
      <c r="A1249" s="29">
        <v>1199</v>
      </c>
      <c r="B1249" s="99">
        <f t="shared" si="150"/>
        <v>0</v>
      </c>
      <c r="C1249" s="75">
        <f t="shared" si="154"/>
        <v>104.50616427295054</v>
      </c>
      <c r="D1249" s="100">
        <f t="shared" si="151"/>
        <v>445.77777777777789</v>
      </c>
      <c r="E1249">
        <f t="shared" si="147"/>
        <v>0</v>
      </c>
      <c r="G1249">
        <v>1199</v>
      </c>
      <c r="H1249" s="15">
        <f t="shared" si="152"/>
        <v>3.3332641781299799E-2</v>
      </c>
      <c r="I1249">
        <f t="shared" si="153"/>
        <v>144.472001768719</v>
      </c>
      <c r="J1249">
        <f t="shared" si="148"/>
        <v>488.21564129965464</v>
      </c>
      <c r="K1249" s="30">
        <f t="shared" si="149"/>
        <v>7945.2964098953371</v>
      </c>
    </row>
    <row r="1250" spans="1:11" x14ac:dyDescent="0.25">
      <c r="A1250" s="29">
        <v>1200</v>
      </c>
      <c r="B1250" s="99">
        <f t="shared" si="150"/>
        <v>0</v>
      </c>
      <c r="C1250" s="75">
        <f t="shared" si="154"/>
        <v>104.50616427295054</v>
      </c>
      <c r="D1250" s="100">
        <f t="shared" si="151"/>
        <v>445.77777777777789</v>
      </c>
      <c r="E1250">
        <f t="shared" si="147"/>
        <v>0</v>
      </c>
      <c r="G1250">
        <v>1200</v>
      </c>
      <c r="H1250" s="15">
        <f t="shared" si="152"/>
        <v>3.3332641781299799E-2</v>
      </c>
      <c r="I1250">
        <f t="shared" si="153"/>
        <v>144.5053344105003</v>
      </c>
      <c r="J1250">
        <f t="shared" si="148"/>
        <v>488.23474145690028</v>
      </c>
      <c r="K1250" s="30">
        <f t="shared" si="149"/>
        <v>7945.9178117727197</v>
      </c>
    </row>
    <row r="1251" spans="1:11" x14ac:dyDescent="0.25">
      <c r="A1251" s="29">
        <v>1201</v>
      </c>
      <c r="B1251" s="99">
        <f t="shared" si="150"/>
        <v>0</v>
      </c>
      <c r="C1251" s="75">
        <f t="shared" si="154"/>
        <v>104.50616427295054</v>
      </c>
      <c r="D1251" s="100">
        <f t="shared" si="151"/>
        <v>445.77777777777789</v>
      </c>
      <c r="E1251">
        <f t="shared" si="147"/>
        <v>0</v>
      </c>
      <c r="G1251">
        <v>1201</v>
      </c>
      <c r="H1251" s="15">
        <f t="shared" si="152"/>
        <v>3.3332641781299799E-2</v>
      </c>
      <c r="I1251">
        <f t="shared" si="153"/>
        <v>144.5386670522816</v>
      </c>
      <c r="J1251">
        <f t="shared" si="148"/>
        <v>488.25382466048677</v>
      </c>
      <c r="K1251" s="30">
        <f t="shared" si="149"/>
        <v>7946.5386862852383</v>
      </c>
    </row>
    <row r="1252" spans="1:11" x14ac:dyDescent="0.25">
      <c r="A1252" s="29">
        <v>1202</v>
      </c>
      <c r="B1252" s="99">
        <f t="shared" si="150"/>
        <v>0</v>
      </c>
      <c r="C1252" s="75">
        <f t="shared" si="154"/>
        <v>104.50616427295054</v>
      </c>
      <c r="D1252" s="100">
        <f t="shared" si="151"/>
        <v>445.77777777777789</v>
      </c>
      <c r="E1252">
        <f t="shared" si="147"/>
        <v>0</v>
      </c>
      <c r="G1252">
        <v>1202</v>
      </c>
      <c r="H1252" s="15">
        <f t="shared" si="152"/>
        <v>3.3332641781299799E-2</v>
      </c>
      <c r="I1252">
        <f t="shared" si="153"/>
        <v>144.5719996940629</v>
      </c>
      <c r="J1252">
        <f t="shared" si="148"/>
        <v>488.27289092156104</v>
      </c>
      <c r="K1252" s="30">
        <f t="shared" si="149"/>
        <v>7947.1590337307671</v>
      </c>
    </row>
    <row r="1253" spans="1:11" x14ac:dyDescent="0.25">
      <c r="A1253" s="29">
        <v>1203</v>
      </c>
      <c r="B1253" s="99">
        <f t="shared" si="150"/>
        <v>0</v>
      </c>
      <c r="C1253" s="75">
        <f t="shared" si="154"/>
        <v>104.50616427295054</v>
      </c>
      <c r="D1253" s="100">
        <f t="shared" si="151"/>
        <v>445.77777777777789</v>
      </c>
      <c r="E1253">
        <f t="shared" si="147"/>
        <v>0</v>
      </c>
      <c r="G1253">
        <v>1203</v>
      </c>
      <c r="H1253" s="15">
        <f t="shared" si="152"/>
        <v>3.3332641781299799E-2</v>
      </c>
      <c r="I1253">
        <f t="shared" si="153"/>
        <v>144.6053323358442</v>
      </c>
      <c r="J1253">
        <f t="shared" si="148"/>
        <v>488.2919402512502</v>
      </c>
      <c r="K1253" s="30">
        <f t="shared" si="149"/>
        <v>7947.7788544066498</v>
      </c>
    </row>
    <row r="1254" spans="1:11" x14ac:dyDescent="0.25">
      <c r="A1254" s="29">
        <v>1204</v>
      </c>
      <c r="B1254" s="99">
        <f t="shared" si="150"/>
        <v>0</v>
      </c>
      <c r="C1254" s="75">
        <f t="shared" si="154"/>
        <v>104.50616427295054</v>
      </c>
      <c r="D1254" s="100">
        <f t="shared" si="151"/>
        <v>445.77777777777789</v>
      </c>
      <c r="E1254">
        <f t="shared" si="147"/>
        <v>0</v>
      </c>
      <c r="G1254">
        <v>1204</v>
      </c>
      <c r="H1254" s="15">
        <f t="shared" si="152"/>
        <v>3.3332641781299799E-2</v>
      </c>
      <c r="I1254">
        <f t="shared" si="153"/>
        <v>144.6386649776255</v>
      </c>
      <c r="J1254">
        <f t="shared" si="148"/>
        <v>488.31097266066195</v>
      </c>
      <c r="K1254" s="30">
        <f t="shared" si="149"/>
        <v>7948.3981486097136</v>
      </c>
    </row>
    <row r="1255" spans="1:11" x14ac:dyDescent="0.25">
      <c r="A1255" s="29">
        <v>1205</v>
      </c>
      <c r="B1255" s="99">
        <f t="shared" si="150"/>
        <v>0</v>
      </c>
      <c r="C1255" s="75">
        <f t="shared" si="154"/>
        <v>104.50616427295054</v>
      </c>
      <c r="D1255" s="100">
        <f t="shared" si="151"/>
        <v>445.77777777777789</v>
      </c>
      <c r="E1255">
        <f t="shared" si="147"/>
        <v>0</v>
      </c>
      <c r="G1255">
        <v>1205</v>
      </c>
      <c r="H1255" s="15">
        <f t="shared" si="152"/>
        <v>3.3332641781299799E-2</v>
      </c>
      <c r="I1255">
        <f t="shared" si="153"/>
        <v>144.6719976194068</v>
      </c>
      <c r="J1255">
        <f t="shared" si="148"/>
        <v>488.32998816088423</v>
      </c>
      <c r="K1255" s="30">
        <f t="shared" si="149"/>
        <v>7949.0169166362566</v>
      </c>
    </row>
    <row r="1256" spans="1:11" x14ac:dyDescent="0.25">
      <c r="A1256" s="29">
        <v>1206</v>
      </c>
      <c r="B1256" s="99">
        <f t="shared" si="150"/>
        <v>0</v>
      </c>
      <c r="C1256" s="75">
        <f t="shared" si="154"/>
        <v>104.50616427295054</v>
      </c>
      <c r="D1256" s="100">
        <f t="shared" si="151"/>
        <v>445.77777777777789</v>
      </c>
      <c r="E1256">
        <f t="shared" si="147"/>
        <v>0</v>
      </c>
      <c r="G1256">
        <v>1206</v>
      </c>
      <c r="H1256" s="15">
        <f t="shared" si="152"/>
        <v>3.3332641781299799E-2</v>
      </c>
      <c r="I1256">
        <f t="shared" si="153"/>
        <v>144.7053302611881</v>
      </c>
      <c r="J1256">
        <f t="shared" si="148"/>
        <v>488.34898676298565</v>
      </c>
      <c r="K1256" s="30">
        <f t="shared" si="149"/>
        <v>7949.6351587820609</v>
      </c>
    </row>
    <row r="1257" spans="1:11" x14ac:dyDescent="0.25">
      <c r="A1257" s="29">
        <v>1207</v>
      </c>
      <c r="B1257" s="99">
        <f t="shared" si="150"/>
        <v>0</v>
      </c>
      <c r="C1257" s="75">
        <f t="shared" si="154"/>
        <v>104.50616427295054</v>
      </c>
      <c r="D1257" s="100">
        <f t="shared" si="151"/>
        <v>445.77777777777789</v>
      </c>
      <c r="E1257">
        <f t="shared" si="147"/>
        <v>0</v>
      </c>
      <c r="G1257">
        <v>1207</v>
      </c>
      <c r="H1257" s="15">
        <f t="shared" si="152"/>
        <v>3.3332641781299799E-2</v>
      </c>
      <c r="I1257">
        <f t="shared" si="153"/>
        <v>144.73866290296939</v>
      </c>
      <c r="J1257">
        <f t="shared" si="148"/>
        <v>488.3679684780152</v>
      </c>
      <c r="K1257" s="30">
        <f t="shared" si="149"/>
        <v>7950.252875342384</v>
      </c>
    </row>
    <row r="1258" spans="1:11" x14ac:dyDescent="0.25">
      <c r="A1258" s="29">
        <v>1208</v>
      </c>
      <c r="B1258" s="99">
        <f t="shared" si="150"/>
        <v>0</v>
      </c>
      <c r="C1258" s="75">
        <f t="shared" si="154"/>
        <v>104.50616427295054</v>
      </c>
      <c r="D1258" s="100">
        <f t="shared" si="151"/>
        <v>445.77777777777789</v>
      </c>
      <c r="E1258">
        <f t="shared" si="147"/>
        <v>0</v>
      </c>
      <c r="G1258">
        <v>1208</v>
      </c>
      <c r="H1258" s="15">
        <f t="shared" si="152"/>
        <v>3.3332641781299799E-2</v>
      </c>
      <c r="I1258">
        <f t="shared" si="153"/>
        <v>144.77199554475069</v>
      </c>
      <c r="J1258">
        <f t="shared" si="148"/>
        <v>488.3869333170025</v>
      </c>
      <c r="K1258" s="30">
        <f t="shared" si="149"/>
        <v>7950.8700666119648</v>
      </c>
    </row>
    <row r="1259" spans="1:11" x14ac:dyDescent="0.25">
      <c r="A1259" s="29">
        <v>1209</v>
      </c>
      <c r="B1259" s="99">
        <f t="shared" si="150"/>
        <v>0</v>
      </c>
      <c r="C1259" s="75">
        <f t="shared" si="154"/>
        <v>104.50616427295054</v>
      </c>
      <c r="D1259" s="100">
        <f t="shared" si="151"/>
        <v>445.77777777777789</v>
      </c>
      <c r="E1259">
        <f t="shared" si="147"/>
        <v>0</v>
      </c>
      <c r="G1259">
        <v>1209</v>
      </c>
      <c r="H1259" s="15">
        <f t="shared" si="152"/>
        <v>3.3332641781299799E-2</v>
      </c>
      <c r="I1259">
        <f t="shared" si="153"/>
        <v>144.80532818653199</v>
      </c>
      <c r="J1259">
        <f t="shared" si="148"/>
        <v>488.40588129095772</v>
      </c>
      <c r="K1259" s="30">
        <f t="shared" si="149"/>
        <v>7951.4867328850241</v>
      </c>
    </row>
    <row r="1260" spans="1:11" x14ac:dyDescent="0.25">
      <c r="A1260" s="29">
        <v>1210</v>
      </c>
      <c r="B1260" s="99">
        <f t="shared" si="150"/>
        <v>0</v>
      </c>
      <c r="C1260" s="75">
        <f t="shared" si="154"/>
        <v>104.50616427295054</v>
      </c>
      <c r="D1260" s="100">
        <f t="shared" si="151"/>
        <v>445.77777777777789</v>
      </c>
      <c r="E1260">
        <f t="shared" si="147"/>
        <v>0</v>
      </c>
      <c r="G1260">
        <v>1210</v>
      </c>
      <c r="H1260" s="15">
        <f t="shared" si="152"/>
        <v>3.3332641781299799E-2</v>
      </c>
      <c r="I1260">
        <f t="shared" si="153"/>
        <v>144.83866082831329</v>
      </c>
      <c r="J1260">
        <f t="shared" si="148"/>
        <v>488.42481241087177</v>
      </c>
      <c r="K1260" s="30">
        <f t="shared" si="149"/>
        <v>7952.1028744552686</v>
      </c>
    </row>
    <row r="1261" spans="1:11" x14ac:dyDescent="0.25">
      <c r="A1261" s="29">
        <v>1211</v>
      </c>
      <c r="B1261" s="99">
        <f t="shared" si="150"/>
        <v>0</v>
      </c>
      <c r="C1261" s="75">
        <f t="shared" si="154"/>
        <v>104.50616427295054</v>
      </c>
      <c r="D1261" s="100">
        <f t="shared" si="151"/>
        <v>445.77777777777789</v>
      </c>
      <c r="E1261">
        <f t="shared" si="147"/>
        <v>0</v>
      </c>
      <c r="G1261">
        <v>1211</v>
      </c>
      <c r="H1261" s="15">
        <f t="shared" si="152"/>
        <v>3.3332641781299799E-2</v>
      </c>
      <c r="I1261">
        <f t="shared" si="153"/>
        <v>144.87199347009459</v>
      </c>
      <c r="J1261">
        <f t="shared" si="148"/>
        <v>488.44372668771615</v>
      </c>
      <c r="K1261" s="30">
        <f t="shared" si="149"/>
        <v>7952.7184916158867</v>
      </c>
    </row>
    <row r="1262" spans="1:11" x14ac:dyDescent="0.25">
      <c r="A1262" s="29">
        <v>1212</v>
      </c>
      <c r="B1262" s="99">
        <f t="shared" si="150"/>
        <v>0</v>
      </c>
      <c r="C1262" s="75">
        <f t="shared" si="154"/>
        <v>104.50616427295054</v>
      </c>
      <c r="D1262" s="100">
        <f t="shared" si="151"/>
        <v>445.77777777777789</v>
      </c>
      <c r="E1262">
        <f t="shared" si="147"/>
        <v>0</v>
      </c>
      <c r="G1262">
        <v>1212</v>
      </c>
      <c r="H1262" s="15">
        <f t="shared" si="152"/>
        <v>3.3332641781299799E-2</v>
      </c>
      <c r="I1262">
        <f t="shared" si="153"/>
        <v>144.90532611187589</v>
      </c>
      <c r="J1262">
        <f t="shared" si="148"/>
        <v>488.46262413244307</v>
      </c>
      <c r="K1262" s="30">
        <f t="shared" si="149"/>
        <v>7953.3335846595473</v>
      </c>
    </row>
    <row r="1263" spans="1:11" x14ac:dyDescent="0.25">
      <c r="A1263" s="29">
        <v>1213</v>
      </c>
      <c r="B1263" s="99">
        <f t="shared" si="150"/>
        <v>0</v>
      </c>
      <c r="C1263" s="75">
        <f t="shared" si="154"/>
        <v>104.50616427295054</v>
      </c>
      <c r="D1263" s="100">
        <f t="shared" si="151"/>
        <v>445.77777777777789</v>
      </c>
      <c r="E1263">
        <f t="shared" si="147"/>
        <v>0</v>
      </c>
      <c r="G1263">
        <v>1213</v>
      </c>
      <c r="H1263" s="15">
        <f t="shared" si="152"/>
        <v>3.3332641781299799E-2</v>
      </c>
      <c r="I1263">
        <f t="shared" si="153"/>
        <v>144.93865875365719</v>
      </c>
      <c r="J1263">
        <f t="shared" si="148"/>
        <v>488.48150475598561</v>
      </c>
      <c r="K1263" s="30">
        <f t="shared" si="149"/>
        <v>7953.9481538784139</v>
      </c>
    </row>
    <row r="1264" spans="1:11" x14ac:dyDescent="0.25">
      <c r="A1264" s="29">
        <v>1214</v>
      </c>
      <c r="B1264" s="99">
        <f t="shared" si="150"/>
        <v>0</v>
      </c>
      <c r="C1264" s="75">
        <f t="shared" si="154"/>
        <v>104.50616427295054</v>
      </c>
      <c r="D1264" s="100">
        <f t="shared" si="151"/>
        <v>445.77777777777789</v>
      </c>
      <c r="E1264">
        <f t="shared" si="147"/>
        <v>0</v>
      </c>
      <c r="G1264">
        <v>1214</v>
      </c>
      <c r="H1264" s="15">
        <f t="shared" si="152"/>
        <v>3.3332641781299799E-2</v>
      </c>
      <c r="I1264">
        <f t="shared" si="153"/>
        <v>144.97199139543849</v>
      </c>
      <c r="J1264">
        <f t="shared" si="148"/>
        <v>488.50036856925772</v>
      </c>
      <c r="K1264" s="30">
        <f t="shared" si="149"/>
        <v>7954.5621995641341</v>
      </c>
    </row>
    <row r="1265" spans="1:11" x14ac:dyDescent="0.25">
      <c r="A1265" s="29">
        <v>1215</v>
      </c>
      <c r="B1265" s="99">
        <f t="shared" si="150"/>
        <v>0</v>
      </c>
      <c r="C1265" s="75">
        <f t="shared" si="154"/>
        <v>104.50616427295054</v>
      </c>
      <c r="D1265" s="100">
        <f t="shared" si="151"/>
        <v>445.77777777777789</v>
      </c>
      <c r="E1265">
        <f t="shared" si="147"/>
        <v>0</v>
      </c>
      <c r="G1265">
        <v>1215</v>
      </c>
      <c r="H1265" s="15">
        <f t="shared" si="152"/>
        <v>3.3332641781299799E-2</v>
      </c>
      <c r="I1265">
        <f t="shared" si="153"/>
        <v>145.00532403721979</v>
      </c>
      <c r="J1265">
        <f t="shared" si="148"/>
        <v>488.51921558315394</v>
      </c>
      <c r="K1265" s="30">
        <f t="shared" si="149"/>
        <v>7955.1757220078407</v>
      </c>
    </row>
    <row r="1266" spans="1:11" x14ac:dyDescent="0.25">
      <c r="A1266" s="29">
        <v>1216</v>
      </c>
      <c r="B1266" s="99">
        <f t="shared" si="150"/>
        <v>0</v>
      </c>
      <c r="C1266" s="75">
        <f t="shared" si="154"/>
        <v>104.50616427295054</v>
      </c>
      <c r="D1266" s="100">
        <f t="shared" si="151"/>
        <v>445.77777777777789</v>
      </c>
      <c r="E1266">
        <f t="shared" si="147"/>
        <v>0</v>
      </c>
      <c r="G1266">
        <v>1216</v>
      </c>
      <c r="H1266" s="15">
        <f t="shared" si="152"/>
        <v>3.3332641781299799E-2</v>
      </c>
      <c r="I1266">
        <f t="shared" si="153"/>
        <v>145.03865667900109</v>
      </c>
      <c r="J1266">
        <f t="shared" si="148"/>
        <v>488.53804580854995</v>
      </c>
      <c r="K1266" s="30">
        <f t="shared" si="149"/>
        <v>7955.7887215001601</v>
      </c>
    </row>
    <row r="1267" spans="1:11" x14ac:dyDescent="0.25">
      <c r="A1267" s="29">
        <v>1217</v>
      </c>
      <c r="B1267" s="99">
        <f t="shared" si="150"/>
        <v>0</v>
      </c>
      <c r="C1267" s="75">
        <f t="shared" si="154"/>
        <v>104.50616427295054</v>
      </c>
      <c r="D1267" s="100">
        <f t="shared" si="151"/>
        <v>445.77777777777789</v>
      </c>
      <c r="E1267">
        <f t="shared" ref="E1267:E1330" si="155">((D1267^2)+(D1267*D1268)+(D1268^2))*B1268/3</f>
        <v>0</v>
      </c>
      <c r="G1267">
        <v>1217</v>
      </c>
      <c r="H1267" s="15">
        <f t="shared" si="152"/>
        <v>3.3332641781299799E-2</v>
      </c>
      <c r="I1267">
        <f t="shared" si="153"/>
        <v>145.07198932078239</v>
      </c>
      <c r="J1267">
        <f t="shared" ref="J1267:J1330" si="156">IF($G$28&lt;$C$14,0,((($C$11^2)-((I1267-$C$13)^2))^0.5)+$C$16)</f>
        <v>488.55685925630235</v>
      </c>
      <c r="K1267" s="30">
        <f t="shared" ref="K1267:K1330" si="157">((J1267^2)+(J1267*J1268)+(J1268^2))*H1268/3</f>
        <v>7956.4011983312112</v>
      </c>
    </row>
    <row r="1268" spans="1:11" x14ac:dyDescent="0.25">
      <c r="A1268" s="29">
        <v>1218</v>
      </c>
      <c r="B1268" s="99">
        <f t="shared" ref="B1268:B1331" si="158">C1268-C1267</f>
        <v>0</v>
      </c>
      <c r="C1268" s="75">
        <f t="shared" si="154"/>
        <v>104.50616427295054</v>
      </c>
      <c r="D1268" s="100">
        <f t="shared" ref="D1268:D1331" si="159">IF($G$28&lt;$C$14,0,((($C$11^2)-((C1268-$C$13)^2))^0.5)+$C$16)</f>
        <v>445.77777777777789</v>
      </c>
      <c r="E1268">
        <f t="shared" si="155"/>
        <v>0</v>
      </c>
      <c r="G1268">
        <v>1218</v>
      </c>
      <c r="H1268" s="15">
        <f t="shared" ref="H1268:H1331" si="160">I1268-I1267</f>
        <v>3.3332641781299799E-2</v>
      </c>
      <c r="I1268">
        <f t="shared" ref="I1268:I1331" si="161">($G$27-$C$14)/2000+I1267</f>
        <v>145.10532196256369</v>
      </c>
      <c r="J1268">
        <f t="shared" si="156"/>
        <v>488.57565593724854</v>
      </c>
      <c r="K1268" s="30">
        <f t="shared" si="157"/>
        <v>7957.0131527905951</v>
      </c>
    </row>
    <row r="1269" spans="1:11" x14ac:dyDescent="0.25">
      <c r="A1269" s="29">
        <v>1219</v>
      </c>
      <c r="B1269" s="99">
        <f t="shared" si="158"/>
        <v>0</v>
      </c>
      <c r="C1269" s="75">
        <f t="shared" si="154"/>
        <v>104.50616427295054</v>
      </c>
      <c r="D1269" s="100">
        <f t="shared" si="159"/>
        <v>445.77777777777789</v>
      </c>
      <c r="E1269">
        <f t="shared" si="155"/>
        <v>0</v>
      </c>
      <c r="G1269">
        <v>1219</v>
      </c>
      <c r="H1269" s="15">
        <f t="shared" si="160"/>
        <v>3.3332641781299799E-2</v>
      </c>
      <c r="I1269">
        <f t="shared" si="161"/>
        <v>145.13865460434499</v>
      </c>
      <c r="J1269">
        <f t="shared" si="156"/>
        <v>488.59443586220721</v>
      </c>
      <c r="K1269" s="30">
        <f t="shared" si="157"/>
        <v>7957.6245851674184</v>
      </c>
    </row>
    <row r="1270" spans="1:11" x14ac:dyDescent="0.25">
      <c r="A1270" s="29">
        <v>1220</v>
      </c>
      <c r="B1270" s="99">
        <f t="shared" si="158"/>
        <v>0</v>
      </c>
      <c r="C1270" s="75">
        <f t="shared" si="154"/>
        <v>104.50616427295054</v>
      </c>
      <c r="D1270" s="100">
        <f t="shared" si="159"/>
        <v>445.77777777777789</v>
      </c>
      <c r="E1270">
        <f t="shared" si="155"/>
        <v>0</v>
      </c>
      <c r="G1270">
        <v>1220</v>
      </c>
      <c r="H1270" s="15">
        <f t="shared" si="160"/>
        <v>3.3332641781299799E-2</v>
      </c>
      <c r="I1270">
        <f t="shared" si="161"/>
        <v>145.17198724612629</v>
      </c>
      <c r="J1270">
        <f t="shared" si="156"/>
        <v>488.61319904197785</v>
      </c>
      <c r="K1270" s="30">
        <f t="shared" si="157"/>
        <v>7958.2354957502748</v>
      </c>
    </row>
    <row r="1271" spans="1:11" x14ac:dyDescent="0.25">
      <c r="A1271" s="29">
        <v>1221</v>
      </c>
      <c r="B1271" s="99">
        <f t="shared" si="158"/>
        <v>0</v>
      </c>
      <c r="C1271" s="75">
        <f t="shared" si="154"/>
        <v>104.50616427295054</v>
      </c>
      <c r="D1271" s="100">
        <f t="shared" si="159"/>
        <v>445.77777777777789</v>
      </c>
      <c r="E1271">
        <f t="shared" si="155"/>
        <v>0</v>
      </c>
      <c r="G1271">
        <v>1221</v>
      </c>
      <c r="H1271" s="15">
        <f t="shared" si="160"/>
        <v>3.3332641781299799E-2</v>
      </c>
      <c r="I1271">
        <f t="shared" si="161"/>
        <v>145.20531988790759</v>
      </c>
      <c r="J1271">
        <f t="shared" si="156"/>
        <v>488.63194548734128</v>
      </c>
      <c r="K1271" s="30">
        <f t="shared" si="157"/>
        <v>7958.8458848272558</v>
      </c>
    </row>
    <row r="1272" spans="1:11" x14ac:dyDescent="0.25">
      <c r="A1272" s="29">
        <v>1222</v>
      </c>
      <c r="B1272" s="99">
        <f t="shared" si="158"/>
        <v>0</v>
      </c>
      <c r="C1272" s="75">
        <f t="shared" si="154"/>
        <v>104.50616427295054</v>
      </c>
      <c r="D1272" s="100">
        <f t="shared" si="159"/>
        <v>445.77777777777789</v>
      </c>
      <c r="E1272">
        <f t="shared" si="155"/>
        <v>0</v>
      </c>
      <c r="G1272">
        <v>1222</v>
      </c>
      <c r="H1272" s="15">
        <f t="shared" si="160"/>
        <v>3.3332641781299799E-2</v>
      </c>
      <c r="I1272">
        <f t="shared" si="161"/>
        <v>145.23865252968889</v>
      </c>
      <c r="J1272">
        <f t="shared" si="156"/>
        <v>488.65067520905933</v>
      </c>
      <c r="K1272" s="30">
        <f t="shared" si="157"/>
        <v>7959.4557526859453</v>
      </c>
    </row>
    <row r="1273" spans="1:11" x14ac:dyDescent="0.25">
      <c r="A1273" s="29">
        <v>1223</v>
      </c>
      <c r="B1273" s="99">
        <f t="shared" si="158"/>
        <v>0</v>
      </c>
      <c r="C1273" s="75">
        <f t="shared" si="154"/>
        <v>104.50616427295054</v>
      </c>
      <c r="D1273" s="100">
        <f t="shared" si="159"/>
        <v>445.77777777777789</v>
      </c>
      <c r="E1273">
        <f t="shared" si="155"/>
        <v>0</v>
      </c>
      <c r="G1273">
        <v>1223</v>
      </c>
      <c r="H1273" s="15">
        <f t="shared" si="160"/>
        <v>3.3332641781299799E-2</v>
      </c>
      <c r="I1273">
        <f t="shared" si="161"/>
        <v>145.27198517147019</v>
      </c>
      <c r="J1273">
        <f t="shared" si="156"/>
        <v>488.669388217875</v>
      </c>
      <c r="K1273" s="30">
        <f t="shared" si="157"/>
        <v>7960.0650996134273</v>
      </c>
    </row>
    <row r="1274" spans="1:11" x14ac:dyDescent="0.25">
      <c r="A1274" s="29">
        <v>1224</v>
      </c>
      <c r="B1274" s="99">
        <f t="shared" si="158"/>
        <v>0</v>
      </c>
      <c r="C1274" s="75">
        <f t="shared" si="154"/>
        <v>104.50616427295054</v>
      </c>
      <c r="D1274" s="100">
        <f t="shared" si="159"/>
        <v>445.77777777777789</v>
      </c>
      <c r="E1274">
        <f t="shared" si="155"/>
        <v>0</v>
      </c>
      <c r="G1274">
        <v>1224</v>
      </c>
      <c r="H1274" s="15">
        <f t="shared" si="160"/>
        <v>3.3332641781299799E-2</v>
      </c>
      <c r="I1274">
        <f t="shared" si="161"/>
        <v>145.30531781325149</v>
      </c>
      <c r="J1274">
        <f t="shared" si="156"/>
        <v>488.68808452451259</v>
      </c>
      <c r="K1274" s="30">
        <f t="shared" si="157"/>
        <v>7960.6739258962834</v>
      </c>
    </row>
    <row r="1275" spans="1:11" x14ac:dyDescent="0.25">
      <c r="A1275" s="29">
        <v>1225</v>
      </c>
      <c r="B1275" s="99">
        <f t="shared" si="158"/>
        <v>0</v>
      </c>
      <c r="C1275" s="75">
        <f t="shared" si="154"/>
        <v>104.50616427295054</v>
      </c>
      <c r="D1275" s="100">
        <f t="shared" si="159"/>
        <v>445.77777777777789</v>
      </c>
      <c r="E1275">
        <f t="shared" si="155"/>
        <v>0</v>
      </c>
      <c r="G1275">
        <v>1225</v>
      </c>
      <c r="H1275" s="15">
        <f t="shared" si="160"/>
        <v>3.3332641781299799E-2</v>
      </c>
      <c r="I1275">
        <f t="shared" si="161"/>
        <v>145.33865045503279</v>
      </c>
      <c r="J1275">
        <f t="shared" si="156"/>
        <v>488.7067641396776</v>
      </c>
      <c r="K1275" s="30">
        <f t="shared" si="157"/>
        <v>7961.2822318205954</v>
      </c>
    </row>
    <row r="1276" spans="1:11" x14ac:dyDescent="0.25">
      <c r="A1276" s="29">
        <v>1226</v>
      </c>
      <c r="B1276" s="99">
        <f t="shared" si="158"/>
        <v>0</v>
      </c>
      <c r="C1276" s="75">
        <f t="shared" si="154"/>
        <v>104.50616427295054</v>
      </c>
      <c r="D1276" s="100">
        <f t="shared" si="159"/>
        <v>445.77777777777789</v>
      </c>
      <c r="E1276">
        <f t="shared" si="155"/>
        <v>0</v>
      </c>
      <c r="G1276">
        <v>1226</v>
      </c>
      <c r="H1276" s="15">
        <f t="shared" si="160"/>
        <v>3.3332641781299799E-2</v>
      </c>
      <c r="I1276">
        <f t="shared" si="161"/>
        <v>145.37198309681409</v>
      </c>
      <c r="J1276">
        <f t="shared" si="156"/>
        <v>488.725427074057</v>
      </c>
      <c r="K1276" s="30">
        <f t="shared" si="157"/>
        <v>7961.890017671948</v>
      </c>
    </row>
    <row r="1277" spans="1:11" x14ac:dyDescent="0.25">
      <c r="A1277" s="29">
        <v>1227</v>
      </c>
      <c r="B1277" s="99">
        <f t="shared" si="158"/>
        <v>0</v>
      </c>
      <c r="C1277" s="75">
        <f t="shared" si="154"/>
        <v>104.50616427295054</v>
      </c>
      <c r="D1277" s="100">
        <f t="shared" si="159"/>
        <v>445.77777777777789</v>
      </c>
      <c r="E1277">
        <f t="shared" si="155"/>
        <v>0</v>
      </c>
      <c r="G1277">
        <v>1227</v>
      </c>
      <c r="H1277" s="15">
        <f t="shared" si="160"/>
        <v>3.3332641781299799E-2</v>
      </c>
      <c r="I1277">
        <f t="shared" si="161"/>
        <v>145.40531573859539</v>
      </c>
      <c r="J1277">
        <f t="shared" si="156"/>
        <v>488.74407333831886</v>
      </c>
      <c r="K1277" s="30">
        <f t="shared" si="157"/>
        <v>7962.4972837354244</v>
      </c>
    </row>
    <row r="1278" spans="1:11" x14ac:dyDescent="0.25">
      <c r="A1278" s="29">
        <v>1228</v>
      </c>
      <c r="B1278" s="99">
        <f t="shared" si="158"/>
        <v>0</v>
      </c>
      <c r="C1278" s="75">
        <f t="shared" si="154"/>
        <v>104.50616427295054</v>
      </c>
      <c r="D1278" s="100">
        <f t="shared" si="159"/>
        <v>445.77777777777789</v>
      </c>
      <c r="E1278">
        <f t="shared" si="155"/>
        <v>0</v>
      </c>
      <c r="G1278">
        <v>1228</v>
      </c>
      <c r="H1278" s="15">
        <f t="shared" si="160"/>
        <v>3.3332641781299799E-2</v>
      </c>
      <c r="I1278">
        <f t="shared" si="161"/>
        <v>145.43864838037669</v>
      </c>
      <c r="J1278">
        <f t="shared" si="156"/>
        <v>488.7627029431128</v>
      </c>
      <c r="K1278" s="30">
        <f t="shared" si="157"/>
        <v>7963.1040302956071</v>
      </c>
    </row>
    <row r="1279" spans="1:11" x14ac:dyDescent="0.25">
      <c r="A1279" s="29">
        <v>1229</v>
      </c>
      <c r="B1279" s="99">
        <f t="shared" si="158"/>
        <v>0</v>
      </c>
      <c r="C1279" s="75">
        <f t="shared" si="154"/>
        <v>104.50616427295054</v>
      </c>
      <c r="D1279" s="100">
        <f t="shared" si="159"/>
        <v>445.77777777777789</v>
      </c>
      <c r="E1279">
        <f t="shared" si="155"/>
        <v>0</v>
      </c>
      <c r="G1279">
        <v>1229</v>
      </c>
      <c r="H1279" s="15">
        <f t="shared" si="160"/>
        <v>3.3332641781299799E-2</v>
      </c>
      <c r="I1279">
        <f t="shared" si="161"/>
        <v>145.47198102215799</v>
      </c>
      <c r="J1279">
        <f t="shared" si="156"/>
        <v>488.7813158990698</v>
      </c>
      <c r="K1279" s="30">
        <f t="shared" si="157"/>
        <v>7963.7102576365896</v>
      </c>
    </row>
    <row r="1280" spans="1:11" x14ac:dyDescent="0.25">
      <c r="A1280" s="29">
        <v>1230</v>
      </c>
      <c r="B1280" s="99">
        <f t="shared" si="158"/>
        <v>0</v>
      </c>
      <c r="C1280" s="75">
        <f t="shared" si="154"/>
        <v>104.50616427295054</v>
      </c>
      <c r="D1280" s="100">
        <f t="shared" si="159"/>
        <v>445.77777777777789</v>
      </c>
      <c r="E1280">
        <f t="shared" si="155"/>
        <v>0</v>
      </c>
      <c r="G1280">
        <v>1230</v>
      </c>
      <c r="H1280" s="15">
        <f t="shared" si="160"/>
        <v>3.3332641781299799E-2</v>
      </c>
      <c r="I1280">
        <f t="shared" si="161"/>
        <v>145.50531366393929</v>
      </c>
      <c r="J1280">
        <f t="shared" si="156"/>
        <v>488.7999122168024</v>
      </c>
      <c r="K1280" s="30">
        <f t="shared" si="157"/>
        <v>7964.3159660419687</v>
      </c>
    </row>
    <row r="1281" spans="1:11" x14ac:dyDescent="0.25">
      <c r="A1281" s="29">
        <v>1231</v>
      </c>
      <c r="B1281" s="99">
        <f t="shared" si="158"/>
        <v>0</v>
      </c>
      <c r="C1281" s="75">
        <f t="shared" si="154"/>
        <v>104.50616427295054</v>
      </c>
      <c r="D1281" s="100">
        <f t="shared" si="159"/>
        <v>445.77777777777789</v>
      </c>
      <c r="E1281">
        <f t="shared" si="155"/>
        <v>0</v>
      </c>
      <c r="G1281">
        <v>1231</v>
      </c>
      <c r="H1281" s="15">
        <f t="shared" si="160"/>
        <v>3.3332641781299799E-2</v>
      </c>
      <c r="I1281">
        <f t="shared" si="161"/>
        <v>145.53864630572059</v>
      </c>
      <c r="J1281">
        <f t="shared" si="156"/>
        <v>488.81849190690457</v>
      </c>
      <c r="K1281" s="30">
        <f t="shared" si="157"/>
        <v>7964.9211557948438</v>
      </c>
    </row>
    <row r="1282" spans="1:11" x14ac:dyDescent="0.25">
      <c r="A1282" s="29">
        <v>1232</v>
      </c>
      <c r="B1282" s="99">
        <f t="shared" si="158"/>
        <v>0</v>
      </c>
      <c r="C1282" s="75">
        <f t="shared" si="154"/>
        <v>104.50616427295054</v>
      </c>
      <c r="D1282" s="100">
        <f t="shared" si="159"/>
        <v>445.77777777777789</v>
      </c>
      <c r="E1282">
        <f t="shared" si="155"/>
        <v>0</v>
      </c>
      <c r="G1282">
        <v>1232</v>
      </c>
      <c r="H1282" s="15">
        <f t="shared" si="160"/>
        <v>3.3332641781299799E-2</v>
      </c>
      <c r="I1282">
        <f t="shared" si="161"/>
        <v>145.57197894750189</v>
      </c>
      <c r="J1282">
        <f t="shared" si="156"/>
        <v>488.83705497995186</v>
      </c>
      <c r="K1282" s="30">
        <f t="shared" si="157"/>
        <v>7965.5258271778212</v>
      </c>
    </row>
    <row r="1283" spans="1:11" x14ac:dyDescent="0.25">
      <c r="A1283" s="29">
        <v>1233</v>
      </c>
      <c r="B1283" s="99">
        <f t="shared" si="158"/>
        <v>0</v>
      </c>
      <c r="C1283" s="75">
        <f t="shared" si="154"/>
        <v>104.50616427295054</v>
      </c>
      <c r="D1283" s="100">
        <f t="shared" si="159"/>
        <v>445.77777777777789</v>
      </c>
      <c r="E1283">
        <f t="shared" si="155"/>
        <v>0</v>
      </c>
      <c r="G1283">
        <v>1233</v>
      </c>
      <c r="H1283" s="15">
        <f t="shared" si="160"/>
        <v>3.3332641781299799E-2</v>
      </c>
      <c r="I1283">
        <f t="shared" si="161"/>
        <v>145.60531158928319</v>
      </c>
      <c r="J1283">
        <f t="shared" si="156"/>
        <v>488.85560144650134</v>
      </c>
      <c r="K1283" s="30">
        <f t="shared" si="157"/>
        <v>7966.1299804730197</v>
      </c>
    </row>
    <row r="1284" spans="1:11" x14ac:dyDescent="0.25">
      <c r="A1284" s="29">
        <v>1234</v>
      </c>
      <c r="B1284" s="99">
        <f t="shared" si="158"/>
        <v>0</v>
      </c>
      <c r="C1284" s="75">
        <f t="shared" si="154"/>
        <v>104.50616427295054</v>
      </c>
      <c r="D1284" s="100">
        <f t="shared" si="159"/>
        <v>445.77777777777789</v>
      </c>
      <c r="E1284">
        <f t="shared" si="155"/>
        <v>0</v>
      </c>
      <c r="G1284">
        <v>1234</v>
      </c>
      <c r="H1284" s="15">
        <f t="shared" si="160"/>
        <v>3.3332641781299799E-2</v>
      </c>
      <c r="I1284">
        <f t="shared" si="161"/>
        <v>145.63864423106449</v>
      </c>
      <c r="J1284">
        <f t="shared" si="156"/>
        <v>488.87413131709178</v>
      </c>
      <c r="K1284" s="30">
        <f t="shared" si="157"/>
        <v>7966.7336159620645</v>
      </c>
    </row>
    <row r="1285" spans="1:11" x14ac:dyDescent="0.25">
      <c r="A1285" s="29">
        <v>1235</v>
      </c>
      <c r="B1285" s="99">
        <f t="shared" si="158"/>
        <v>0</v>
      </c>
      <c r="C1285" s="75">
        <f t="shared" si="154"/>
        <v>104.50616427295054</v>
      </c>
      <c r="D1285" s="100">
        <f t="shared" si="159"/>
        <v>445.77777777777789</v>
      </c>
      <c r="E1285">
        <f t="shared" si="155"/>
        <v>0</v>
      </c>
      <c r="G1285">
        <v>1235</v>
      </c>
      <c r="H1285" s="15">
        <f t="shared" si="160"/>
        <v>3.3332641781299799E-2</v>
      </c>
      <c r="I1285">
        <f t="shared" si="161"/>
        <v>145.67197687284579</v>
      </c>
      <c r="J1285">
        <f t="shared" si="156"/>
        <v>488.89264460224359</v>
      </c>
      <c r="K1285" s="30">
        <f t="shared" si="157"/>
        <v>7967.3367339260913</v>
      </c>
    </row>
    <row r="1286" spans="1:11" x14ac:dyDescent="0.25">
      <c r="A1286" s="29">
        <v>1236</v>
      </c>
      <c r="B1286" s="99">
        <f t="shared" si="158"/>
        <v>0</v>
      </c>
      <c r="C1286" s="75">
        <f t="shared" si="154"/>
        <v>104.50616427295054</v>
      </c>
      <c r="D1286" s="100">
        <f t="shared" si="159"/>
        <v>445.77777777777789</v>
      </c>
      <c r="E1286">
        <f t="shared" si="155"/>
        <v>0</v>
      </c>
      <c r="G1286">
        <v>1236</v>
      </c>
      <c r="H1286" s="15">
        <f t="shared" si="160"/>
        <v>3.3332641781299799E-2</v>
      </c>
      <c r="I1286">
        <f t="shared" si="161"/>
        <v>145.70530951462709</v>
      </c>
      <c r="J1286">
        <f t="shared" si="156"/>
        <v>488.91114131245894</v>
      </c>
      <c r="K1286" s="30">
        <f t="shared" si="157"/>
        <v>7967.9393346457464</v>
      </c>
    </row>
    <row r="1287" spans="1:11" x14ac:dyDescent="0.25">
      <c r="A1287" s="29">
        <v>1237</v>
      </c>
      <c r="B1287" s="99">
        <f t="shared" si="158"/>
        <v>0</v>
      </c>
      <c r="C1287" s="75">
        <f t="shared" si="154"/>
        <v>104.50616427295054</v>
      </c>
      <c r="D1287" s="100">
        <f t="shared" si="159"/>
        <v>445.77777777777789</v>
      </c>
      <c r="E1287">
        <f t="shared" si="155"/>
        <v>0</v>
      </c>
      <c r="G1287">
        <v>1237</v>
      </c>
      <c r="H1287" s="15">
        <f t="shared" si="160"/>
        <v>3.3332641781299799E-2</v>
      </c>
      <c r="I1287">
        <f t="shared" si="161"/>
        <v>145.73864215640839</v>
      </c>
      <c r="J1287">
        <f t="shared" si="156"/>
        <v>488.92962145822162</v>
      </c>
      <c r="K1287" s="30">
        <f t="shared" si="157"/>
        <v>7968.5414184011861</v>
      </c>
    </row>
    <row r="1288" spans="1:11" x14ac:dyDescent="0.25">
      <c r="A1288" s="29">
        <v>1238</v>
      </c>
      <c r="B1288" s="99">
        <f t="shared" si="158"/>
        <v>0</v>
      </c>
      <c r="C1288" s="75">
        <f t="shared" si="154"/>
        <v>104.50616427295054</v>
      </c>
      <c r="D1288" s="100">
        <f t="shared" si="159"/>
        <v>445.77777777777789</v>
      </c>
      <c r="E1288">
        <f t="shared" si="155"/>
        <v>0</v>
      </c>
      <c r="G1288">
        <v>1238</v>
      </c>
      <c r="H1288" s="15">
        <f t="shared" si="160"/>
        <v>3.3332641781299799E-2</v>
      </c>
      <c r="I1288">
        <f t="shared" si="161"/>
        <v>145.77197479818969</v>
      </c>
      <c r="J1288">
        <f t="shared" si="156"/>
        <v>488.9480850499973</v>
      </c>
      <c r="K1288" s="30">
        <f t="shared" si="157"/>
        <v>7969.1429854720882</v>
      </c>
    </row>
    <row r="1289" spans="1:11" x14ac:dyDescent="0.25">
      <c r="A1289" s="29">
        <v>1239</v>
      </c>
      <c r="B1289" s="99">
        <f t="shared" si="158"/>
        <v>0</v>
      </c>
      <c r="C1289" s="75">
        <f t="shared" si="154"/>
        <v>104.50616427295054</v>
      </c>
      <c r="D1289" s="100">
        <f t="shared" si="159"/>
        <v>445.77777777777789</v>
      </c>
      <c r="E1289">
        <f t="shared" si="155"/>
        <v>0</v>
      </c>
      <c r="G1289">
        <v>1239</v>
      </c>
      <c r="H1289" s="15">
        <f t="shared" si="160"/>
        <v>3.3332641781299799E-2</v>
      </c>
      <c r="I1289">
        <f t="shared" si="161"/>
        <v>145.80530743997099</v>
      </c>
      <c r="J1289">
        <f t="shared" si="156"/>
        <v>488.96653209823347</v>
      </c>
      <c r="K1289" s="30">
        <f t="shared" si="157"/>
        <v>7969.7440361376348</v>
      </c>
    </row>
    <row r="1290" spans="1:11" x14ac:dyDescent="0.25">
      <c r="A1290" s="29">
        <v>1240</v>
      </c>
      <c r="B1290" s="99">
        <f t="shared" si="158"/>
        <v>0</v>
      </c>
      <c r="C1290" s="75">
        <f t="shared" si="154"/>
        <v>104.50616427295054</v>
      </c>
      <c r="D1290" s="100">
        <f t="shared" si="159"/>
        <v>445.77777777777789</v>
      </c>
      <c r="E1290">
        <f t="shared" si="155"/>
        <v>0</v>
      </c>
      <c r="G1290">
        <v>1240</v>
      </c>
      <c r="H1290" s="15">
        <f t="shared" si="160"/>
        <v>3.3332641781299799E-2</v>
      </c>
      <c r="I1290">
        <f t="shared" si="161"/>
        <v>145.83864008175229</v>
      </c>
      <c r="J1290">
        <f t="shared" si="156"/>
        <v>488.98496261335941</v>
      </c>
      <c r="K1290" s="30">
        <f t="shared" si="157"/>
        <v>7970.3445706765278</v>
      </c>
    </row>
    <row r="1291" spans="1:11" x14ac:dyDescent="0.25">
      <c r="A1291" s="29">
        <v>1241</v>
      </c>
      <c r="B1291" s="99">
        <f t="shared" si="158"/>
        <v>0</v>
      </c>
      <c r="C1291" s="75">
        <f t="shared" si="154"/>
        <v>104.50616427295054</v>
      </c>
      <c r="D1291" s="100">
        <f t="shared" si="159"/>
        <v>445.77777777777789</v>
      </c>
      <c r="E1291">
        <f t="shared" si="155"/>
        <v>0</v>
      </c>
      <c r="G1291">
        <v>1241</v>
      </c>
      <c r="H1291" s="15">
        <f t="shared" si="160"/>
        <v>3.3332641781299799E-2</v>
      </c>
      <c r="I1291">
        <f t="shared" si="161"/>
        <v>145.87197272353359</v>
      </c>
      <c r="J1291">
        <f t="shared" si="156"/>
        <v>489.00337660578646</v>
      </c>
      <c r="K1291" s="30">
        <f t="shared" si="157"/>
        <v>7970.9445893669899</v>
      </c>
    </row>
    <row r="1292" spans="1:11" x14ac:dyDescent="0.25">
      <c r="A1292" s="29">
        <v>1242</v>
      </c>
      <c r="B1292" s="99">
        <f t="shared" si="158"/>
        <v>0</v>
      </c>
      <c r="C1292" s="75">
        <f t="shared" si="154"/>
        <v>104.50616427295054</v>
      </c>
      <c r="D1292" s="100">
        <f t="shared" si="159"/>
        <v>445.77777777777789</v>
      </c>
      <c r="E1292">
        <f t="shared" si="155"/>
        <v>0</v>
      </c>
      <c r="G1292">
        <v>1242</v>
      </c>
      <c r="H1292" s="15">
        <f t="shared" si="160"/>
        <v>3.3332641781299799E-2</v>
      </c>
      <c r="I1292">
        <f t="shared" si="161"/>
        <v>145.90530536531489</v>
      </c>
      <c r="J1292">
        <f t="shared" si="156"/>
        <v>489.02177408590768</v>
      </c>
      <c r="K1292" s="30">
        <f t="shared" si="157"/>
        <v>7971.5440924867517</v>
      </c>
    </row>
    <row r="1293" spans="1:11" x14ac:dyDescent="0.25">
      <c r="A1293" s="29">
        <v>1243</v>
      </c>
      <c r="B1293" s="99">
        <f t="shared" si="158"/>
        <v>0</v>
      </c>
      <c r="C1293" s="75">
        <f t="shared" si="154"/>
        <v>104.50616427295054</v>
      </c>
      <c r="D1293" s="100">
        <f t="shared" si="159"/>
        <v>445.77777777777789</v>
      </c>
      <c r="E1293">
        <f t="shared" si="155"/>
        <v>0</v>
      </c>
      <c r="G1293">
        <v>1243</v>
      </c>
      <c r="H1293" s="15">
        <f t="shared" si="160"/>
        <v>3.3332641781299799E-2</v>
      </c>
      <c r="I1293">
        <f t="shared" si="161"/>
        <v>145.93863800709619</v>
      </c>
      <c r="J1293">
        <f t="shared" si="156"/>
        <v>489.04015506409826</v>
      </c>
      <c r="K1293" s="30">
        <f t="shared" si="157"/>
        <v>7972.1430803130725</v>
      </c>
    </row>
    <row r="1294" spans="1:11" x14ac:dyDescent="0.25">
      <c r="A1294" s="29">
        <v>1244</v>
      </c>
      <c r="B1294" s="99">
        <f t="shared" si="158"/>
        <v>0</v>
      </c>
      <c r="C1294" s="75">
        <f t="shared" si="154"/>
        <v>104.50616427295054</v>
      </c>
      <c r="D1294" s="100">
        <f t="shared" si="159"/>
        <v>445.77777777777789</v>
      </c>
      <c r="E1294">
        <f t="shared" si="155"/>
        <v>0</v>
      </c>
      <c r="G1294">
        <v>1244</v>
      </c>
      <c r="H1294" s="15">
        <f t="shared" si="160"/>
        <v>3.3332641781299799E-2</v>
      </c>
      <c r="I1294">
        <f t="shared" si="161"/>
        <v>145.97197064887749</v>
      </c>
      <c r="J1294">
        <f t="shared" si="156"/>
        <v>489.05851955071535</v>
      </c>
      <c r="K1294" s="30">
        <f t="shared" si="157"/>
        <v>7972.7415531227225</v>
      </c>
    </row>
    <row r="1295" spans="1:11" x14ac:dyDescent="0.25">
      <c r="A1295" s="29">
        <v>1245</v>
      </c>
      <c r="B1295" s="99">
        <f t="shared" si="158"/>
        <v>0</v>
      </c>
      <c r="C1295" s="75">
        <f t="shared" si="154"/>
        <v>104.50616427295054</v>
      </c>
      <c r="D1295" s="100">
        <f t="shared" si="159"/>
        <v>445.77777777777789</v>
      </c>
      <c r="E1295">
        <f t="shared" si="155"/>
        <v>0</v>
      </c>
      <c r="G1295">
        <v>1245</v>
      </c>
      <c r="H1295" s="15">
        <f t="shared" si="160"/>
        <v>3.3332641781299799E-2</v>
      </c>
      <c r="I1295">
        <f t="shared" si="161"/>
        <v>146.00530329065879</v>
      </c>
      <c r="J1295">
        <f t="shared" si="156"/>
        <v>489.07686755609814</v>
      </c>
      <c r="K1295" s="30">
        <f t="shared" si="157"/>
        <v>7973.3395111919963</v>
      </c>
    </row>
    <row r="1296" spans="1:11" x14ac:dyDescent="0.25">
      <c r="A1296" s="29">
        <v>1246</v>
      </c>
      <c r="B1296" s="99">
        <f t="shared" si="158"/>
        <v>0</v>
      </c>
      <c r="C1296" s="75">
        <f t="shared" ref="C1296:C1359" si="162">($C$37-$C$36)/2000+C1295</f>
        <v>104.50616427295054</v>
      </c>
      <c r="D1296" s="100">
        <f t="shared" si="159"/>
        <v>445.77777777777789</v>
      </c>
      <c r="E1296">
        <f t="shared" si="155"/>
        <v>0</v>
      </c>
      <c r="G1296">
        <v>1246</v>
      </c>
      <c r="H1296" s="15">
        <f t="shared" si="160"/>
        <v>3.3332641781299799E-2</v>
      </c>
      <c r="I1296">
        <f t="shared" si="161"/>
        <v>146.03863593244009</v>
      </c>
      <c r="J1296">
        <f t="shared" si="156"/>
        <v>489.09519909056803</v>
      </c>
      <c r="K1296" s="30">
        <f t="shared" si="157"/>
        <v>7973.9369547967108</v>
      </c>
    </row>
    <row r="1297" spans="1:11" x14ac:dyDescent="0.25">
      <c r="A1297" s="29">
        <v>1247</v>
      </c>
      <c r="B1297" s="99">
        <f t="shared" si="158"/>
        <v>0</v>
      </c>
      <c r="C1297" s="75">
        <f t="shared" si="162"/>
        <v>104.50616427295054</v>
      </c>
      <c r="D1297" s="100">
        <f t="shared" si="159"/>
        <v>445.77777777777789</v>
      </c>
      <c r="E1297">
        <f t="shared" si="155"/>
        <v>0</v>
      </c>
      <c r="G1297">
        <v>1247</v>
      </c>
      <c r="H1297" s="15">
        <f t="shared" si="160"/>
        <v>3.3332641781299799E-2</v>
      </c>
      <c r="I1297">
        <f t="shared" si="161"/>
        <v>146.07196857422139</v>
      </c>
      <c r="J1297">
        <f t="shared" si="156"/>
        <v>489.11351416442835</v>
      </c>
      <c r="K1297" s="30">
        <f t="shared" si="157"/>
        <v>7974.5338842122046</v>
      </c>
    </row>
    <row r="1298" spans="1:11" x14ac:dyDescent="0.25">
      <c r="A1298" s="29">
        <v>1248</v>
      </c>
      <c r="B1298" s="99">
        <f t="shared" si="158"/>
        <v>0</v>
      </c>
      <c r="C1298" s="75">
        <f t="shared" si="162"/>
        <v>104.50616427295054</v>
      </c>
      <c r="D1298" s="100">
        <f t="shared" si="159"/>
        <v>445.77777777777789</v>
      </c>
      <c r="E1298">
        <f t="shared" si="155"/>
        <v>0</v>
      </c>
      <c r="G1298">
        <v>1248</v>
      </c>
      <c r="H1298" s="15">
        <f t="shared" si="160"/>
        <v>3.3332641781299799E-2</v>
      </c>
      <c r="I1298">
        <f t="shared" si="161"/>
        <v>146.10530121600269</v>
      </c>
      <c r="J1298">
        <f t="shared" si="156"/>
        <v>489.13181278796475</v>
      </c>
      <c r="K1298" s="30">
        <f t="shared" si="157"/>
        <v>7975.1302997133398</v>
      </c>
    </row>
    <row r="1299" spans="1:11" x14ac:dyDescent="0.25">
      <c r="A1299" s="29">
        <v>1249</v>
      </c>
      <c r="B1299" s="99">
        <f t="shared" si="158"/>
        <v>0</v>
      </c>
      <c r="C1299" s="75">
        <f t="shared" si="162"/>
        <v>104.50616427295054</v>
      </c>
      <c r="D1299" s="100">
        <f t="shared" si="159"/>
        <v>445.77777777777789</v>
      </c>
      <c r="E1299">
        <f t="shared" si="155"/>
        <v>0</v>
      </c>
      <c r="G1299">
        <v>1249</v>
      </c>
      <c r="H1299" s="15">
        <f t="shared" si="160"/>
        <v>3.3332641781299799E-2</v>
      </c>
      <c r="I1299">
        <f t="shared" si="161"/>
        <v>146.13863385778399</v>
      </c>
      <c r="J1299">
        <f t="shared" si="156"/>
        <v>489.15009497144507</v>
      </c>
      <c r="K1299" s="30">
        <f t="shared" si="157"/>
        <v>7975.7262015745036</v>
      </c>
    </row>
    <row r="1300" spans="1:11" x14ac:dyDescent="0.25">
      <c r="A1300" s="29">
        <v>1250</v>
      </c>
      <c r="B1300" s="99">
        <f t="shared" si="158"/>
        <v>0</v>
      </c>
      <c r="C1300" s="75">
        <f t="shared" si="162"/>
        <v>104.50616427295054</v>
      </c>
      <c r="D1300" s="100">
        <f t="shared" si="159"/>
        <v>445.77777777777789</v>
      </c>
      <c r="E1300">
        <f t="shared" si="155"/>
        <v>0</v>
      </c>
      <c r="G1300">
        <v>1250</v>
      </c>
      <c r="H1300" s="15">
        <f t="shared" si="160"/>
        <v>3.3332641781299799E-2</v>
      </c>
      <c r="I1300">
        <f t="shared" si="161"/>
        <v>146.17196649956529</v>
      </c>
      <c r="J1300">
        <f t="shared" si="156"/>
        <v>489.16836072511933</v>
      </c>
      <c r="K1300" s="30">
        <f t="shared" si="157"/>
        <v>7976.321590069605</v>
      </c>
    </row>
    <row r="1301" spans="1:11" x14ac:dyDescent="0.25">
      <c r="A1301" s="29">
        <v>1251</v>
      </c>
      <c r="B1301" s="99">
        <f t="shared" si="158"/>
        <v>0</v>
      </c>
      <c r="C1301" s="75">
        <f t="shared" si="162"/>
        <v>104.50616427295054</v>
      </c>
      <c r="D1301" s="100">
        <f t="shared" si="159"/>
        <v>445.77777777777789</v>
      </c>
      <c r="E1301">
        <f t="shared" si="155"/>
        <v>0</v>
      </c>
      <c r="G1301">
        <v>1251</v>
      </c>
      <c r="H1301" s="15">
        <f t="shared" si="160"/>
        <v>3.3332641781299799E-2</v>
      </c>
      <c r="I1301">
        <f t="shared" si="161"/>
        <v>146.20529914134659</v>
      </c>
      <c r="J1301">
        <f t="shared" si="156"/>
        <v>489.18661005921979</v>
      </c>
      <c r="K1301" s="30">
        <f t="shared" si="157"/>
        <v>7976.9164654720844</v>
      </c>
    </row>
    <row r="1302" spans="1:11" x14ac:dyDescent="0.25">
      <c r="A1302" s="29">
        <v>1252</v>
      </c>
      <c r="B1302" s="99">
        <f t="shared" si="158"/>
        <v>0</v>
      </c>
      <c r="C1302" s="75">
        <f t="shared" si="162"/>
        <v>104.50616427295054</v>
      </c>
      <c r="D1302" s="100">
        <f t="shared" si="159"/>
        <v>445.77777777777789</v>
      </c>
      <c r="E1302">
        <f t="shared" si="155"/>
        <v>0</v>
      </c>
      <c r="G1302">
        <v>1252</v>
      </c>
      <c r="H1302" s="15">
        <f t="shared" si="160"/>
        <v>3.3332641781299799E-2</v>
      </c>
      <c r="I1302">
        <f t="shared" si="161"/>
        <v>146.23863178312789</v>
      </c>
      <c r="J1302">
        <f t="shared" si="156"/>
        <v>489.20484298396127</v>
      </c>
      <c r="K1302" s="30">
        <f t="shared" si="157"/>
        <v>7977.5108280549102</v>
      </c>
    </row>
    <row r="1303" spans="1:11" x14ac:dyDescent="0.25">
      <c r="A1303" s="29">
        <v>1253</v>
      </c>
      <c r="B1303" s="99">
        <f t="shared" si="158"/>
        <v>0</v>
      </c>
      <c r="C1303" s="75">
        <f t="shared" si="162"/>
        <v>104.50616427295054</v>
      </c>
      <c r="D1303" s="100">
        <f t="shared" si="159"/>
        <v>445.77777777777789</v>
      </c>
      <c r="E1303">
        <f t="shared" si="155"/>
        <v>0</v>
      </c>
      <c r="G1303">
        <v>1253</v>
      </c>
      <c r="H1303" s="15">
        <f t="shared" si="160"/>
        <v>3.3332641781299799E-2</v>
      </c>
      <c r="I1303">
        <f t="shared" si="161"/>
        <v>146.27196442490919</v>
      </c>
      <c r="J1303">
        <f t="shared" si="156"/>
        <v>489.22305950954063</v>
      </c>
      <c r="K1303" s="30">
        <f t="shared" si="157"/>
        <v>7978.1046780905735</v>
      </c>
    </row>
    <row r="1304" spans="1:11" x14ac:dyDescent="0.25">
      <c r="A1304" s="29">
        <v>1254</v>
      </c>
      <c r="B1304" s="99">
        <f t="shared" si="158"/>
        <v>0</v>
      </c>
      <c r="C1304" s="75">
        <f t="shared" si="162"/>
        <v>104.50616427295054</v>
      </c>
      <c r="D1304" s="100">
        <f t="shared" si="159"/>
        <v>445.77777777777789</v>
      </c>
      <c r="E1304">
        <f t="shared" si="155"/>
        <v>0</v>
      </c>
      <c r="G1304">
        <v>1254</v>
      </c>
      <c r="H1304" s="15">
        <f t="shared" si="160"/>
        <v>3.3332641781299799E-2</v>
      </c>
      <c r="I1304">
        <f t="shared" si="161"/>
        <v>146.30529706669049</v>
      </c>
      <c r="J1304">
        <f t="shared" si="156"/>
        <v>489.24125964613734</v>
      </c>
      <c r="K1304" s="30">
        <f t="shared" si="157"/>
        <v>7978.6980158511005</v>
      </c>
    </row>
    <row r="1305" spans="1:11" x14ac:dyDescent="0.25">
      <c r="A1305" s="29">
        <v>1255</v>
      </c>
      <c r="B1305" s="99">
        <f t="shared" si="158"/>
        <v>0</v>
      </c>
      <c r="C1305" s="75">
        <f t="shared" si="162"/>
        <v>104.50616427295054</v>
      </c>
      <c r="D1305" s="100">
        <f t="shared" si="159"/>
        <v>445.77777777777789</v>
      </c>
      <c r="E1305">
        <f t="shared" si="155"/>
        <v>0</v>
      </c>
      <c r="G1305">
        <v>1255</v>
      </c>
      <c r="H1305" s="15">
        <f t="shared" si="160"/>
        <v>3.3332641781299799E-2</v>
      </c>
      <c r="I1305">
        <f t="shared" si="161"/>
        <v>146.33862970847179</v>
      </c>
      <c r="J1305">
        <f t="shared" si="156"/>
        <v>489.25944340391322</v>
      </c>
      <c r="K1305" s="30">
        <f t="shared" si="157"/>
        <v>7979.290841608049</v>
      </c>
    </row>
    <row r="1306" spans="1:11" x14ac:dyDescent="0.25">
      <c r="A1306" s="29">
        <v>1256</v>
      </c>
      <c r="B1306" s="99">
        <f t="shared" si="158"/>
        <v>0</v>
      </c>
      <c r="C1306" s="75">
        <f t="shared" si="162"/>
        <v>104.50616427295054</v>
      </c>
      <c r="D1306" s="100">
        <f t="shared" si="159"/>
        <v>445.77777777777789</v>
      </c>
      <c r="E1306">
        <f t="shared" si="155"/>
        <v>0</v>
      </c>
      <c r="G1306">
        <v>1256</v>
      </c>
      <c r="H1306" s="15">
        <f t="shared" si="160"/>
        <v>3.3332641781299799E-2</v>
      </c>
      <c r="I1306">
        <f t="shared" si="161"/>
        <v>146.37196235025309</v>
      </c>
      <c r="J1306">
        <f t="shared" si="156"/>
        <v>489.27761079301263</v>
      </c>
      <c r="K1306" s="30">
        <f t="shared" si="157"/>
        <v>7979.8831556325013</v>
      </c>
    </row>
    <row r="1307" spans="1:11" x14ac:dyDescent="0.25">
      <c r="A1307" s="29">
        <v>1257</v>
      </c>
      <c r="B1307" s="99">
        <f t="shared" si="158"/>
        <v>0</v>
      </c>
      <c r="C1307" s="75">
        <f t="shared" si="162"/>
        <v>104.50616427295054</v>
      </c>
      <c r="D1307" s="100">
        <f t="shared" si="159"/>
        <v>445.77777777777789</v>
      </c>
      <c r="E1307">
        <f t="shared" si="155"/>
        <v>0</v>
      </c>
      <c r="G1307">
        <v>1257</v>
      </c>
      <c r="H1307" s="15">
        <f t="shared" si="160"/>
        <v>3.3332641781299799E-2</v>
      </c>
      <c r="I1307">
        <f t="shared" si="161"/>
        <v>146.40529499203438</v>
      </c>
      <c r="J1307">
        <f t="shared" si="156"/>
        <v>489.2957618235622</v>
      </c>
      <c r="K1307" s="30">
        <f t="shared" si="157"/>
        <v>7980.4749581950773</v>
      </c>
    </row>
    <row r="1308" spans="1:11" x14ac:dyDescent="0.25">
      <c r="A1308" s="29">
        <v>1258</v>
      </c>
      <c r="B1308" s="99">
        <f t="shared" si="158"/>
        <v>0</v>
      </c>
      <c r="C1308" s="75">
        <f t="shared" si="162"/>
        <v>104.50616427295054</v>
      </c>
      <c r="D1308" s="100">
        <f t="shared" si="159"/>
        <v>445.77777777777789</v>
      </c>
      <c r="E1308">
        <f t="shared" si="155"/>
        <v>0</v>
      </c>
      <c r="G1308">
        <v>1258</v>
      </c>
      <c r="H1308" s="15">
        <f t="shared" si="160"/>
        <v>3.3332641781299799E-2</v>
      </c>
      <c r="I1308">
        <f t="shared" si="161"/>
        <v>146.43862763381568</v>
      </c>
      <c r="J1308">
        <f t="shared" si="156"/>
        <v>489.31389650567144</v>
      </c>
      <c r="K1308" s="30">
        <f t="shared" si="157"/>
        <v>7981.0662495659308</v>
      </c>
    </row>
    <row r="1309" spans="1:11" x14ac:dyDescent="0.25">
      <c r="A1309" s="29">
        <v>1259</v>
      </c>
      <c r="B1309" s="99">
        <f t="shared" si="158"/>
        <v>0</v>
      </c>
      <c r="C1309" s="75">
        <f t="shared" si="162"/>
        <v>104.50616427295054</v>
      </c>
      <c r="D1309" s="100">
        <f t="shared" si="159"/>
        <v>445.77777777777789</v>
      </c>
      <c r="E1309">
        <f t="shared" si="155"/>
        <v>0</v>
      </c>
      <c r="G1309">
        <v>1259</v>
      </c>
      <c r="H1309" s="15">
        <f t="shared" si="160"/>
        <v>3.3332641781299799E-2</v>
      </c>
      <c r="I1309">
        <f t="shared" si="161"/>
        <v>146.47196027559698</v>
      </c>
      <c r="J1309">
        <f t="shared" si="156"/>
        <v>489.3320148494322</v>
      </c>
      <c r="K1309" s="30">
        <f t="shared" si="157"/>
        <v>7981.6570300147505</v>
      </c>
    </row>
    <row r="1310" spans="1:11" x14ac:dyDescent="0.25">
      <c r="A1310" s="29">
        <v>1260</v>
      </c>
      <c r="B1310" s="99">
        <f t="shared" si="158"/>
        <v>0</v>
      </c>
      <c r="C1310" s="75">
        <f t="shared" si="162"/>
        <v>104.50616427295054</v>
      </c>
      <c r="D1310" s="100">
        <f t="shared" si="159"/>
        <v>445.77777777777789</v>
      </c>
      <c r="E1310">
        <f t="shared" si="155"/>
        <v>0</v>
      </c>
      <c r="G1310">
        <v>1260</v>
      </c>
      <c r="H1310" s="15">
        <f t="shared" si="160"/>
        <v>3.3332641781299799E-2</v>
      </c>
      <c r="I1310">
        <f t="shared" si="161"/>
        <v>146.50529291737828</v>
      </c>
      <c r="J1310">
        <f t="shared" si="156"/>
        <v>489.35011686491907</v>
      </c>
      <c r="K1310" s="30">
        <f t="shared" si="157"/>
        <v>7982.2472998107551</v>
      </c>
    </row>
    <row r="1311" spans="1:11" x14ac:dyDescent="0.25">
      <c r="A1311" s="29">
        <v>1261</v>
      </c>
      <c r="B1311" s="99">
        <f t="shared" si="158"/>
        <v>0</v>
      </c>
      <c r="C1311" s="75">
        <f t="shared" si="162"/>
        <v>104.50616427295054</v>
      </c>
      <c r="D1311" s="100">
        <f t="shared" si="159"/>
        <v>445.77777777777789</v>
      </c>
      <c r="E1311">
        <f t="shared" si="155"/>
        <v>0</v>
      </c>
      <c r="G1311">
        <v>1261</v>
      </c>
      <c r="H1311" s="15">
        <f t="shared" si="160"/>
        <v>3.3332641781299799E-2</v>
      </c>
      <c r="I1311">
        <f t="shared" si="161"/>
        <v>146.53862555915958</v>
      </c>
      <c r="J1311">
        <f t="shared" si="156"/>
        <v>489.36820256218914</v>
      </c>
      <c r="K1311" s="30">
        <f t="shared" si="157"/>
        <v>7982.8370592227066</v>
      </c>
    </row>
    <row r="1312" spans="1:11" x14ac:dyDescent="0.25">
      <c r="A1312" s="29">
        <v>1262</v>
      </c>
      <c r="B1312" s="99">
        <f t="shared" si="158"/>
        <v>0</v>
      </c>
      <c r="C1312" s="75">
        <f t="shared" si="162"/>
        <v>104.50616427295054</v>
      </c>
      <c r="D1312" s="100">
        <f t="shared" si="159"/>
        <v>445.77777777777789</v>
      </c>
      <c r="E1312">
        <f t="shared" si="155"/>
        <v>0</v>
      </c>
      <c r="G1312">
        <v>1262</v>
      </c>
      <c r="H1312" s="15">
        <f t="shared" si="160"/>
        <v>3.3332641781299799E-2</v>
      </c>
      <c r="I1312">
        <f t="shared" si="161"/>
        <v>146.57195820094088</v>
      </c>
      <c r="J1312">
        <f t="shared" si="156"/>
        <v>489.38627195128231</v>
      </c>
      <c r="K1312" s="30">
        <f t="shared" si="157"/>
        <v>7983.4263085189004</v>
      </c>
    </row>
    <row r="1313" spans="1:11" x14ac:dyDescent="0.25">
      <c r="A1313" s="29">
        <v>1263</v>
      </c>
      <c r="B1313" s="99">
        <f t="shared" si="158"/>
        <v>0</v>
      </c>
      <c r="C1313" s="75">
        <f t="shared" si="162"/>
        <v>104.50616427295054</v>
      </c>
      <c r="D1313" s="100">
        <f t="shared" si="159"/>
        <v>445.77777777777789</v>
      </c>
      <c r="E1313">
        <f t="shared" si="155"/>
        <v>0</v>
      </c>
      <c r="G1313">
        <v>1263</v>
      </c>
      <c r="H1313" s="15">
        <f t="shared" si="160"/>
        <v>3.3332641781299799E-2</v>
      </c>
      <c r="I1313">
        <f t="shared" si="161"/>
        <v>146.60529084272218</v>
      </c>
      <c r="J1313">
        <f t="shared" si="156"/>
        <v>489.40432504222127</v>
      </c>
      <c r="K1313" s="30">
        <f t="shared" si="157"/>
        <v>7984.015047967172</v>
      </c>
    </row>
    <row r="1314" spans="1:11" x14ac:dyDescent="0.25">
      <c r="A1314" s="29">
        <v>1264</v>
      </c>
      <c r="B1314" s="99">
        <f t="shared" si="158"/>
        <v>0</v>
      </c>
      <c r="C1314" s="75">
        <f t="shared" si="162"/>
        <v>104.50616427295054</v>
      </c>
      <c r="D1314" s="100">
        <f t="shared" si="159"/>
        <v>445.77777777777789</v>
      </c>
      <c r="E1314">
        <f t="shared" si="155"/>
        <v>0</v>
      </c>
      <c r="G1314">
        <v>1264</v>
      </c>
      <c r="H1314" s="15">
        <f t="shared" si="160"/>
        <v>3.3332641781299799E-2</v>
      </c>
      <c r="I1314">
        <f t="shared" si="161"/>
        <v>146.63862348450348</v>
      </c>
      <c r="J1314">
        <f t="shared" si="156"/>
        <v>489.42236184501127</v>
      </c>
      <c r="K1314" s="30">
        <f t="shared" si="157"/>
        <v>7984.6032778348954</v>
      </c>
    </row>
    <row r="1315" spans="1:11" x14ac:dyDescent="0.25">
      <c r="A1315" s="29">
        <v>1265</v>
      </c>
      <c r="B1315" s="99">
        <f t="shared" si="158"/>
        <v>0</v>
      </c>
      <c r="C1315" s="75">
        <f t="shared" si="162"/>
        <v>104.50616427295054</v>
      </c>
      <c r="D1315" s="100">
        <f t="shared" si="159"/>
        <v>445.77777777777789</v>
      </c>
      <c r="E1315">
        <f t="shared" si="155"/>
        <v>0</v>
      </c>
      <c r="G1315">
        <v>1265</v>
      </c>
      <c r="H1315" s="15">
        <f t="shared" si="160"/>
        <v>3.3332641781299799E-2</v>
      </c>
      <c r="I1315">
        <f t="shared" si="161"/>
        <v>146.67195612628478</v>
      </c>
      <c r="J1315">
        <f t="shared" si="156"/>
        <v>489.44038236964053</v>
      </c>
      <c r="K1315" s="30">
        <f t="shared" si="157"/>
        <v>7985.1909983889855</v>
      </c>
    </row>
    <row r="1316" spans="1:11" x14ac:dyDescent="0.25">
      <c r="A1316" s="29">
        <v>1266</v>
      </c>
      <c r="B1316" s="99">
        <f t="shared" si="158"/>
        <v>0</v>
      </c>
      <c r="C1316" s="75">
        <f t="shared" si="162"/>
        <v>104.50616427295054</v>
      </c>
      <c r="D1316" s="100">
        <f t="shared" si="159"/>
        <v>445.77777777777789</v>
      </c>
      <c r="E1316">
        <f t="shared" si="155"/>
        <v>0</v>
      </c>
      <c r="G1316">
        <v>1266</v>
      </c>
      <c r="H1316" s="15">
        <f t="shared" si="160"/>
        <v>3.3332641781299799E-2</v>
      </c>
      <c r="I1316">
        <f t="shared" si="161"/>
        <v>146.70528876806608</v>
      </c>
      <c r="J1316">
        <f t="shared" si="156"/>
        <v>489.45838662607997</v>
      </c>
      <c r="K1316" s="30">
        <f t="shared" si="157"/>
        <v>7985.7782098958969</v>
      </c>
    </row>
    <row r="1317" spans="1:11" x14ac:dyDescent="0.25">
      <c r="A1317" s="29">
        <v>1267</v>
      </c>
      <c r="B1317" s="99">
        <f t="shared" si="158"/>
        <v>0</v>
      </c>
      <c r="C1317" s="75">
        <f t="shared" si="162"/>
        <v>104.50616427295054</v>
      </c>
      <c r="D1317" s="100">
        <f t="shared" si="159"/>
        <v>445.77777777777789</v>
      </c>
      <c r="E1317">
        <f t="shared" si="155"/>
        <v>0</v>
      </c>
      <c r="G1317">
        <v>1267</v>
      </c>
      <c r="H1317" s="15">
        <f t="shared" si="160"/>
        <v>3.3332641781299799E-2</v>
      </c>
      <c r="I1317">
        <f t="shared" si="161"/>
        <v>146.73862140984738</v>
      </c>
      <c r="J1317">
        <f t="shared" si="156"/>
        <v>489.47637462428349</v>
      </c>
      <c r="K1317" s="30">
        <f t="shared" si="157"/>
        <v>7986.3649126216305</v>
      </c>
    </row>
    <row r="1318" spans="1:11" x14ac:dyDescent="0.25">
      <c r="A1318" s="29">
        <v>1268</v>
      </c>
      <c r="B1318" s="99">
        <f t="shared" si="158"/>
        <v>0</v>
      </c>
      <c r="C1318" s="75">
        <f t="shared" si="162"/>
        <v>104.50616427295054</v>
      </c>
      <c r="D1318" s="100">
        <f t="shared" si="159"/>
        <v>445.77777777777789</v>
      </c>
      <c r="E1318">
        <f t="shared" si="155"/>
        <v>0</v>
      </c>
      <c r="G1318">
        <v>1268</v>
      </c>
      <c r="H1318" s="15">
        <f t="shared" si="160"/>
        <v>3.3332641781299799E-2</v>
      </c>
      <c r="I1318">
        <f t="shared" si="161"/>
        <v>146.77195405162868</v>
      </c>
      <c r="J1318">
        <f t="shared" si="156"/>
        <v>489.49434637418784</v>
      </c>
      <c r="K1318" s="30">
        <f t="shared" si="157"/>
        <v>7986.9511068317261</v>
      </c>
    </row>
    <row r="1319" spans="1:11" x14ac:dyDescent="0.25">
      <c r="A1319" s="29">
        <v>1269</v>
      </c>
      <c r="B1319" s="99">
        <f t="shared" si="158"/>
        <v>0</v>
      </c>
      <c r="C1319" s="75">
        <f t="shared" si="162"/>
        <v>104.50616427295054</v>
      </c>
      <c r="D1319" s="100">
        <f t="shared" si="159"/>
        <v>445.77777777777789</v>
      </c>
      <c r="E1319">
        <f t="shared" si="155"/>
        <v>0</v>
      </c>
      <c r="G1319">
        <v>1269</v>
      </c>
      <c r="H1319" s="15">
        <f t="shared" si="160"/>
        <v>3.3332641781299799E-2</v>
      </c>
      <c r="I1319">
        <f t="shared" si="161"/>
        <v>146.80528669340998</v>
      </c>
      <c r="J1319">
        <f t="shared" si="156"/>
        <v>489.5123018857127</v>
      </c>
      <c r="K1319" s="30">
        <f t="shared" si="157"/>
        <v>7987.5367927912675</v>
      </c>
    </row>
    <row r="1320" spans="1:11" x14ac:dyDescent="0.25">
      <c r="A1320" s="29">
        <v>1270</v>
      </c>
      <c r="B1320" s="99">
        <f t="shared" si="158"/>
        <v>0</v>
      </c>
      <c r="C1320" s="75">
        <f t="shared" si="162"/>
        <v>104.50616427295054</v>
      </c>
      <c r="D1320" s="100">
        <f t="shared" si="159"/>
        <v>445.77777777777789</v>
      </c>
      <c r="E1320">
        <f t="shared" si="155"/>
        <v>0</v>
      </c>
      <c r="G1320">
        <v>1270</v>
      </c>
      <c r="H1320" s="15">
        <f t="shared" si="160"/>
        <v>3.3332641781299799E-2</v>
      </c>
      <c r="I1320">
        <f t="shared" si="161"/>
        <v>146.83861933519128</v>
      </c>
      <c r="J1320">
        <f t="shared" si="156"/>
        <v>489.53024116876077</v>
      </c>
      <c r="K1320" s="30">
        <f t="shared" si="157"/>
        <v>7988.1219707648897</v>
      </c>
    </row>
    <row r="1321" spans="1:11" x14ac:dyDescent="0.25">
      <c r="A1321" s="29">
        <v>1271</v>
      </c>
      <c r="B1321" s="99">
        <f t="shared" si="158"/>
        <v>0</v>
      </c>
      <c r="C1321" s="75">
        <f t="shared" si="162"/>
        <v>104.50616427295054</v>
      </c>
      <c r="D1321" s="100">
        <f t="shared" si="159"/>
        <v>445.77777777777789</v>
      </c>
      <c r="E1321">
        <f t="shared" si="155"/>
        <v>0</v>
      </c>
      <c r="G1321">
        <v>1271</v>
      </c>
      <c r="H1321" s="15">
        <f t="shared" si="160"/>
        <v>3.3332641781299799E-2</v>
      </c>
      <c r="I1321">
        <f t="shared" si="161"/>
        <v>146.87195197697258</v>
      </c>
      <c r="J1321">
        <f t="shared" si="156"/>
        <v>489.54816423321768</v>
      </c>
      <c r="K1321" s="30">
        <f t="shared" si="157"/>
        <v>7988.7066410167654</v>
      </c>
    </row>
    <row r="1322" spans="1:11" x14ac:dyDescent="0.25">
      <c r="A1322" s="29">
        <v>1272</v>
      </c>
      <c r="B1322" s="99">
        <f t="shared" si="158"/>
        <v>0</v>
      </c>
      <c r="C1322" s="75">
        <f t="shared" si="162"/>
        <v>104.50616427295054</v>
      </c>
      <c r="D1322" s="100">
        <f t="shared" si="159"/>
        <v>445.77777777777789</v>
      </c>
      <c r="E1322">
        <f t="shared" si="155"/>
        <v>0</v>
      </c>
      <c r="G1322">
        <v>1272</v>
      </c>
      <c r="H1322" s="15">
        <f t="shared" si="160"/>
        <v>3.3332641781299799E-2</v>
      </c>
      <c r="I1322">
        <f t="shared" si="161"/>
        <v>146.90528461875388</v>
      </c>
      <c r="J1322">
        <f t="shared" si="156"/>
        <v>489.56607108895219</v>
      </c>
      <c r="K1322" s="30">
        <f t="shared" si="157"/>
        <v>7989.2908038106216</v>
      </c>
    </row>
    <row r="1323" spans="1:11" x14ac:dyDescent="0.25">
      <c r="A1323" s="29">
        <v>1273</v>
      </c>
      <c r="B1323" s="99">
        <f t="shared" si="158"/>
        <v>0</v>
      </c>
      <c r="C1323" s="75">
        <f t="shared" si="162"/>
        <v>104.50616427295054</v>
      </c>
      <c r="D1323" s="100">
        <f t="shared" si="159"/>
        <v>445.77777777777789</v>
      </c>
      <c r="E1323">
        <f t="shared" si="155"/>
        <v>0</v>
      </c>
      <c r="G1323">
        <v>1273</v>
      </c>
      <c r="H1323" s="15">
        <f t="shared" si="160"/>
        <v>3.3332641781299799E-2</v>
      </c>
      <c r="I1323">
        <f t="shared" si="161"/>
        <v>146.93861726053518</v>
      </c>
      <c r="J1323">
        <f t="shared" si="156"/>
        <v>489.58396174581611</v>
      </c>
      <c r="K1323" s="30">
        <f t="shared" si="157"/>
        <v>7989.874459409727</v>
      </c>
    </row>
    <row r="1324" spans="1:11" x14ac:dyDescent="0.25">
      <c r="A1324" s="29">
        <v>1274</v>
      </c>
      <c r="B1324" s="99">
        <f t="shared" si="158"/>
        <v>0</v>
      </c>
      <c r="C1324" s="75">
        <f t="shared" si="162"/>
        <v>104.50616427295054</v>
      </c>
      <c r="D1324" s="100">
        <f t="shared" si="159"/>
        <v>445.77777777777789</v>
      </c>
      <c r="E1324">
        <f t="shared" si="155"/>
        <v>0</v>
      </c>
      <c r="G1324">
        <v>1274</v>
      </c>
      <c r="H1324" s="15">
        <f t="shared" si="160"/>
        <v>3.3332641781299799E-2</v>
      </c>
      <c r="I1324">
        <f t="shared" si="161"/>
        <v>146.97194990231648</v>
      </c>
      <c r="J1324">
        <f t="shared" si="156"/>
        <v>489.60183621364433</v>
      </c>
      <c r="K1324" s="30">
        <f t="shared" si="157"/>
        <v>7990.4576080769066</v>
      </c>
    </row>
    <row r="1325" spans="1:11" x14ac:dyDescent="0.25">
      <c r="A1325" s="29">
        <v>1275</v>
      </c>
      <c r="B1325" s="99">
        <f t="shared" si="158"/>
        <v>0</v>
      </c>
      <c r="C1325" s="75">
        <f t="shared" si="162"/>
        <v>104.50616427295054</v>
      </c>
      <c r="D1325" s="100">
        <f t="shared" si="159"/>
        <v>445.77777777777789</v>
      </c>
      <c r="E1325">
        <f t="shared" si="155"/>
        <v>0</v>
      </c>
      <c r="G1325">
        <v>1275</v>
      </c>
      <c r="H1325" s="15">
        <f t="shared" si="160"/>
        <v>3.3332641781299799E-2</v>
      </c>
      <c r="I1325">
        <f t="shared" si="161"/>
        <v>147.00528254409778</v>
      </c>
      <c r="J1325">
        <f t="shared" si="156"/>
        <v>489.61969450225502</v>
      </c>
      <c r="K1325" s="30">
        <f t="shared" si="157"/>
        <v>7991.0402500745258</v>
      </c>
    </row>
    <row r="1326" spans="1:11" x14ac:dyDescent="0.25">
      <c r="A1326" s="29">
        <v>1276</v>
      </c>
      <c r="B1326" s="99">
        <f t="shared" si="158"/>
        <v>0</v>
      </c>
      <c r="C1326" s="75">
        <f t="shared" si="162"/>
        <v>104.50616427295054</v>
      </c>
      <c r="D1326" s="100">
        <f t="shared" si="159"/>
        <v>445.77777777777789</v>
      </c>
      <c r="E1326">
        <f t="shared" si="155"/>
        <v>0</v>
      </c>
      <c r="G1326">
        <v>1276</v>
      </c>
      <c r="H1326" s="15">
        <f t="shared" si="160"/>
        <v>3.3332641781299799E-2</v>
      </c>
      <c r="I1326">
        <f t="shared" si="161"/>
        <v>147.03861518587908</v>
      </c>
      <c r="J1326">
        <f t="shared" si="156"/>
        <v>489.63753662144933</v>
      </c>
      <c r="K1326" s="30">
        <f t="shared" si="157"/>
        <v>7991.6223856645083</v>
      </c>
    </row>
    <row r="1327" spans="1:11" x14ac:dyDescent="0.25">
      <c r="A1327" s="29">
        <v>1277</v>
      </c>
      <c r="B1327" s="99">
        <f t="shared" si="158"/>
        <v>0</v>
      </c>
      <c r="C1327" s="75">
        <f t="shared" si="162"/>
        <v>104.50616427295054</v>
      </c>
      <c r="D1327" s="100">
        <f t="shared" si="159"/>
        <v>445.77777777777789</v>
      </c>
      <c r="E1327">
        <f t="shared" si="155"/>
        <v>0</v>
      </c>
      <c r="G1327">
        <v>1277</v>
      </c>
      <c r="H1327" s="15">
        <f t="shared" si="160"/>
        <v>3.3332641781299799E-2</v>
      </c>
      <c r="I1327">
        <f t="shared" si="161"/>
        <v>147.07194782766038</v>
      </c>
      <c r="J1327">
        <f t="shared" si="156"/>
        <v>489.65536258101179</v>
      </c>
      <c r="K1327" s="30">
        <f t="shared" si="157"/>
        <v>7992.2040151083265</v>
      </c>
    </row>
    <row r="1328" spans="1:11" x14ac:dyDescent="0.25">
      <c r="A1328" s="29">
        <v>1278</v>
      </c>
      <c r="B1328" s="99">
        <f t="shared" si="158"/>
        <v>0</v>
      </c>
      <c r="C1328" s="75">
        <f t="shared" si="162"/>
        <v>104.50616427295054</v>
      </c>
      <c r="D1328" s="100">
        <f t="shared" si="159"/>
        <v>445.77777777777789</v>
      </c>
      <c r="E1328">
        <f t="shared" si="155"/>
        <v>0</v>
      </c>
      <c r="G1328">
        <v>1278</v>
      </c>
      <c r="H1328" s="15">
        <f t="shared" si="160"/>
        <v>3.3332641781299799E-2</v>
      </c>
      <c r="I1328">
        <f t="shared" si="161"/>
        <v>147.10528046944168</v>
      </c>
      <c r="J1328">
        <f t="shared" si="156"/>
        <v>489.67317239071008</v>
      </c>
      <c r="K1328" s="30">
        <f t="shared" si="157"/>
        <v>7992.7851386670081</v>
      </c>
    </row>
    <row r="1329" spans="1:11" x14ac:dyDescent="0.25">
      <c r="A1329" s="29">
        <v>1279</v>
      </c>
      <c r="B1329" s="99">
        <f t="shared" si="158"/>
        <v>0</v>
      </c>
      <c r="C1329" s="75">
        <f t="shared" si="162"/>
        <v>104.50616427295054</v>
      </c>
      <c r="D1329" s="100">
        <f t="shared" si="159"/>
        <v>445.77777777777789</v>
      </c>
      <c r="E1329">
        <f t="shared" si="155"/>
        <v>0</v>
      </c>
      <c r="G1329">
        <v>1279</v>
      </c>
      <c r="H1329" s="15">
        <f t="shared" si="160"/>
        <v>3.3332641781299799E-2</v>
      </c>
      <c r="I1329">
        <f t="shared" si="161"/>
        <v>147.13861311122298</v>
      </c>
      <c r="J1329">
        <f t="shared" si="156"/>
        <v>489.69096606029535</v>
      </c>
      <c r="K1329" s="30">
        <f t="shared" si="157"/>
        <v>7993.3657566011307</v>
      </c>
    </row>
    <row r="1330" spans="1:11" x14ac:dyDescent="0.25">
      <c r="A1330" s="29">
        <v>1280</v>
      </c>
      <c r="B1330" s="99">
        <f t="shared" si="158"/>
        <v>0</v>
      </c>
      <c r="C1330" s="75">
        <f t="shared" si="162"/>
        <v>104.50616427295054</v>
      </c>
      <c r="D1330" s="100">
        <f t="shared" si="159"/>
        <v>445.77777777777789</v>
      </c>
      <c r="E1330">
        <f t="shared" si="155"/>
        <v>0</v>
      </c>
      <c r="G1330">
        <v>1280</v>
      </c>
      <c r="H1330" s="15">
        <f t="shared" si="160"/>
        <v>3.3332641781299799E-2</v>
      </c>
      <c r="I1330">
        <f t="shared" si="161"/>
        <v>147.17194575300428</v>
      </c>
      <c r="J1330">
        <f t="shared" si="156"/>
        <v>489.70874359950187</v>
      </c>
      <c r="K1330" s="30">
        <f t="shared" si="157"/>
        <v>7993.9458691708278</v>
      </c>
    </row>
    <row r="1331" spans="1:11" x14ac:dyDescent="0.25">
      <c r="A1331" s="29">
        <v>1281</v>
      </c>
      <c r="B1331" s="99">
        <f t="shared" si="158"/>
        <v>0</v>
      </c>
      <c r="C1331" s="75">
        <f t="shared" si="162"/>
        <v>104.50616427295054</v>
      </c>
      <c r="D1331" s="100">
        <f t="shared" si="159"/>
        <v>445.77777777777789</v>
      </c>
      <c r="E1331">
        <f t="shared" ref="E1331:E1394" si="163">((D1331^2)+(D1331*D1332)+(D1332^2))*B1332/3</f>
        <v>0</v>
      </c>
      <c r="G1331">
        <v>1281</v>
      </c>
      <c r="H1331" s="15">
        <f t="shared" si="160"/>
        <v>3.3332641781299799E-2</v>
      </c>
      <c r="I1331">
        <f t="shared" si="161"/>
        <v>147.20527839478558</v>
      </c>
      <c r="J1331">
        <f t="shared" ref="J1331:J1394" si="164">IF($G$28&lt;$C$14,0,((($C$11^2)-((I1331-$C$13)^2))^0.5)+$C$16)</f>
        <v>489.72650501804736</v>
      </c>
      <c r="K1331" s="30">
        <f t="shared" ref="K1331:K1394" si="165">((J1331^2)+(J1331*J1332)+(J1332^2))*H1332/3</f>
        <v>7994.5254766357857</v>
      </c>
    </row>
    <row r="1332" spans="1:11" x14ac:dyDescent="0.25">
      <c r="A1332" s="29">
        <v>1282</v>
      </c>
      <c r="B1332" s="99">
        <f t="shared" ref="B1332:B1395" si="166">C1332-C1331</f>
        <v>0</v>
      </c>
      <c r="C1332" s="75">
        <f t="shared" si="162"/>
        <v>104.50616427295054</v>
      </c>
      <c r="D1332" s="100">
        <f t="shared" ref="D1332:D1395" si="167">IF($G$28&lt;$C$14,0,((($C$11^2)-((C1332-$C$13)^2))^0.5)+$C$16)</f>
        <v>445.77777777777789</v>
      </c>
      <c r="E1332">
        <f t="shared" si="163"/>
        <v>0</v>
      </c>
      <c r="G1332">
        <v>1282</v>
      </c>
      <c r="H1332" s="15">
        <f t="shared" ref="H1332:H1395" si="168">I1332-I1331</f>
        <v>3.3332641781299799E-2</v>
      </c>
      <c r="I1332">
        <f t="shared" ref="I1332:I1395" si="169">($G$27-$C$14)/2000+I1331</f>
        <v>147.23861103656688</v>
      </c>
      <c r="J1332">
        <f t="shared" si="164"/>
        <v>489.74425032563295</v>
      </c>
      <c r="K1332" s="30">
        <f t="shared" si="165"/>
        <v>7995.104579255255</v>
      </c>
    </row>
    <row r="1333" spans="1:11" x14ac:dyDescent="0.25">
      <c r="A1333" s="29">
        <v>1283</v>
      </c>
      <c r="B1333" s="99">
        <f t="shared" si="166"/>
        <v>0</v>
      </c>
      <c r="C1333" s="75">
        <f t="shared" si="162"/>
        <v>104.50616427295054</v>
      </c>
      <c r="D1333" s="100">
        <f t="shared" si="167"/>
        <v>445.77777777777789</v>
      </c>
      <c r="E1333">
        <f t="shared" si="163"/>
        <v>0</v>
      </c>
      <c r="G1333">
        <v>1283</v>
      </c>
      <c r="H1333" s="15">
        <f t="shared" si="168"/>
        <v>3.3332641781299799E-2</v>
      </c>
      <c r="I1333">
        <f t="shared" si="169"/>
        <v>147.27194367834818</v>
      </c>
      <c r="J1333">
        <f t="shared" si="164"/>
        <v>489.76197953194321</v>
      </c>
      <c r="K1333" s="30">
        <f t="shared" si="165"/>
        <v>7995.6831772880359</v>
      </c>
    </row>
    <row r="1334" spans="1:11" x14ac:dyDescent="0.25">
      <c r="A1334" s="29">
        <v>1284</v>
      </c>
      <c r="B1334" s="99">
        <f t="shared" si="166"/>
        <v>0</v>
      </c>
      <c r="C1334" s="75">
        <f t="shared" si="162"/>
        <v>104.50616427295054</v>
      </c>
      <c r="D1334" s="100">
        <f t="shared" si="167"/>
        <v>445.77777777777789</v>
      </c>
      <c r="E1334">
        <f t="shared" si="163"/>
        <v>0</v>
      </c>
      <c r="G1334">
        <v>1284</v>
      </c>
      <c r="H1334" s="15">
        <f t="shared" si="168"/>
        <v>3.3332641781299799E-2</v>
      </c>
      <c r="I1334">
        <f t="shared" si="169"/>
        <v>147.30527632012948</v>
      </c>
      <c r="J1334">
        <f t="shared" si="164"/>
        <v>489.77969264664603</v>
      </c>
      <c r="K1334" s="30">
        <f t="shared" si="165"/>
        <v>7996.2612709924897</v>
      </c>
    </row>
    <row r="1335" spans="1:11" x14ac:dyDescent="0.25">
      <c r="A1335" s="29">
        <v>1285</v>
      </c>
      <c r="B1335" s="99">
        <f t="shared" si="166"/>
        <v>0</v>
      </c>
      <c r="C1335" s="75">
        <f t="shared" si="162"/>
        <v>104.50616427295054</v>
      </c>
      <c r="D1335" s="100">
        <f t="shared" si="167"/>
        <v>445.77777777777789</v>
      </c>
      <c r="E1335">
        <f t="shared" si="163"/>
        <v>0</v>
      </c>
      <c r="G1335">
        <v>1285</v>
      </c>
      <c r="H1335" s="15">
        <f t="shared" si="168"/>
        <v>3.3332641781299799E-2</v>
      </c>
      <c r="I1335">
        <f t="shared" si="169"/>
        <v>147.33860896191078</v>
      </c>
      <c r="J1335">
        <f t="shared" si="164"/>
        <v>489.79738967939306</v>
      </c>
      <c r="K1335" s="30">
        <f t="shared" si="165"/>
        <v>7996.8388606265353</v>
      </c>
    </row>
    <row r="1336" spans="1:11" x14ac:dyDescent="0.25">
      <c r="A1336" s="29">
        <v>1286</v>
      </c>
      <c r="B1336" s="99">
        <f t="shared" si="166"/>
        <v>0</v>
      </c>
      <c r="C1336" s="75">
        <f t="shared" si="162"/>
        <v>104.50616427295054</v>
      </c>
      <c r="D1336" s="100">
        <f t="shared" si="167"/>
        <v>445.77777777777789</v>
      </c>
      <c r="E1336">
        <f t="shared" si="163"/>
        <v>0</v>
      </c>
      <c r="G1336">
        <v>1286</v>
      </c>
      <c r="H1336" s="15">
        <f t="shared" si="168"/>
        <v>3.3332641781299799E-2</v>
      </c>
      <c r="I1336">
        <f t="shared" si="169"/>
        <v>147.37194160369208</v>
      </c>
      <c r="J1336">
        <f t="shared" si="164"/>
        <v>489.81507063981917</v>
      </c>
      <c r="K1336" s="30">
        <f t="shared" si="165"/>
        <v>7997.4159464476497</v>
      </c>
    </row>
    <row r="1337" spans="1:11" x14ac:dyDescent="0.25">
      <c r="A1337" s="29">
        <v>1287</v>
      </c>
      <c r="B1337" s="99">
        <f t="shared" si="166"/>
        <v>0</v>
      </c>
      <c r="C1337" s="75">
        <f t="shared" si="162"/>
        <v>104.50616427295054</v>
      </c>
      <c r="D1337" s="100">
        <f t="shared" si="167"/>
        <v>445.77777777777789</v>
      </c>
      <c r="E1337">
        <f t="shared" si="163"/>
        <v>0</v>
      </c>
      <c r="G1337">
        <v>1287</v>
      </c>
      <c r="H1337" s="15">
        <f t="shared" si="168"/>
        <v>3.3332641781299799E-2</v>
      </c>
      <c r="I1337">
        <f t="shared" si="169"/>
        <v>147.40527424547338</v>
      </c>
      <c r="J1337">
        <f t="shared" si="164"/>
        <v>489.83273553754304</v>
      </c>
      <c r="K1337" s="30">
        <f t="shared" si="165"/>
        <v>7997.9925287128781</v>
      </c>
    </row>
    <row r="1338" spans="1:11" x14ac:dyDescent="0.25">
      <c r="A1338" s="29">
        <v>1288</v>
      </c>
      <c r="B1338" s="99">
        <f t="shared" si="166"/>
        <v>0</v>
      </c>
      <c r="C1338" s="75">
        <f t="shared" si="162"/>
        <v>104.50616427295054</v>
      </c>
      <c r="D1338" s="100">
        <f t="shared" si="167"/>
        <v>445.77777777777789</v>
      </c>
      <c r="E1338">
        <f t="shared" si="163"/>
        <v>0</v>
      </c>
      <c r="G1338">
        <v>1288</v>
      </c>
      <c r="H1338" s="15">
        <f t="shared" si="168"/>
        <v>3.3332641781299799E-2</v>
      </c>
      <c r="I1338">
        <f t="shared" si="169"/>
        <v>147.43860688725468</v>
      </c>
      <c r="J1338">
        <f t="shared" si="164"/>
        <v>489.85038438216685</v>
      </c>
      <c r="K1338" s="30">
        <f t="shared" si="165"/>
        <v>7998.5686076788215</v>
      </c>
    </row>
    <row r="1339" spans="1:11" x14ac:dyDescent="0.25">
      <c r="A1339" s="29">
        <v>1289</v>
      </c>
      <c r="B1339" s="99">
        <f t="shared" si="166"/>
        <v>0</v>
      </c>
      <c r="C1339" s="75">
        <f t="shared" si="162"/>
        <v>104.50616427295054</v>
      </c>
      <c r="D1339" s="100">
        <f t="shared" si="167"/>
        <v>445.77777777777789</v>
      </c>
      <c r="E1339">
        <f t="shared" si="163"/>
        <v>0</v>
      </c>
      <c r="G1339">
        <v>1289</v>
      </c>
      <c r="H1339" s="15">
        <f t="shared" si="168"/>
        <v>3.3332641781299799E-2</v>
      </c>
      <c r="I1339">
        <f t="shared" si="169"/>
        <v>147.47193952903598</v>
      </c>
      <c r="J1339">
        <f t="shared" si="164"/>
        <v>489.86801718327649</v>
      </c>
      <c r="K1339" s="30">
        <f t="shared" si="165"/>
        <v>7999.1441836016447</v>
      </c>
    </row>
    <row r="1340" spans="1:11" x14ac:dyDescent="0.25">
      <c r="A1340" s="29">
        <v>1290</v>
      </c>
      <c r="B1340" s="99">
        <f t="shared" si="166"/>
        <v>0</v>
      </c>
      <c r="C1340" s="75">
        <f t="shared" si="162"/>
        <v>104.50616427295054</v>
      </c>
      <c r="D1340" s="100">
        <f t="shared" si="167"/>
        <v>445.77777777777789</v>
      </c>
      <c r="E1340">
        <f t="shared" si="163"/>
        <v>0</v>
      </c>
      <c r="G1340">
        <v>1290</v>
      </c>
      <c r="H1340" s="15">
        <f t="shared" si="168"/>
        <v>3.3332641781299799E-2</v>
      </c>
      <c r="I1340">
        <f t="shared" si="169"/>
        <v>147.50527217081728</v>
      </c>
      <c r="J1340">
        <f t="shared" si="164"/>
        <v>489.88563395044127</v>
      </c>
      <c r="K1340" s="30">
        <f t="shared" si="165"/>
        <v>7999.7192567370766</v>
      </c>
    </row>
    <row r="1341" spans="1:11" x14ac:dyDescent="0.25">
      <c r="A1341" s="29">
        <v>1291</v>
      </c>
      <c r="B1341" s="99">
        <f t="shared" si="166"/>
        <v>0</v>
      </c>
      <c r="C1341" s="75">
        <f t="shared" si="162"/>
        <v>104.50616427295054</v>
      </c>
      <c r="D1341" s="100">
        <f t="shared" si="167"/>
        <v>445.77777777777789</v>
      </c>
      <c r="E1341">
        <f t="shared" si="163"/>
        <v>0</v>
      </c>
      <c r="G1341">
        <v>1291</v>
      </c>
      <c r="H1341" s="15">
        <f t="shared" si="168"/>
        <v>3.3332641781299799E-2</v>
      </c>
      <c r="I1341">
        <f t="shared" si="169"/>
        <v>147.53860481259858</v>
      </c>
      <c r="J1341">
        <f t="shared" si="164"/>
        <v>489.90323469321459</v>
      </c>
      <c r="K1341" s="30">
        <f t="shared" si="165"/>
        <v>8000.2938273404097</v>
      </c>
    </row>
    <row r="1342" spans="1:11" x14ac:dyDescent="0.25">
      <c r="A1342" s="29">
        <v>1292</v>
      </c>
      <c r="B1342" s="99">
        <f t="shared" si="166"/>
        <v>0</v>
      </c>
      <c r="C1342" s="75">
        <f t="shared" si="162"/>
        <v>104.50616427295054</v>
      </c>
      <c r="D1342" s="100">
        <f t="shared" si="167"/>
        <v>445.77777777777789</v>
      </c>
      <c r="E1342">
        <f t="shared" si="163"/>
        <v>0</v>
      </c>
      <c r="G1342">
        <v>1292</v>
      </c>
      <c r="H1342" s="15">
        <f t="shared" si="168"/>
        <v>3.3332641781299799E-2</v>
      </c>
      <c r="I1342">
        <f t="shared" si="169"/>
        <v>147.57193745437988</v>
      </c>
      <c r="J1342">
        <f t="shared" si="164"/>
        <v>489.92081942113322</v>
      </c>
      <c r="K1342" s="30">
        <f t="shared" si="165"/>
        <v>8000.8678956665035</v>
      </c>
    </row>
    <row r="1343" spans="1:11" x14ac:dyDescent="0.25">
      <c r="A1343" s="29">
        <v>1293</v>
      </c>
      <c r="B1343" s="99">
        <f t="shared" si="166"/>
        <v>0</v>
      </c>
      <c r="C1343" s="75">
        <f t="shared" si="162"/>
        <v>104.50616427295054</v>
      </c>
      <c r="D1343" s="100">
        <f t="shared" si="167"/>
        <v>445.77777777777789</v>
      </c>
      <c r="E1343">
        <f t="shared" si="163"/>
        <v>0</v>
      </c>
      <c r="G1343">
        <v>1293</v>
      </c>
      <c r="H1343" s="15">
        <f t="shared" si="168"/>
        <v>3.3332641781299799E-2</v>
      </c>
      <c r="I1343">
        <f t="shared" si="169"/>
        <v>147.60527009616118</v>
      </c>
      <c r="J1343">
        <f t="shared" si="164"/>
        <v>489.93838814371793</v>
      </c>
      <c r="K1343" s="30">
        <f t="shared" si="165"/>
        <v>8001.4414619697827</v>
      </c>
    </row>
    <row r="1344" spans="1:11" x14ac:dyDescent="0.25">
      <c r="A1344" s="29">
        <v>1294</v>
      </c>
      <c r="B1344" s="99">
        <f t="shared" si="166"/>
        <v>0</v>
      </c>
      <c r="C1344" s="75">
        <f t="shared" si="162"/>
        <v>104.50616427295054</v>
      </c>
      <c r="D1344" s="100">
        <f t="shared" si="167"/>
        <v>445.77777777777789</v>
      </c>
      <c r="E1344">
        <f t="shared" si="163"/>
        <v>0</v>
      </c>
      <c r="G1344">
        <v>1294</v>
      </c>
      <c r="H1344" s="15">
        <f t="shared" si="168"/>
        <v>3.3332641781299799E-2</v>
      </c>
      <c r="I1344">
        <f t="shared" si="169"/>
        <v>147.63860273794248</v>
      </c>
      <c r="J1344">
        <f t="shared" si="164"/>
        <v>489.95594087047317</v>
      </c>
      <c r="K1344" s="30">
        <f t="shared" si="165"/>
        <v>8002.0145265042383</v>
      </c>
    </row>
    <row r="1345" spans="1:11" x14ac:dyDescent="0.25">
      <c r="A1345" s="29">
        <v>1295</v>
      </c>
      <c r="B1345" s="99">
        <f t="shared" si="166"/>
        <v>0</v>
      </c>
      <c r="C1345" s="75">
        <f t="shared" si="162"/>
        <v>104.50616427295054</v>
      </c>
      <c r="D1345" s="100">
        <f t="shared" si="167"/>
        <v>445.77777777777789</v>
      </c>
      <c r="E1345">
        <f t="shared" si="163"/>
        <v>0</v>
      </c>
      <c r="G1345">
        <v>1295</v>
      </c>
      <c r="H1345" s="15">
        <f t="shared" si="168"/>
        <v>3.3332641781299799E-2</v>
      </c>
      <c r="I1345">
        <f t="shared" si="169"/>
        <v>147.67193537972378</v>
      </c>
      <c r="J1345">
        <f t="shared" si="164"/>
        <v>489.9734776108873</v>
      </c>
      <c r="K1345" s="30">
        <f t="shared" si="165"/>
        <v>8002.587089523432</v>
      </c>
    </row>
    <row r="1346" spans="1:11" x14ac:dyDescent="0.25">
      <c r="A1346" s="29">
        <v>1296</v>
      </c>
      <c r="B1346" s="99">
        <f t="shared" si="166"/>
        <v>0</v>
      </c>
      <c r="C1346" s="75">
        <f t="shared" si="162"/>
        <v>104.50616427295054</v>
      </c>
      <c r="D1346" s="100">
        <f t="shared" si="167"/>
        <v>445.77777777777789</v>
      </c>
      <c r="E1346">
        <f t="shared" si="163"/>
        <v>0</v>
      </c>
      <c r="G1346">
        <v>1296</v>
      </c>
      <c r="H1346" s="15">
        <f t="shared" si="168"/>
        <v>3.3332641781299799E-2</v>
      </c>
      <c r="I1346">
        <f t="shared" si="169"/>
        <v>147.70526802150508</v>
      </c>
      <c r="J1346">
        <f t="shared" si="164"/>
        <v>489.99099837443248</v>
      </c>
      <c r="K1346" s="30">
        <f t="shared" si="165"/>
        <v>8003.1591512804907</v>
      </c>
    </row>
    <row r="1347" spans="1:11" x14ac:dyDescent="0.25">
      <c r="A1347" s="29">
        <v>1297</v>
      </c>
      <c r="B1347" s="99">
        <f t="shared" si="166"/>
        <v>0</v>
      </c>
      <c r="C1347" s="75">
        <f t="shared" si="162"/>
        <v>104.50616427295054</v>
      </c>
      <c r="D1347" s="100">
        <f t="shared" si="167"/>
        <v>445.77777777777789</v>
      </c>
      <c r="E1347">
        <f t="shared" si="163"/>
        <v>0</v>
      </c>
      <c r="G1347">
        <v>1297</v>
      </c>
      <c r="H1347" s="15">
        <f t="shared" si="168"/>
        <v>3.3332641781299799E-2</v>
      </c>
      <c r="I1347">
        <f t="shared" si="169"/>
        <v>147.73860066328638</v>
      </c>
      <c r="J1347">
        <f t="shared" si="164"/>
        <v>490.00850317056478</v>
      </c>
      <c r="K1347" s="30">
        <f t="shared" si="165"/>
        <v>8003.7307120281121</v>
      </c>
    </row>
    <row r="1348" spans="1:11" x14ac:dyDescent="0.25">
      <c r="A1348" s="29">
        <v>1298</v>
      </c>
      <c r="B1348" s="99">
        <f t="shared" si="166"/>
        <v>0</v>
      </c>
      <c r="C1348" s="75">
        <f t="shared" si="162"/>
        <v>104.50616427295054</v>
      </c>
      <c r="D1348" s="100">
        <f t="shared" si="167"/>
        <v>445.77777777777789</v>
      </c>
      <c r="E1348">
        <f t="shared" si="163"/>
        <v>0</v>
      </c>
      <c r="G1348">
        <v>1298</v>
      </c>
      <c r="H1348" s="15">
        <f t="shared" si="168"/>
        <v>3.3332641781299799E-2</v>
      </c>
      <c r="I1348">
        <f t="shared" si="169"/>
        <v>147.77193330506768</v>
      </c>
      <c r="J1348">
        <f t="shared" si="164"/>
        <v>490.02599200872419</v>
      </c>
      <c r="K1348" s="30">
        <f t="shared" si="165"/>
        <v>8004.301772018568</v>
      </c>
    </row>
    <row r="1349" spans="1:11" x14ac:dyDescent="0.25">
      <c r="A1349" s="29">
        <v>1299</v>
      </c>
      <c r="B1349" s="99">
        <f t="shared" si="166"/>
        <v>0</v>
      </c>
      <c r="C1349" s="75">
        <f t="shared" si="162"/>
        <v>104.50616427295054</v>
      </c>
      <c r="D1349" s="100">
        <f t="shared" si="167"/>
        <v>445.77777777777789</v>
      </c>
      <c r="E1349">
        <f t="shared" si="163"/>
        <v>0</v>
      </c>
      <c r="G1349">
        <v>1299</v>
      </c>
      <c r="H1349" s="15">
        <f t="shared" si="168"/>
        <v>3.3332641781299799E-2</v>
      </c>
      <c r="I1349">
        <f t="shared" si="169"/>
        <v>147.80526594684898</v>
      </c>
      <c r="J1349">
        <f t="shared" si="164"/>
        <v>490.04346489833483</v>
      </c>
      <c r="K1349" s="30">
        <f t="shared" si="165"/>
        <v>8004.8723315037014</v>
      </c>
    </row>
    <row r="1350" spans="1:11" x14ac:dyDescent="0.25">
      <c r="A1350" s="29">
        <v>1300</v>
      </c>
      <c r="B1350" s="99">
        <f t="shared" si="166"/>
        <v>0</v>
      </c>
      <c r="C1350" s="75">
        <f t="shared" si="162"/>
        <v>104.50616427295054</v>
      </c>
      <c r="D1350" s="100">
        <f t="shared" si="167"/>
        <v>445.77777777777789</v>
      </c>
      <c r="E1350">
        <f t="shared" si="163"/>
        <v>0</v>
      </c>
      <c r="G1350">
        <v>1300</v>
      </c>
      <c r="H1350" s="15">
        <f t="shared" si="168"/>
        <v>3.3332641781299799E-2</v>
      </c>
      <c r="I1350">
        <f t="shared" si="169"/>
        <v>147.83859858863028</v>
      </c>
      <c r="J1350">
        <f t="shared" si="164"/>
        <v>490.06092184880453</v>
      </c>
      <c r="K1350" s="30">
        <f t="shared" si="165"/>
        <v>8005.4423907349192</v>
      </c>
    </row>
    <row r="1351" spans="1:11" x14ac:dyDescent="0.25">
      <c r="A1351" s="29">
        <v>1301</v>
      </c>
      <c r="B1351" s="99">
        <f t="shared" si="166"/>
        <v>0</v>
      </c>
      <c r="C1351" s="75">
        <f t="shared" si="162"/>
        <v>104.50616427295054</v>
      </c>
      <c r="D1351" s="100">
        <f t="shared" si="167"/>
        <v>445.77777777777789</v>
      </c>
      <c r="E1351">
        <f t="shared" si="163"/>
        <v>0</v>
      </c>
      <c r="G1351">
        <v>1301</v>
      </c>
      <c r="H1351" s="15">
        <f t="shared" si="168"/>
        <v>3.3332641781299799E-2</v>
      </c>
      <c r="I1351">
        <f t="shared" si="169"/>
        <v>147.87193123041158</v>
      </c>
      <c r="J1351">
        <f t="shared" si="164"/>
        <v>490.07836286952534</v>
      </c>
      <c r="K1351" s="30">
        <f t="shared" si="165"/>
        <v>8006.0119499632128</v>
      </c>
    </row>
    <row r="1352" spans="1:11" x14ac:dyDescent="0.25">
      <c r="A1352" s="29">
        <v>1302</v>
      </c>
      <c r="B1352" s="99">
        <f t="shared" si="166"/>
        <v>0</v>
      </c>
      <c r="C1352" s="75">
        <f t="shared" si="162"/>
        <v>104.50616427295054</v>
      </c>
      <c r="D1352" s="100">
        <f t="shared" si="167"/>
        <v>445.77777777777789</v>
      </c>
      <c r="E1352">
        <f t="shared" si="163"/>
        <v>0</v>
      </c>
      <c r="G1352">
        <v>1302</v>
      </c>
      <c r="H1352" s="15">
        <f t="shared" si="168"/>
        <v>3.3332641781299799E-2</v>
      </c>
      <c r="I1352">
        <f t="shared" si="169"/>
        <v>147.90526387219288</v>
      </c>
      <c r="J1352">
        <f t="shared" si="164"/>
        <v>490.09578796987341</v>
      </c>
      <c r="K1352" s="30">
        <f t="shared" si="165"/>
        <v>8006.5810094391409</v>
      </c>
    </row>
    <row r="1353" spans="1:11" x14ac:dyDescent="0.25">
      <c r="A1353" s="29">
        <v>1303</v>
      </c>
      <c r="B1353" s="99">
        <f t="shared" si="166"/>
        <v>0</v>
      </c>
      <c r="C1353" s="75">
        <f t="shared" si="162"/>
        <v>104.50616427295054</v>
      </c>
      <c r="D1353" s="100">
        <f t="shared" si="167"/>
        <v>445.77777777777789</v>
      </c>
      <c r="E1353">
        <f t="shared" si="163"/>
        <v>0</v>
      </c>
      <c r="G1353">
        <v>1303</v>
      </c>
      <c r="H1353" s="15">
        <f t="shared" si="168"/>
        <v>3.3332641781299799E-2</v>
      </c>
      <c r="I1353">
        <f t="shared" si="169"/>
        <v>147.93859651397418</v>
      </c>
      <c r="J1353">
        <f t="shared" si="164"/>
        <v>490.11319715920877</v>
      </c>
      <c r="K1353" s="30">
        <f t="shared" si="165"/>
        <v>8007.1495694128398</v>
      </c>
    </row>
    <row r="1354" spans="1:11" x14ac:dyDescent="0.25">
      <c r="A1354" s="29">
        <v>1304</v>
      </c>
      <c r="B1354" s="99">
        <f t="shared" si="166"/>
        <v>0</v>
      </c>
      <c r="C1354" s="75">
        <f t="shared" si="162"/>
        <v>104.50616427295054</v>
      </c>
      <c r="D1354" s="100">
        <f t="shared" si="167"/>
        <v>445.77777777777789</v>
      </c>
      <c r="E1354">
        <f t="shared" si="163"/>
        <v>0</v>
      </c>
      <c r="G1354">
        <v>1304</v>
      </c>
      <c r="H1354" s="15">
        <f t="shared" si="168"/>
        <v>3.3332641781299799E-2</v>
      </c>
      <c r="I1354">
        <f t="shared" si="169"/>
        <v>147.97192915575548</v>
      </c>
      <c r="J1354">
        <f t="shared" si="164"/>
        <v>490.13059044687583</v>
      </c>
      <c r="K1354" s="30">
        <f t="shared" si="165"/>
        <v>8007.7176301340223</v>
      </c>
    </row>
    <row r="1355" spans="1:11" x14ac:dyDescent="0.25">
      <c r="A1355" s="29">
        <v>1305</v>
      </c>
      <c r="B1355" s="99">
        <f t="shared" si="166"/>
        <v>0</v>
      </c>
      <c r="C1355" s="75">
        <f t="shared" si="162"/>
        <v>104.50616427295054</v>
      </c>
      <c r="D1355" s="100">
        <f t="shared" si="167"/>
        <v>445.77777777777789</v>
      </c>
      <c r="E1355">
        <f t="shared" si="163"/>
        <v>0</v>
      </c>
      <c r="G1355">
        <v>1305</v>
      </c>
      <c r="H1355" s="15">
        <f t="shared" si="168"/>
        <v>3.3332641781299799E-2</v>
      </c>
      <c r="I1355">
        <f t="shared" si="169"/>
        <v>148.00526179753678</v>
      </c>
      <c r="J1355">
        <f t="shared" si="164"/>
        <v>490.147967842203</v>
      </c>
      <c r="K1355" s="30">
        <f t="shared" si="165"/>
        <v>8008.2851918519764</v>
      </c>
    </row>
    <row r="1356" spans="1:11" x14ac:dyDescent="0.25">
      <c r="A1356" s="29">
        <v>1306</v>
      </c>
      <c r="B1356" s="99">
        <f t="shared" si="166"/>
        <v>0</v>
      </c>
      <c r="C1356" s="75">
        <f t="shared" si="162"/>
        <v>104.50616427295054</v>
      </c>
      <c r="D1356" s="100">
        <f t="shared" si="167"/>
        <v>445.77777777777789</v>
      </c>
      <c r="E1356">
        <f t="shared" si="163"/>
        <v>0</v>
      </c>
      <c r="G1356">
        <v>1306</v>
      </c>
      <c r="H1356" s="15">
        <f t="shared" si="168"/>
        <v>3.3332641781299799E-2</v>
      </c>
      <c r="I1356">
        <f t="shared" si="169"/>
        <v>148.03859443931808</v>
      </c>
      <c r="J1356">
        <f t="shared" si="164"/>
        <v>490.16532935450289</v>
      </c>
      <c r="K1356" s="30">
        <f t="shared" si="165"/>
        <v>8008.8522548155661</v>
      </c>
    </row>
    <row r="1357" spans="1:11" x14ac:dyDescent="0.25">
      <c r="A1357" s="29">
        <v>1307</v>
      </c>
      <c r="B1357" s="99">
        <f t="shared" si="166"/>
        <v>0</v>
      </c>
      <c r="C1357" s="75">
        <f t="shared" si="162"/>
        <v>104.50616427295054</v>
      </c>
      <c r="D1357" s="100">
        <f t="shared" si="167"/>
        <v>445.77777777777789</v>
      </c>
      <c r="E1357">
        <f t="shared" si="163"/>
        <v>0</v>
      </c>
      <c r="G1357">
        <v>1307</v>
      </c>
      <c r="H1357" s="15">
        <f t="shared" si="168"/>
        <v>3.3332641781299799E-2</v>
      </c>
      <c r="I1357">
        <f t="shared" si="169"/>
        <v>148.07192708109937</v>
      </c>
      <c r="J1357">
        <f t="shared" si="164"/>
        <v>490.1826749930724</v>
      </c>
      <c r="K1357" s="30">
        <f t="shared" si="165"/>
        <v>8009.4188192732372</v>
      </c>
    </row>
    <row r="1358" spans="1:11" x14ac:dyDescent="0.25">
      <c r="A1358" s="29">
        <v>1308</v>
      </c>
      <c r="B1358" s="99">
        <f t="shared" si="166"/>
        <v>0</v>
      </c>
      <c r="C1358" s="75">
        <f t="shared" si="162"/>
        <v>104.50616427295054</v>
      </c>
      <c r="D1358" s="100">
        <f t="shared" si="167"/>
        <v>445.77777777777789</v>
      </c>
      <c r="E1358">
        <f t="shared" si="163"/>
        <v>0</v>
      </c>
      <c r="G1358">
        <v>1308</v>
      </c>
      <c r="H1358" s="15">
        <f t="shared" si="168"/>
        <v>3.3332641781299799E-2</v>
      </c>
      <c r="I1358">
        <f t="shared" si="169"/>
        <v>148.10525972288067</v>
      </c>
      <c r="J1358">
        <f t="shared" si="164"/>
        <v>490.20000476719269</v>
      </c>
      <c r="K1358" s="30">
        <f t="shared" si="165"/>
        <v>8009.9848854730153</v>
      </c>
    </row>
    <row r="1359" spans="1:11" x14ac:dyDescent="0.25">
      <c r="A1359" s="29">
        <v>1309</v>
      </c>
      <c r="B1359" s="99">
        <f t="shared" si="166"/>
        <v>0</v>
      </c>
      <c r="C1359" s="75">
        <f t="shared" si="162"/>
        <v>104.50616427295054</v>
      </c>
      <c r="D1359" s="100">
        <f t="shared" si="167"/>
        <v>445.77777777777789</v>
      </c>
      <c r="E1359">
        <f t="shared" si="163"/>
        <v>0</v>
      </c>
      <c r="G1359">
        <v>1309</v>
      </c>
      <c r="H1359" s="15">
        <f t="shared" si="168"/>
        <v>3.3332641781299799E-2</v>
      </c>
      <c r="I1359">
        <f t="shared" si="169"/>
        <v>148.13859236466197</v>
      </c>
      <c r="J1359">
        <f t="shared" si="164"/>
        <v>490.21731868612909</v>
      </c>
      <c r="K1359" s="30">
        <f t="shared" si="165"/>
        <v>8010.550453662504</v>
      </c>
    </row>
    <row r="1360" spans="1:11" x14ac:dyDescent="0.25">
      <c r="A1360" s="29">
        <v>1310</v>
      </c>
      <c r="B1360" s="99">
        <f t="shared" si="166"/>
        <v>0</v>
      </c>
      <c r="C1360" s="75">
        <f t="shared" ref="C1360:C1423" si="170">($C$37-$C$36)/2000+C1359</f>
        <v>104.50616427295054</v>
      </c>
      <c r="D1360" s="100">
        <f t="shared" si="167"/>
        <v>445.77777777777789</v>
      </c>
      <c r="E1360">
        <f t="shared" si="163"/>
        <v>0</v>
      </c>
      <c r="G1360">
        <v>1310</v>
      </c>
      <c r="H1360" s="15">
        <f t="shared" si="168"/>
        <v>3.3332641781299799E-2</v>
      </c>
      <c r="I1360">
        <f t="shared" si="169"/>
        <v>148.17192500644327</v>
      </c>
      <c r="J1360">
        <f t="shared" si="164"/>
        <v>490.23461675913137</v>
      </c>
      <c r="K1360" s="30">
        <f t="shared" si="165"/>
        <v>8011.1155240888838</v>
      </c>
    </row>
    <row r="1361" spans="1:11" x14ac:dyDescent="0.25">
      <c r="A1361" s="29">
        <v>1311</v>
      </c>
      <c r="B1361" s="99">
        <f t="shared" si="166"/>
        <v>0</v>
      </c>
      <c r="C1361" s="75">
        <f t="shared" si="170"/>
        <v>104.50616427295054</v>
      </c>
      <c r="D1361" s="100">
        <f t="shared" si="167"/>
        <v>445.77777777777789</v>
      </c>
      <c r="E1361">
        <f t="shared" si="163"/>
        <v>0</v>
      </c>
      <c r="G1361">
        <v>1311</v>
      </c>
      <c r="H1361" s="15">
        <f t="shared" si="168"/>
        <v>3.3332641781299799E-2</v>
      </c>
      <c r="I1361">
        <f t="shared" si="169"/>
        <v>148.20525764822457</v>
      </c>
      <c r="J1361">
        <f t="shared" si="164"/>
        <v>490.25189899543363</v>
      </c>
      <c r="K1361" s="30">
        <f t="shared" si="165"/>
        <v>8011.6800969989272</v>
      </c>
    </row>
    <row r="1362" spans="1:11" x14ac:dyDescent="0.25">
      <c r="A1362" s="29">
        <v>1312</v>
      </c>
      <c r="B1362" s="99">
        <f t="shared" si="166"/>
        <v>0</v>
      </c>
      <c r="C1362" s="75">
        <f t="shared" si="170"/>
        <v>104.50616427295054</v>
      </c>
      <c r="D1362" s="100">
        <f t="shared" si="167"/>
        <v>445.77777777777789</v>
      </c>
      <c r="E1362">
        <f t="shared" si="163"/>
        <v>0</v>
      </c>
      <c r="G1362">
        <v>1312</v>
      </c>
      <c r="H1362" s="15">
        <f t="shared" si="168"/>
        <v>3.3332641781299799E-2</v>
      </c>
      <c r="I1362">
        <f t="shared" si="169"/>
        <v>148.23859029000587</v>
      </c>
      <c r="J1362">
        <f t="shared" si="164"/>
        <v>490.2691654042543</v>
      </c>
      <c r="K1362" s="30">
        <f t="shared" si="165"/>
        <v>8012.2441726389807</v>
      </c>
    </row>
    <row r="1363" spans="1:11" x14ac:dyDescent="0.25">
      <c r="A1363" s="29">
        <v>1313</v>
      </c>
      <c r="B1363" s="99">
        <f t="shared" si="166"/>
        <v>0</v>
      </c>
      <c r="C1363" s="75">
        <f t="shared" si="170"/>
        <v>104.50616427295054</v>
      </c>
      <c r="D1363" s="100">
        <f t="shared" si="167"/>
        <v>445.77777777777789</v>
      </c>
      <c r="E1363">
        <f t="shared" si="163"/>
        <v>0</v>
      </c>
      <c r="G1363">
        <v>1313</v>
      </c>
      <c r="H1363" s="15">
        <f t="shared" si="168"/>
        <v>3.3332641781299799E-2</v>
      </c>
      <c r="I1363">
        <f t="shared" si="169"/>
        <v>148.27192293178717</v>
      </c>
      <c r="J1363">
        <f t="shared" si="164"/>
        <v>490.2864159947963</v>
      </c>
      <c r="K1363" s="30">
        <f t="shared" si="165"/>
        <v>8012.8077512549798</v>
      </c>
    </row>
    <row r="1364" spans="1:11" x14ac:dyDescent="0.25">
      <c r="A1364" s="29">
        <v>1314</v>
      </c>
      <c r="B1364" s="99">
        <f t="shared" si="166"/>
        <v>0</v>
      </c>
      <c r="C1364" s="75">
        <f t="shared" si="170"/>
        <v>104.50616427295054</v>
      </c>
      <c r="D1364" s="100">
        <f t="shared" si="167"/>
        <v>445.77777777777789</v>
      </c>
      <c r="E1364">
        <f t="shared" si="163"/>
        <v>0</v>
      </c>
      <c r="G1364">
        <v>1314</v>
      </c>
      <c r="H1364" s="15">
        <f t="shared" si="168"/>
        <v>3.3332641781299799E-2</v>
      </c>
      <c r="I1364">
        <f t="shared" si="169"/>
        <v>148.30525557356847</v>
      </c>
      <c r="J1364">
        <f t="shared" si="164"/>
        <v>490.30365077624691</v>
      </c>
      <c r="K1364" s="30">
        <f t="shared" si="165"/>
        <v>8013.3708330924392</v>
      </c>
    </row>
    <row r="1365" spans="1:11" x14ac:dyDescent="0.25">
      <c r="A1365" s="29">
        <v>1315</v>
      </c>
      <c r="B1365" s="99">
        <f t="shared" si="166"/>
        <v>0</v>
      </c>
      <c r="C1365" s="75">
        <f t="shared" si="170"/>
        <v>104.50616427295054</v>
      </c>
      <c r="D1365" s="100">
        <f t="shared" si="167"/>
        <v>445.77777777777789</v>
      </c>
      <c r="E1365">
        <f t="shared" si="163"/>
        <v>0</v>
      </c>
      <c r="G1365">
        <v>1315</v>
      </c>
      <c r="H1365" s="15">
        <f t="shared" si="168"/>
        <v>3.3332641781299799E-2</v>
      </c>
      <c r="I1365">
        <f t="shared" si="169"/>
        <v>148.33858821534977</v>
      </c>
      <c r="J1365">
        <f t="shared" si="164"/>
        <v>490.32086975777793</v>
      </c>
      <c r="K1365" s="30">
        <f t="shared" si="165"/>
        <v>8013.9334183964638</v>
      </c>
    </row>
    <row r="1366" spans="1:11" x14ac:dyDescent="0.25">
      <c r="A1366" s="29">
        <v>1316</v>
      </c>
      <c r="B1366" s="99">
        <f t="shared" si="166"/>
        <v>0</v>
      </c>
      <c r="C1366" s="75">
        <f t="shared" si="170"/>
        <v>104.50616427295054</v>
      </c>
      <c r="D1366" s="100">
        <f t="shared" si="167"/>
        <v>445.77777777777789</v>
      </c>
      <c r="E1366">
        <f t="shared" si="163"/>
        <v>0</v>
      </c>
      <c r="G1366">
        <v>1316</v>
      </c>
      <c r="H1366" s="15">
        <f t="shared" si="168"/>
        <v>3.3332641781299799E-2</v>
      </c>
      <c r="I1366">
        <f t="shared" si="169"/>
        <v>148.37192085713107</v>
      </c>
      <c r="J1366">
        <f t="shared" si="164"/>
        <v>490.33807294854569</v>
      </c>
      <c r="K1366" s="30">
        <f t="shared" si="165"/>
        <v>8014.4955074117415</v>
      </c>
    </row>
    <row r="1367" spans="1:11" x14ac:dyDescent="0.25">
      <c r="A1367" s="29">
        <v>1317</v>
      </c>
      <c r="B1367" s="99">
        <f t="shared" si="166"/>
        <v>0</v>
      </c>
      <c r="C1367" s="75">
        <f t="shared" si="170"/>
        <v>104.50616427295054</v>
      </c>
      <c r="D1367" s="100">
        <f t="shared" si="167"/>
        <v>445.77777777777789</v>
      </c>
      <c r="E1367">
        <f t="shared" si="163"/>
        <v>0</v>
      </c>
      <c r="G1367">
        <v>1317</v>
      </c>
      <c r="H1367" s="15">
        <f t="shared" si="168"/>
        <v>3.3332641781299799E-2</v>
      </c>
      <c r="I1367">
        <f t="shared" si="169"/>
        <v>148.40525349891237</v>
      </c>
      <c r="J1367">
        <f t="shared" si="164"/>
        <v>490.35526035769101</v>
      </c>
      <c r="K1367" s="30">
        <f t="shared" si="165"/>
        <v>8015.0571003825471</v>
      </c>
    </row>
    <row r="1368" spans="1:11" x14ac:dyDescent="0.25">
      <c r="A1368" s="29">
        <v>1318</v>
      </c>
      <c r="B1368" s="99">
        <f t="shared" si="166"/>
        <v>0</v>
      </c>
      <c r="C1368" s="75">
        <f t="shared" si="170"/>
        <v>104.50616427295054</v>
      </c>
      <c r="D1368" s="100">
        <f t="shared" si="167"/>
        <v>445.77777777777789</v>
      </c>
      <c r="E1368">
        <f t="shared" si="163"/>
        <v>0</v>
      </c>
      <c r="G1368">
        <v>1318</v>
      </c>
      <c r="H1368" s="15">
        <f t="shared" si="168"/>
        <v>3.3332641781299799E-2</v>
      </c>
      <c r="I1368">
        <f t="shared" si="169"/>
        <v>148.43858614069367</v>
      </c>
      <c r="J1368">
        <f t="shared" si="164"/>
        <v>490.37243199433931</v>
      </c>
      <c r="K1368" s="30">
        <f t="shared" si="165"/>
        <v>8015.618197552747</v>
      </c>
    </row>
    <row r="1369" spans="1:11" x14ac:dyDescent="0.25">
      <c r="A1369" s="29">
        <v>1319</v>
      </c>
      <c r="B1369" s="99">
        <f t="shared" si="166"/>
        <v>0</v>
      </c>
      <c r="C1369" s="75">
        <f t="shared" si="170"/>
        <v>104.50616427295054</v>
      </c>
      <c r="D1369" s="100">
        <f t="shared" si="167"/>
        <v>445.77777777777789</v>
      </c>
      <c r="E1369">
        <f t="shared" si="163"/>
        <v>0</v>
      </c>
      <c r="G1369">
        <v>1319</v>
      </c>
      <c r="H1369" s="15">
        <f t="shared" si="168"/>
        <v>3.3332641781299799E-2</v>
      </c>
      <c r="I1369">
        <f t="shared" si="169"/>
        <v>148.47191878247497</v>
      </c>
      <c r="J1369">
        <f t="shared" si="164"/>
        <v>490.38958786760065</v>
      </c>
      <c r="K1369" s="30">
        <f t="shared" si="165"/>
        <v>8016.1787991657911</v>
      </c>
    </row>
    <row r="1370" spans="1:11" x14ac:dyDescent="0.25">
      <c r="A1370" s="29">
        <v>1320</v>
      </c>
      <c r="B1370" s="99">
        <f t="shared" si="166"/>
        <v>0</v>
      </c>
      <c r="C1370" s="75">
        <f t="shared" si="170"/>
        <v>104.50616427295054</v>
      </c>
      <c r="D1370" s="100">
        <f t="shared" si="167"/>
        <v>445.77777777777789</v>
      </c>
      <c r="E1370">
        <f t="shared" si="163"/>
        <v>0</v>
      </c>
      <c r="G1370">
        <v>1320</v>
      </c>
      <c r="H1370" s="15">
        <f t="shared" si="168"/>
        <v>3.3332641781299799E-2</v>
      </c>
      <c r="I1370">
        <f t="shared" si="169"/>
        <v>148.50525142425627</v>
      </c>
      <c r="J1370">
        <f t="shared" si="164"/>
        <v>490.40672798656965</v>
      </c>
      <c r="K1370" s="30">
        <f t="shared" si="165"/>
        <v>8016.7389054647238</v>
      </c>
    </row>
    <row r="1371" spans="1:11" x14ac:dyDescent="0.25">
      <c r="A1371" s="29">
        <v>1321</v>
      </c>
      <c r="B1371" s="99">
        <f t="shared" si="166"/>
        <v>0</v>
      </c>
      <c r="C1371" s="75">
        <f t="shared" si="170"/>
        <v>104.50616427295054</v>
      </c>
      <c r="D1371" s="100">
        <f t="shared" si="167"/>
        <v>445.77777777777789</v>
      </c>
      <c r="E1371">
        <f t="shared" si="163"/>
        <v>0</v>
      </c>
      <c r="G1371">
        <v>1321</v>
      </c>
      <c r="H1371" s="15">
        <f t="shared" si="168"/>
        <v>3.3332641781299799E-2</v>
      </c>
      <c r="I1371">
        <f t="shared" si="169"/>
        <v>148.53858406603757</v>
      </c>
      <c r="J1371">
        <f t="shared" si="164"/>
        <v>490.42385236032561</v>
      </c>
      <c r="K1371" s="30">
        <f t="shared" si="165"/>
        <v>8017.2985166921717</v>
      </c>
    </row>
    <row r="1372" spans="1:11" x14ac:dyDescent="0.25">
      <c r="A1372" s="29">
        <v>1322</v>
      </c>
      <c r="B1372" s="99">
        <f t="shared" si="166"/>
        <v>0</v>
      </c>
      <c r="C1372" s="75">
        <f t="shared" si="170"/>
        <v>104.50616427295054</v>
      </c>
      <c r="D1372" s="100">
        <f t="shared" si="167"/>
        <v>445.77777777777789</v>
      </c>
      <c r="E1372">
        <f t="shared" si="163"/>
        <v>0</v>
      </c>
      <c r="G1372">
        <v>1322</v>
      </c>
      <c r="H1372" s="15">
        <f t="shared" si="168"/>
        <v>3.3332641781299799E-2</v>
      </c>
      <c r="I1372">
        <f t="shared" si="169"/>
        <v>148.57191670781887</v>
      </c>
      <c r="J1372">
        <f t="shared" si="164"/>
        <v>490.44096099793256</v>
      </c>
      <c r="K1372" s="30">
        <f t="shared" si="165"/>
        <v>8017.8576330903597</v>
      </c>
    </row>
    <row r="1373" spans="1:11" x14ac:dyDescent="0.25">
      <c r="A1373" s="29">
        <v>1323</v>
      </c>
      <c r="B1373" s="99">
        <f t="shared" si="166"/>
        <v>0</v>
      </c>
      <c r="C1373" s="75">
        <f t="shared" si="170"/>
        <v>104.50616427295054</v>
      </c>
      <c r="D1373" s="100">
        <f t="shared" si="167"/>
        <v>445.77777777777789</v>
      </c>
      <c r="E1373">
        <f t="shared" si="163"/>
        <v>0</v>
      </c>
      <c r="G1373">
        <v>1323</v>
      </c>
      <c r="H1373" s="15">
        <f t="shared" si="168"/>
        <v>3.3332641781299799E-2</v>
      </c>
      <c r="I1373">
        <f t="shared" si="169"/>
        <v>148.60524934960017</v>
      </c>
      <c r="J1373">
        <f t="shared" si="164"/>
        <v>490.45805390843924</v>
      </c>
      <c r="K1373" s="30">
        <f t="shared" si="165"/>
        <v>8018.4162549011025</v>
      </c>
    </row>
    <row r="1374" spans="1:11" x14ac:dyDescent="0.25">
      <c r="A1374" s="29">
        <v>1324</v>
      </c>
      <c r="B1374" s="99">
        <f t="shared" si="166"/>
        <v>0</v>
      </c>
      <c r="C1374" s="75">
        <f t="shared" si="170"/>
        <v>104.50616427295054</v>
      </c>
      <c r="D1374" s="100">
        <f t="shared" si="167"/>
        <v>445.77777777777789</v>
      </c>
      <c r="E1374">
        <f t="shared" si="163"/>
        <v>0</v>
      </c>
      <c r="G1374">
        <v>1324</v>
      </c>
      <c r="H1374" s="15">
        <f t="shared" si="168"/>
        <v>3.3332641781299799E-2</v>
      </c>
      <c r="I1374">
        <f t="shared" si="169"/>
        <v>148.63858199138147</v>
      </c>
      <c r="J1374">
        <f t="shared" si="164"/>
        <v>490.47513110087908</v>
      </c>
      <c r="K1374" s="30">
        <f t="shared" si="165"/>
        <v>8018.9743823658091</v>
      </c>
    </row>
    <row r="1375" spans="1:11" x14ac:dyDescent="0.25">
      <c r="A1375" s="29">
        <v>1325</v>
      </c>
      <c r="B1375" s="99">
        <f t="shared" si="166"/>
        <v>0</v>
      </c>
      <c r="C1375" s="75">
        <f t="shared" si="170"/>
        <v>104.50616427295054</v>
      </c>
      <c r="D1375" s="100">
        <f t="shared" si="167"/>
        <v>445.77777777777789</v>
      </c>
      <c r="E1375">
        <f t="shared" si="163"/>
        <v>0</v>
      </c>
      <c r="G1375">
        <v>1325</v>
      </c>
      <c r="H1375" s="15">
        <f t="shared" si="168"/>
        <v>3.3332641781299799E-2</v>
      </c>
      <c r="I1375">
        <f t="shared" si="169"/>
        <v>148.67191463316277</v>
      </c>
      <c r="J1375">
        <f t="shared" si="164"/>
        <v>490.49219258427041</v>
      </c>
      <c r="K1375" s="30">
        <f t="shared" si="165"/>
        <v>8019.5320157254782</v>
      </c>
    </row>
    <row r="1376" spans="1:11" x14ac:dyDescent="0.25">
      <c r="A1376" s="29">
        <v>1326</v>
      </c>
      <c r="B1376" s="99">
        <f t="shared" si="166"/>
        <v>0</v>
      </c>
      <c r="C1376" s="75">
        <f t="shared" si="170"/>
        <v>104.50616427295054</v>
      </c>
      <c r="D1376" s="100">
        <f t="shared" si="167"/>
        <v>445.77777777777789</v>
      </c>
      <c r="E1376">
        <f t="shared" si="163"/>
        <v>0</v>
      </c>
      <c r="G1376">
        <v>1326</v>
      </c>
      <c r="H1376" s="15">
        <f t="shared" si="168"/>
        <v>3.3332641781299799E-2</v>
      </c>
      <c r="I1376">
        <f t="shared" si="169"/>
        <v>148.70524727494407</v>
      </c>
      <c r="J1376">
        <f t="shared" si="164"/>
        <v>490.50923836761632</v>
      </c>
      <c r="K1376" s="30">
        <f t="shared" si="165"/>
        <v>8020.089155220704</v>
      </c>
    </row>
    <row r="1377" spans="1:11" x14ac:dyDescent="0.25">
      <c r="A1377" s="29">
        <v>1327</v>
      </c>
      <c r="B1377" s="99">
        <f t="shared" si="166"/>
        <v>0</v>
      </c>
      <c r="C1377" s="75">
        <f t="shared" si="170"/>
        <v>104.50616427295054</v>
      </c>
      <c r="D1377" s="100">
        <f t="shared" si="167"/>
        <v>445.77777777777789</v>
      </c>
      <c r="E1377">
        <f t="shared" si="163"/>
        <v>0</v>
      </c>
      <c r="G1377">
        <v>1327</v>
      </c>
      <c r="H1377" s="15">
        <f t="shared" si="168"/>
        <v>3.3332641781299799E-2</v>
      </c>
      <c r="I1377">
        <f t="shared" si="169"/>
        <v>148.73857991672537</v>
      </c>
      <c r="J1377">
        <f t="shared" si="164"/>
        <v>490.52626845990471</v>
      </c>
      <c r="K1377" s="30">
        <f t="shared" si="165"/>
        <v>8020.6458010916795</v>
      </c>
    </row>
    <row r="1378" spans="1:11" x14ac:dyDescent="0.25">
      <c r="A1378" s="29">
        <v>1328</v>
      </c>
      <c r="B1378" s="99">
        <f t="shared" si="166"/>
        <v>0</v>
      </c>
      <c r="C1378" s="75">
        <f t="shared" si="170"/>
        <v>104.50616427295054</v>
      </c>
      <c r="D1378" s="100">
        <f t="shared" si="167"/>
        <v>445.77777777777789</v>
      </c>
      <c r="E1378">
        <f t="shared" si="163"/>
        <v>0</v>
      </c>
      <c r="G1378">
        <v>1328</v>
      </c>
      <c r="H1378" s="15">
        <f t="shared" si="168"/>
        <v>3.3332641781299799E-2</v>
      </c>
      <c r="I1378">
        <f t="shared" si="169"/>
        <v>148.77191255850667</v>
      </c>
      <c r="J1378">
        <f t="shared" si="164"/>
        <v>490.54328287010838</v>
      </c>
      <c r="K1378" s="30">
        <f t="shared" si="165"/>
        <v>8021.2019535781874</v>
      </c>
    </row>
    <row r="1379" spans="1:11" x14ac:dyDescent="0.25">
      <c r="A1379" s="29">
        <v>1329</v>
      </c>
      <c r="B1379" s="99">
        <f t="shared" si="166"/>
        <v>0</v>
      </c>
      <c r="C1379" s="75">
        <f t="shared" si="170"/>
        <v>104.50616427295054</v>
      </c>
      <c r="D1379" s="100">
        <f t="shared" si="167"/>
        <v>445.77777777777789</v>
      </c>
      <c r="E1379">
        <f t="shared" si="163"/>
        <v>0</v>
      </c>
      <c r="G1379">
        <v>1329</v>
      </c>
      <c r="H1379" s="15">
        <f t="shared" si="168"/>
        <v>3.3332641781299799E-2</v>
      </c>
      <c r="I1379">
        <f t="shared" si="169"/>
        <v>148.80524520028797</v>
      </c>
      <c r="J1379">
        <f t="shared" si="164"/>
        <v>490.56028160718512</v>
      </c>
      <c r="K1379" s="30">
        <f t="shared" si="165"/>
        <v>8021.7576129196132</v>
      </c>
    </row>
    <row r="1380" spans="1:11" x14ac:dyDescent="0.25">
      <c r="A1380" s="29">
        <v>1330</v>
      </c>
      <c r="B1380" s="99">
        <f t="shared" si="166"/>
        <v>0</v>
      </c>
      <c r="C1380" s="75">
        <f t="shared" si="170"/>
        <v>104.50616427295054</v>
      </c>
      <c r="D1380" s="100">
        <f t="shared" si="167"/>
        <v>445.77777777777789</v>
      </c>
      <c r="E1380">
        <f t="shared" si="163"/>
        <v>0</v>
      </c>
      <c r="G1380">
        <v>1330</v>
      </c>
      <c r="H1380" s="15">
        <f t="shared" si="168"/>
        <v>3.3332641781299799E-2</v>
      </c>
      <c r="I1380">
        <f t="shared" si="169"/>
        <v>148.83857784206927</v>
      </c>
      <c r="J1380">
        <f t="shared" si="164"/>
        <v>490.57726468007752</v>
      </c>
      <c r="K1380" s="30">
        <f t="shared" si="165"/>
        <v>8022.3127793549356</v>
      </c>
    </row>
    <row r="1381" spans="1:11" x14ac:dyDescent="0.25">
      <c r="A1381" s="29">
        <v>1331</v>
      </c>
      <c r="B1381" s="99">
        <f t="shared" si="166"/>
        <v>0</v>
      </c>
      <c r="C1381" s="75">
        <f t="shared" si="170"/>
        <v>104.50616427295054</v>
      </c>
      <c r="D1381" s="100">
        <f t="shared" si="167"/>
        <v>445.77777777777789</v>
      </c>
      <c r="E1381">
        <f t="shared" si="163"/>
        <v>0</v>
      </c>
      <c r="G1381">
        <v>1331</v>
      </c>
      <c r="H1381" s="15">
        <f t="shared" si="168"/>
        <v>3.3332641781299799E-2</v>
      </c>
      <c r="I1381">
        <f t="shared" si="169"/>
        <v>148.87191048385057</v>
      </c>
      <c r="J1381">
        <f t="shared" si="164"/>
        <v>490.59423209771325</v>
      </c>
      <c r="K1381" s="30">
        <f t="shared" si="165"/>
        <v>8022.8674531227334</v>
      </c>
    </row>
    <row r="1382" spans="1:11" x14ac:dyDescent="0.25">
      <c r="A1382" s="29">
        <v>1332</v>
      </c>
      <c r="B1382" s="99">
        <f t="shared" si="166"/>
        <v>0</v>
      </c>
      <c r="C1382" s="75">
        <f t="shared" si="170"/>
        <v>104.50616427295054</v>
      </c>
      <c r="D1382" s="100">
        <f t="shared" si="167"/>
        <v>445.77777777777789</v>
      </c>
      <c r="E1382">
        <f t="shared" si="163"/>
        <v>0</v>
      </c>
      <c r="G1382">
        <v>1332</v>
      </c>
      <c r="H1382" s="15">
        <f t="shared" si="168"/>
        <v>3.3332641781299799E-2</v>
      </c>
      <c r="I1382">
        <f t="shared" si="169"/>
        <v>148.90524312563187</v>
      </c>
      <c r="J1382">
        <f t="shared" si="164"/>
        <v>490.61118386900489</v>
      </c>
      <c r="K1382" s="30">
        <f t="shared" si="165"/>
        <v>8023.421634461185</v>
      </c>
    </row>
    <row r="1383" spans="1:11" x14ac:dyDescent="0.25">
      <c r="A1383" s="29">
        <v>1333</v>
      </c>
      <c r="B1383" s="99">
        <f t="shared" si="166"/>
        <v>0</v>
      </c>
      <c r="C1383" s="75">
        <f t="shared" si="170"/>
        <v>104.50616427295054</v>
      </c>
      <c r="D1383" s="100">
        <f t="shared" si="167"/>
        <v>445.77777777777789</v>
      </c>
      <c r="E1383">
        <f t="shared" si="163"/>
        <v>0</v>
      </c>
      <c r="G1383">
        <v>1333</v>
      </c>
      <c r="H1383" s="15">
        <f t="shared" si="168"/>
        <v>3.3332641781299799E-2</v>
      </c>
      <c r="I1383">
        <f t="shared" si="169"/>
        <v>148.93857576741317</v>
      </c>
      <c r="J1383">
        <f t="shared" si="164"/>
        <v>490.6281200028501</v>
      </c>
      <c r="K1383" s="30">
        <f t="shared" si="165"/>
        <v>8023.975323608066</v>
      </c>
    </row>
    <row r="1384" spans="1:11" x14ac:dyDescent="0.25">
      <c r="A1384" s="29">
        <v>1334</v>
      </c>
      <c r="B1384" s="99">
        <f t="shared" si="166"/>
        <v>0</v>
      </c>
      <c r="C1384" s="75">
        <f t="shared" si="170"/>
        <v>104.50616427295054</v>
      </c>
      <c r="D1384" s="100">
        <f t="shared" si="167"/>
        <v>445.77777777777789</v>
      </c>
      <c r="E1384">
        <f t="shared" si="163"/>
        <v>0</v>
      </c>
      <c r="G1384">
        <v>1334</v>
      </c>
      <c r="H1384" s="15">
        <f t="shared" si="168"/>
        <v>3.3332641781299799E-2</v>
      </c>
      <c r="I1384">
        <f t="shared" si="169"/>
        <v>148.97190840919447</v>
      </c>
      <c r="J1384">
        <f t="shared" si="164"/>
        <v>490.64504050813161</v>
      </c>
      <c r="K1384" s="30">
        <f t="shared" si="165"/>
        <v>8024.5285208007563</v>
      </c>
    </row>
    <row r="1385" spans="1:11" x14ac:dyDescent="0.25">
      <c r="A1385" s="29">
        <v>1335</v>
      </c>
      <c r="B1385" s="99">
        <f t="shared" si="166"/>
        <v>0</v>
      </c>
      <c r="C1385" s="75">
        <f t="shared" si="170"/>
        <v>104.50616427295054</v>
      </c>
      <c r="D1385" s="100">
        <f t="shared" si="167"/>
        <v>445.77777777777789</v>
      </c>
      <c r="E1385">
        <f t="shared" si="163"/>
        <v>0</v>
      </c>
      <c r="G1385">
        <v>1335</v>
      </c>
      <c r="H1385" s="15">
        <f t="shared" si="168"/>
        <v>3.3332641781299799E-2</v>
      </c>
      <c r="I1385">
        <f t="shared" si="169"/>
        <v>149.00524105097577</v>
      </c>
      <c r="J1385">
        <f t="shared" si="164"/>
        <v>490.66194539371713</v>
      </c>
      <c r="K1385" s="30">
        <f t="shared" si="165"/>
        <v>8025.0812262762365</v>
      </c>
    </row>
    <row r="1386" spans="1:11" x14ac:dyDescent="0.25">
      <c r="A1386" s="29">
        <v>1336</v>
      </c>
      <c r="B1386" s="99">
        <f t="shared" si="166"/>
        <v>0</v>
      </c>
      <c r="C1386" s="75">
        <f t="shared" si="170"/>
        <v>104.50616427295054</v>
      </c>
      <c r="D1386" s="100">
        <f t="shared" si="167"/>
        <v>445.77777777777789</v>
      </c>
      <c r="E1386">
        <f t="shared" si="163"/>
        <v>0</v>
      </c>
      <c r="G1386">
        <v>1336</v>
      </c>
      <c r="H1386" s="15">
        <f t="shared" si="168"/>
        <v>3.3332641781299799E-2</v>
      </c>
      <c r="I1386">
        <f t="shared" si="169"/>
        <v>149.03857369275707</v>
      </c>
      <c r="J1386">
        <f t="shared" si="164"/>
        <v>490.67883466845967</v>
      </c>
      <c r="K1386" s="30">
        <f t="shared" si="165"/>
        <v>8025.6334402710891</v>
      </c>
    </row>
    <row r="1387" spans="1:11" x14ac:dyDescent="0.25">
      <c r="A1387" s="29">
        <v>1337</v>
      </c>
      <c r="B1387" s="99">
        <f t="shared" si="166"/>
        <v>0</v>
      </c>
      <c r="C1387" s="75">
        <f t="shared" si="170"/>
        <v>104.50616427295054</v>
      </c>
      <c r="D1387" s="100">
        <f t="shared" si="167"/>
        <v>445.77777777777789</v>
      </c>
      <c r="E1387">
        <f t="shared" si="163"/>
        <v>0</v>
      </c>
      <c r="G1387">
        <v>1337</v>
      </c>
      <c r="H1387" s="15">
        <f t="shared" si="168"/>
        <v>3.3332641781299799E-2</v>
      </c>
      <c r="I1387">
        <f t="shared" si="169"/>
        <v>149.07190633453837</v>
      </c>
      <c r="J1387">
        <f t="shared" si="164"/>
        <v>490.69570834119719</v>
      </c>
      <c r="K1387" s="30">
        <f t="shared" si="165"/>
        <v>8026.1851630214942</v>
      </c>
    </row>
    <row r="1388" spans="1:11" x14ac:dyDescent="0.25">
      <c r="A1388" s="29">
        <v>1338</v>
      </c>
      <c r="B1388" s="99">
        <f t="shared" si="166"/>
        <v>0</v>
      </c>
      <c r="C1388" s="75">
        <f t="shared" si="170"/>
        <v>104.50616427295054</v>
      </c>
      <c r="D1388" s="100">
        <f t="shared" si="167"/>
        <v>445.77777777777789</v>
      </c>
      <c r="E1388">
        <f t="shared" si="163"/>
        <v>0</v>
      </c>
      <c r="G1388">
        <v>1338</v>
      </c>
      <c r="H1388" s="15">
        <f t="shared" si="168"/>
        <v>3.3332641781299799E-2</v>
      </c>
      <c r="I1388">
        <f t="shared" si="169"/>
        <v>149.10523897631967</v>
      </c>
      <c r="J1388">
        <f t="shared" si="164"/>
        <v>490.71256642075298</v>
      </c>
      <c r="K1388" s="30">
        <f t="shared" si="165"/>
        <v>8026.7363947632466</v>
      </c>
    </row>
    <row r="1389" spans="1:11" x14ac:dyDescent="0.25">
      <c r="A1389" s="29">
        <v>1339</v>
      </c>
      <c r="B1389" s="99">
        <f t="shared" si="166"/>
        <v>0</v>
      </c>
      <c r="C1389" s="75">
        <f t="shared" si="170"/>
        <v>104.50616427295054</v>
      </c>
      <c r="D1389" s="100">
        <f t="shared" si="167"/>
        <v>445.77777777777789</v>
      </c>
      <c r="E1389">
        <f t="shared" si="163"/>
        <v>0</v>
      </c>
      <c r="G1389">
        <v>1339</v>
      </c>
      <c r="H1389" s="15">
        <f t="shared" si="168"/>
        <v>3.3332641781299799E-2</v>
      </c>
      <c r="I1389">
        <f t="shared" si="169"/>
        <v>149.13857161810097</v>
      </c>
      <c r="J1389">
        <f t="shared" si="164"/>
        <v>490.72940891593538</v>
      </c>
      <c r="K1389" s="30">
        <f t="shared" si="165"/>
        <v>8027.2871357317381</v>
      </c>
    </row>
    <row r="1390" spans="1:11" x14ac:dyDescent="0.25">
      <c r="A1390" s="29">
        <v>1340</v>
      </c>
      <c r="B1390" s="99">
        <f t="shared" si="166"/>
        <v>0</v>
      </c>
      <c r="C1390" s="75">
        <f t="shared" si="170"/>
        <v>104.50616427295054</v>
      </c>
      <c r="D1390" s="100">
        <f t="shared" si="167"/>
        <v>445.77777777777789</v>
      </c>
      <c r="E1390">
        <f t="shared" si="163"/>
        <v>0</v>
      </c>
      <c r="G1390">
        <v>1340</v>
      </c>
      <c r="H1390" s="15">
        <f t="shared" si="168"/>
        <v>3.3332641781299799E-2</v>
      </c>
      <c r="I1390">
        <f t="shared" si="169"/>
        <v>149.17190425988227</v>
      </c>
      <c r="J1390">
        <f t="shared" si="164"/>
        <v>490.74623583553819</v>
      </c>
      <c r="K1390" s="30">
        <f t="shared" si="165"/>
        <v>8027.8373861619684</v>
      </c>
    </row>
    <row r="1391" spans="1:11" x14ac:dyDescent="0.25">
      <c r="A1391" s="29">
        <v>1341</v>
      </c>
      <c r="B1391" s="99">
        <f t="shared" si="166"/>
        <v>0</v>
      </c>
      <c r="C1391" s="75">
        <f t="shared" si="170"/>
        <v>104.50616427295054</v>
      </c>
      <c r="D1391" s="100">
        <f t="shared" si="167"/>
        <v>445.77777777777789</v>
      </c>
      <c r="E1391">
        <f t="shared" si="163"/>
        <v>0</v>
      </c>
      <c r="G1391">
        <v>1341</v>
      </c>
      <c r="H1391" s="15">
        <f t="shared" si="168"/>
        <v>3.3332641781299799E-2</v>
      </c>
      <c r="I1391">
        <f t="shared" si="169"/>
        <v>149.20523690166357</v>
      </c>
      <c r="J1391">
        <f t="shared" si="164"/>
        <v>490.76304718834018</v>
      </c>
      <c r="K1391" s="30">
        <f t="shared" si="165"/>
        <v>8028.38714628854</v>
      </c>
    </row>
    <row r="1392" spans="1:11" x14ac:dyDescent="0.25">
      <c r="A1392" s="29">
        <v>1342</v>
      </c>
      <c r="B1392" s="99">
        <f t="shared" si="166"/>
        <v>0</v>
      </c>
      <c r="C1392" s="75">
        <f t="shared" si="170"/>
        <v>104.50616427295054</v>
      </c>
      <c r="D1392" s="100">
        <f t="shared" si="167"/>
        <v>445.77777777777789</v>
      </c>
      <c r="E1392">
        <f t="shared" si="163"/>
        <v>0</v>
      </c>
      <c r="G1392">
        <v>1342</v>
      </c>
      <c r="H1392" s="15">
        <f t="shared" si="168"/>
        <v>3.3332641781299799E-2</v>
      </c>
      <c r="I1392">
        <f t="shared" si="169"/>
        <v>149.23856954344487</v>
      </c>
      <c r="J1392">
        <f t="shared" si="164"/>
        <v>490.7798429831056</v>
      </c>
      <c r="K1392" s="30">
        <f t="shared" si="165"/>
        <v>8028.9364163456676</v>
      </c>
    </row>
    <row r="1393" spans="1:11" x14ac:dyDescent="0.25">
      <c r="A1393" s="29">
        <v>1343</v>
      </c>
      <c r="B1393" s="99">
        <f t="shared" si="166"/>
        <v>0</v>
      </c>
      <c r="C1393" s="75">
        <f t="shared" si="170"/>
        <v>104.50616427295054</v>
      </c>
      <c r="D1393" s="100">
        <f t="shared" si="167"/>
        <v>445.77777777777789</v>
      </c>
      <c r="E1393">
        <f t="shared" si="163"/>
        <v>0</v>
      </c>
      <c r="G1393">
        <v>1343</v>
      </c>
      <c r="H1393" s="15">
        <f t="shared" si="168"/>
        <v>3.3332641781299799E-2</v>
      </c>
      <c r="I1393">
        <f t="shared" si="169"/>
        <v>149.27190218522617</v>
      </c>
      <c r="J1393">
        <f t="shared" si="164"/>
        <v>490.79662322858411</v>
      </c>
      <c r="K1393" s="30">
        <f t="shared" si="165"/>
        <v>8029.4851965671724</v>
      </c>
    </row>
    <row r="1394" spans="1:11" x14ac:dyDescent="0.25">
      <c r="A1394" s="29">
        <v>1344</v>
      </c>
      <c r="B1394" s="99">
        <f t="shared" si="166"/>
        <v>0</v>
      </c>
      <c r="C1394" s="75">
        <f t="shared" si="170"/>
        <v>104.50616427295054</v>
      </c>
      <c r="D1394" s="100">
        <f t="shared" si="167"/>
        <v>445.77777777777789</v>
      </c>
      <c r="E1394">
        <f t="shared" si="163"/>
        <v>0</v>
      </c>
      <c r="G1394">
        <v>1344</v>
      </c>
      <c r="H1394" s="15">
        <f t="shared" si="168"/>
        <v>3.3332641781299799E-2</v>
      </c>
      <c r="I1394">
        <f t="shared" si="169"/>
        <v>149.30523482700747</v>
      </c>
      <c r="J1394">
        <f t="shared" si="164"/>
        <v>490.81338793351046</v>
      </c>
      <c r="K1394" s="30">
        <f t="shared" si="165"/>
        <v>8030.0334871864798</v>
      </c>
    </row>
    <row r="1395" spans="1:11" x14ac:dyDescent="0.25">
      <c r="A1395" s="29">
        <v>1345</v>
      </c>
      <c r="B1395" s="99">
        <f t="shared" si="166"/>
        <v>0</v>
      </c>
      <c r="C1395" s="75">
        <f t="shared" si="170"/>
        <v>104.50616427295054</v>
      </c>
      <c r="D1395" s="100">
        <f t="shared" si="167"/>
        <v>445.77777777777789</v>
      </c>
      <c r="E1395">
        <f t="shared" ref="E1395:E1458" si="171">((D1395^2)+(D1395*D1396)+(D1396^2))*B1396/3</f>
        <v>0</v>
      </c>
      <c r="G1395">
        <v>1345</v>
      </c>
      <c r="H1395" s="15">
        <f t="shared" si="168"/>
        <v>3.3332641781299799E-2</v>
      </c>
      <c r="I1395">
        <f t="shared" si="169"/>
        <v>149.33856746878877</v>
      </c>
      <c r="J1395">
        <f t="shared" ref="J1395:J1458" si="172">IF($G$28&lt;$C$14,0,((($C$11^2)-((I1395-$C$13)^2))^0.5)+$C$16)</f>
        <v>490.83013710660492</v>
      </c>
      <c r="K1395" s="30">
        <f t="shared" ref="K1395:K1458" si="173">((J1395^2)+(J1395*J1396)+(J1396^2))*H1396/3</f>
        <v>8030.5812884366323</v>
      </c>
    </row>
    <row r="1396" spans="1:11" x14ac:dyDescent="0.25">
      <c r="A1396" s="29">
        <v>1346</v>
      </c>
      <c r="B1396" s="99">
        <f t="shared" ref="B1396:B1459" si="174">C1396-C1395</f>
        <v>0</v>
      </c>
      <c r="C1396" s="75">
        <f t="shared" si="170"/>
        <v>104.50616427295054</v>
      </c>
      <c r="D1396" s="100">
        <f t="shared" ref="D1396:D1459" si="175">IF($G$28&lt;$C$14,0,((($C$11^2)-((C1396-$C$13)^2))^0.5)+$C$16)</f>
        <v>445.77777777777789</v>
      </c>
      <c r="E1396">
        <f t="shared" si="171"/>
        <v>0</v>
      </c>
      <c r="G1396">
        <v>1346</v>
      </c>
      <c r="H1396" s="15">
        <f t="shared" ref="H1396:H1459" si="176">I1396-I1395</f>
        <v>3.3332641781299799E-2</v>
      </c>
      <c r="I1396">
        <f t="shared" ref="I1396:I1459" si="177">($G$27-$C$14)/2000+I1395</f>
        <v>149.37190011057007</v>
      </c>
      <c r="J1396">
        <f t="shared" si="172"/>
        <v>490.84687075657325</v>
      </c>
      <c r="K1396" s="30">
        <f t="shared" si="173"/>
        <v>8031.1286005502743</v>
      </c>
    </row>
    <row r="1397" spans="1:11" x14ac:dyDescent="0.25">
      <c r="A1397" s="29">
        <v>1347</v>
      </c>
      <c r="B1397" s="99">
        <f t="shared" si="174"/>
        <v>0</v>
      </c>
      <c r="C1397" s="75">
        <f t="shared" si="170"/>
        <v>104.50616427295054</v>
      </c>
      <c r="D1397" s="100">
        <f t="shared" si="175"/>
        <v>445.77777777777789</v>
      </c>
      <c r="E1397">
        <f t="shared" si="171"/>
        <v>0</v>
      </c>
      <c r="G1397">
        <v>1347</v>
      </c>
      <c r="H1397" s="15">
        <f t="shared" si="176"/>
        <v>3.3332641781299799E-2</v>
      </c>
      <c r="I1397">
        <f t="shared" si="177"/>
        <v>149.40523275235137</v>
      </c>
      <c r="J1397">
        <f t="shared" si="172"/>
        <v>490.86358889210646</v>
      </c>
      <c r="K1397" s="30">
        <f t="shared" si="173"/>
        <v>8031.6754237596651</v>
      </c>
    </row>
    <row r="1398" spans="1:11" x14ac:dyDescent="0.25">
      <c r="A1398" s="29">
        <v>1348</v>
      </c>
      <c r="B1398" s="99">
        <f t="shared" si="174"/>
        <v>0</v>
      </c>
      <c r="C1398" s="75">
        <f t="shared" si="170"/>
        <v>104.50616427295054</v>
      </c>
      <c r="D1398" s="100">
        <f t="shared" si="175"/>
        <v>445.77777777777789</v>
      </c>
      <c r="E1398">
        <f t="shared" si="171"/>
        <v>0</v>
      </c>
      <c r="G1398">
        <v>1348</v>
      </c>
      <c r="H1398" s="15">
        <f t="shared" si="176"/>
        <v>3.3332641781299799E-2</v>
      </c>
      <c r="I1398">
        <f t="shared" si="177"/>
        <v>149.43856539413267</v>
      </c>
      <c r="J1398">
        <f t="shared" si="172"/>
        <v>490.88029152188119</v>
      </c>
      <c r="K1398" s="30">
        <f t="shared" si="173"/>
        <v>8032.2217582966778</v>
      </c>
    </row>
    <row r="1399" spans="1:11" x14ac:dyDescent="0.25">
      <c r="A1399" s="29">
        <v>1349</v>
      </c>
      <c r="B1399" s="99">
        <f t="shared" si="174"/>
        <v>0</v>
      </c>
      <c r="C1399" s="75">
        <f t="shared" si="170"/>
        <v>104.50616427295054</v>
      </c>
      <c r="D1399" s="100">
        <f t="shared" si="175"/>
        <v>445.77777777777789</v>
      </c>
      <c r="E1399">
        <f t="shared" si="171"/>
        <v>0</v>
      </c>
      <c r="G1399">
        <v>1349</v>
      </c>
      <c r="H1399" s="15">
        <f t="shared" si="176"/>
        <v>3.3332641781299799E-2</v>
      </c>
      <c r="I1399">
        <f t="shared" si="177"/>
        <v>149.47189803591397</v>
      </c>
      <c r="J1399">
        <f t="shared" si="172"/>
        <v>490.89697865455946</v>
      </c>
      <c r="K1399" s="30">
        <f t="shared" si="173"/>
        <v>8032.7676043927922</v>
      </c>
    </row>
    <row r="1400" spans="1:11" x14ac:dyDescent="0.25">
      <c r="A1400" s="29">
        <v>1350</v>
      </c>
      <c r="B1400" s="99">
        <f t="shared" si="174"/>
        <v>0</v>
      </c>
      <c r="C1400" s="75">
        <f t="shared" si="170"/>
        <v>104.50616427295054</v>
      </c>
      <c r="D1400" s="100">
        <f t="shared" si="175"/>
        <v>445.77777777777789</v>
      </c>
      <c r="E1400">
        <f t="shared" si="171"/>
        <v>0</v>
      </c>
      <c r="G1400">
        <v>1350</v>
      </c>
      <c r="H1400" s="15">
        <f t="shared" si="176"/>
        <v>3.3332641781299799E-2</v>
      </c>
      <c r="I1400">
        <f t="shared" si="177"/>
        <v>149.50523067769527</v>
      </c>
      <c r="J1400">
        <f t="shared" si="172"/>
        <v>490.91365029878887</v>
      </c>
      <c r="K1400" s="30">
        <f t="shared" si="173"/>
        <v>8033.3129622791057</v>
      </c>
    </row>
    <row r="1401" spans="1:11" x14ac:dyDescent="0.25">
      <c r="A1401" s="29">
        <v>1351</v>
      </c>
      <c r="B1401" s="99">
        <f t="shared" si="174"/>
        <v>0</v>
      </c>
      <c r="C1401" s="75">
        <f t="shared" si="170"/>
        <v>104.50616427295054</v>
      </c>
      <c r="D1401" s="100">
        <f t="shared" si="175"/>
        <v>445.77777777777789</v>
      </c>
      <c r="E1401">
        <f t="shared" si="171"/>
        <v>0</v>
      </c>
      <c r="G1401">
        <v>1351</v>
      </c>
      <c r="H1401" s="15">
        <f t="shared" si="176"/>
        <v>3.3332641781299799E-2</v>
      </c>
      <c r="I1401">
        <f t="shared" si="177"/>
        <v>149.53856331947657</v>
      </c>
      <c r="J1401">
        <f t="shared" si="172"/>
        <v>490.9303064632025</v>
      </c>
      <c r="K1401" s="30">
        <f t="shared" si="173"/>
        <v>8033.8578321863251</v>
      </c>
    </row>
    <row r="1402" spans="1:11" x14ac:dyDescent="0.25">
      <c r="A1402" s="29">
        <v>1352</v>
      </c>
      <c r="B1402" s="99">
        <f t="shared" si="174"/>
        <v>0</v>
      </c>
      <c r="C1402" s="75">
        <f t="shared" si="170"/>
        <v>104.50616427295054</v>
      </c>
      <c r="D1402" s="100">
        <f t="shared" si="175"/>
        <v>445.77777777777789</v>
      </c>
      <c r="E1402">
        <f t="shared" si="171"/>
        <v>0</v>
      </c>
      <c r="G1402">
        <v>1352</v>
      </c>
      <c r="H1402" s="15">
        <f t="shared" si="176"/>
        <v>3.3332641781299799E-2</v>
      </c>
      <c r="I1402">
        <f t="shared" si="177"/>
        <v>149.57189596125787</v>
      </c>
      <c r="J1402">
        <f t="shared" si="172"/>
        <v>490.94694715641913</v>
      </c>
      <c r="K1402" s="30">
        <f t="shared" si="173"/>
        <v>8034.4022143447801</v>
      </c>
    </row>
    <row r="1403" spans="1:11" x14ac:dyDescent="0.25">
      <c r="A1403" s="29">
        <v>1353</v>
      </c>
      <c r="B1403" s="99">
        <f t="shared" si="174"/>
        <v>0</v>
      </c>
      <c r="C1403" s="75">
        <f t="shared" si="170"/>
        <v>104.50616427295054</v>
      </c>
      <c r="D1403" s="100">
        <f t="shared" si="175"/>
        <v>445.77777777777789</v>
      </c>
      <c r="E1403">
        <f t="shared" si="171"/>
        <v>0</v>
      </c>
      <c r="G1403">
        <v>1353</v>
      </c>
      <c r="H1403" s="15">
        <f t="shared" si="176"/>
        <v>3.3332641781299799E-2</v>
      </c>
      <c r="I1403">
        <f t="shared" si="177"/>
        <v>149.60522860303917</v>
      </c>
      <c r="J1403">
        <f t="shared" si="172"/>
        <v>490.96357238704309</v>
      </c>
      <c r="K1403" s="30">
        <f t="shared" si="173"/>
        <v>8034.946108984409</v>
      </c>
    </row>
    <row r="1404" spans="1:11" x14ac:dyDescent="0.25">
      <c r="A1404" s="29">
        <v>1354</v>
      </c>
      <c r="B1404" s="99">
        <f t="shared" si="174"/>
        <v>0</v>
      </c>
      <c r="C1404" s="75">
        <f t="shared" si="170"/>
        <v>104.50616427295054</v>
      </c>
      <c r="D1404" s="100">
        <f t="shared" si="175"/>
        <v>445.77777777777789</v>
      </c>
      <c r="E1404">
        <f t="shared" si="171"/>
        <v>0</v>
      </c>
      <c r="G1404">
        <v>1354</v>
      </c>
      <c r="H1404" s="15">
        <f t="shared" si="176"/>
        <v>3.3332641781299799E-2</v>
      </c>
      <c r="I1404">
        <f t="shared" si="177"/>
        <v>149.63856124482047</v>
      </c>
      <c r="J1404">
        <f t="shared" si="172"/>
        <v>490.98018216366427</v>
      </c>
      <c r="K1404" s="30">
        <f t="shared" si="173"/>
        <v>8035.4895163347674</v>
      </c>
    </row>
    <row r="1405" spans="1:11" x14ac:dyDescent="0.25">
      <c r="A1405" s="29">
        <v>1355</v>
      </c>
      <c r="B1405" s="99">
        <f t="shared" si="174"/>
        <v>0</v>
      </c>
      <c r="C1405" s="75">
        <f t="shared" si="170"/>
        <v>104.50616427295054</v>
      </c>
      <c r="D1405" s="100">
        <f t="shared" si="175"/>
        <v>445.77777777777789</v>
      </c>
      <c r="E1405">
        <f t="shared" si="171"/>
        <v>0</v>
      </c>
      <c r="G1405">
        <v>1355</v>
      </c>
      <c r="H1405" s="15">
        <f t="shared" si="176"/>
        <v>3.3332641781299799E-2</v>
      </c>
      <c r="I1405">
        <f t="shared" si="177"/>
        <v>149.67189388660177</v>
      </c>
      <c r="J1405">
        <f t="shared" si="172"/>
        <v>490.99677649485835</v>
      </c>
      <c r="K1405" s="30">
        <f t="shared" si="173"/>
        <v>8036.0324366250279</v>
      </c>
    </row>
    <row r="1406" spans="1:11" x14ac:dyDescent="0.25">
      <c r="A1406" s="29">
        <v>1356</v>
      </c>
      <c r="B1406" s="99">
        <f t="shared" si="174"/>
        <v>0</v>
      </c>
      <c r="C1406" s="75">
        <f t="shared" si="170"/>
        <v>104.50616427295054</v>
      </c>
      <c r="D1406" s="100">
        <f t="shared" si="175"/>
        <v>445.77777777777789</v>
      </c>
      <c r="E1406">
        <f t="shared" si="171"/>
        <v>0</v>
      </c>
      <c r="G1406">
        <v>1356</v>
      </c>
      <c r="H1406" s="15">
        <f t="shared" si="176"/>
        <v>3.3332641781299799E-2</v>
      </c>
      <c r="I1406">
        <f t="shared" si="177"/>
        <v>149.70522652838306</v>
      </c>
      <c r="J1406">
        <f t="shared" si="172"/>
        <v>491.01335538918659</v>
      </c>
      <c r="K1406" s="30">
        <f t="shared" si="173"/>
        <v>8036.5748700839804</v>
      </c>
    </row>
    <row r="1407" spans="1:11" x14ac:dyDescent="0.25">
      <c r="A1407" s="29">
        <v>1357</v>
      </c>
      <c r="B1407" s="99">
        <f t="shared" si="174"/>
        <v>0</v>
      </c>
      <c r="C1407" s="75">
        <f t="shared" si="170"/>
        <v>104.50616427295054</v>
      </c>
      <c r="D1407" s="100">
        <f t="shared" si="175"/>
        <v>445.77777777777789</v>
      </c>
      <c r="E1407">
        <f t="shared" si="171"/>
        <v>0</v>
      </c>
      <c r="G1407">
        <v>1357</v>
      </c>
      <c r="H1407" s="15">
        <f t="shared" si="176"/>
        <v>3.3332641781299799E-2</v>
      </c>
      <c r="I1407">
        <f t="shared" si="177"/>
        <v>149.73855917016436</v>
      </c>
      <c r="J1407">
        <f t="shared" si="172"/>
        <v>491.029918855196</v>
      </c>
      <c r="K1407" s="30">
        <f t="shared" si="173"/>
        <v>8037.1168169400371</v>
      </c>
    </row>
    <row r="1408" spans="1:11" x14ac:dyDescent="0.25">
      <c r="A1408" s="29">
        <v>1358</v>
      </c>
      <c r="B1408" s="99">
        <f t="shared" si="174"/>
        <v>0</v>
      </c>
      <c r="C1408" s="75">
        <f t="shared" si="170"/>
        <v>104.50616427295054</v>
      </c>
      <c r="D1408" s="100">
        <f t="shared" si="175"/>
        <v>445.77777777777789</v>
      </c>
      <c r="E1408">
        <f t="shared" si="171"/>
        <v>0</v>
      </c>
      <c r="G1408">
        <v>1358</v>
      </c>
      <c r="H1408" s="15">
        <f t="shared" si="176"/>
        <v>3.3332641781299799E-2</v>
      </c>
      <c r="I1408">
        <f t="shared" si="177"/>
        <v>149.77189181194566</v>
      </c>
      <c r="J1408">
        <f t="shared" si="172"/>
        <v>491.04646690141942</v>
      </c>
      <c r="K1408" s="30">
        <f t="shared" si="173"/>
        <v>8037.658277421222</v>
      </c>
    </row>
    <row r="1409" spans="1:11" x14ac:dyDescent="0.25">
      <c r="A1409" s="29">
        <v>1359</v>
      </c>
      <c r="B1409" s="99">
        <f t="shared" si="174"/>
        <v>0</v>
      </c>
      <c r="C1409" s="75">
        <f t="shared" si="170"/>
        <v>104.50616427295054</v>
      </c>
      <c r="D1409" s="100">
        <f t="shared" si="175"/>
        <v>445.77777777777789</v>
      </c>
      <c r="E1409">
        <f t="shared" si="171"/>
        <v>0</v>
      </c>
      <c r="G1409">
        <v>1359</v>
      </c>
      <c r="H1409" s="15">
        <f t="shared" si="176"/>
        <v>3.3332641781299799E-2</v>
      </c>
      <c r="I1409">
        <f t="shared" si="177"/>
        <v>149.80522445372696</v>
      </c>
      <c r="J1409">
        <f t="shared" si="172"/>
        <v>491.06299953637529</v>
      </c>
      <c r="K1409" s="30">
        <f t="shared" si="173"/>
        <v>8038.1992517551871</v>
      </c>
    </row>
    <row r="1410" spans="1:11" x14ac:dyDescent="0.25">
      <c r="A1410" s="29">
        <v>1360</v>
      </c>
      <c r="B1410" s="99">
        <f t="shared" si="174"/>
        <v>0</v>
      </c>
      <c r="C1410" s="75">
        <f t="shared" si="170"/>
        <v>104.50616427295054</v>
      </c>
      <c r="D1410" s="100">
        <f t="shared" si="175"/>
        <v>445.77777777777789</v>
      </c>
      <c r="E1410">
        <f t="shared" si="171"/>
        <v>0</v>
      </c>
      <c r="G1410">
        <v>1360</v>
      </c>
      <c r="H1410" s="15">
        <f t="shared" si="176"/>
        <v>3.3332641781299799E-2</v>
      </c>
      <c r="I1410">
        <f t="shared" si="177"/>
        <v>149.83855709550826</v>
      </c>
      <c r="J1410">
        <f t="shared" si="172"/>
        <v>491.07951676856806</v>
      </c>
      <c r="K1410" s="30">
        <f t="shared" si="173"/>
        <v>8038.7397401691987</v>
      </c>
    </row>
    <row r="1411" spans="1:11" x14ac:dyDescent="0.25">
      <c r="A1411" s="29">
        <v>1361</v>
      </c>
      <c r="B1411" s="99">
        <f t="shared" si="174"/>
        <v>0</v>
      </c>
      <c r="C1411" s="75">
        <f t="shared" si="170"/>
        <v>104.50616427295054</v>
      </c>
      <c r="D1411" s="100">
        <f t="shared" si="175"/>
        <v>445.77777777777789</v>
      </c>
      <c r="E1411">
        <f t="shared" si="171"/>
        <v>0</v>
      </c>
      <c r="G1411">
        <v>1361</v>
      </c>
      <c r="H1411" s="15">
        <f t="shared" si="176"/>
        <v>3.3332641781299799E-2</v>
      </c>
      <c r="I1411">
        <f t="shared" si="177"/>
        <v>149.87188973728956</v>
      </c>
      <c r="J1411">
        <f t="shared" si="172"/>
        <v>491.09601860648786</v>
      </c>
      <c r="K1411" s="30">
        <f t="shared" si="173"/>
        <v>8039.2797428901458</v>
      </c>
    </row>
    <row r="1412" spans="1:11" x14ac:dyDescent="0.25">
      <c r="A1412" s="29">
        <v>1362</v>
      </c>
      <c r="B1412" s="99">
        <f t="shared" si="174"/>
        <v>0</v>
      </c>
      <c r="C1412" s="75">
        <f t="shared" si="170"/>
        <v>104.50616427295054</v>
      </c>
      <c r="D1412" s="100">
        <f t="shared" si="175"/>
        <v>445.77777777777789</v>
      </c>
      <c r="E1412">
        <f t="shared" si="171"/>
        <v>0</v>
      </c>
      <c r="G1412">
        <v>1362</v>
      </c>
      <c r="H1412" s="15">
        <f t="shared" si="176"/>
        <v>3.3332641781299799E-2</v>
      </c>
      <c r="I1412">
        <f t="shared" si="177"/>
        <v>149.90522237907086</v>
      </c>
      <c r="J1412">
        <f t="shared" si="172"/>
        <v>491.11250505861074</v>
      </c>
      <c r="K1412" s="30">
        <f t="shared" si="173"/>
        <v>8039.8192601445444</v>
      </c>
    </row>
    <row r="1413" spans="1:11" x14ac:dyDescent="0.25">
      <c r="A1413" s="29">
        <v>1363</v>
      </c>
      <c r="B1413" s="99">
        <f t="shared" si="174"/>
        <v>0</v>
      </c>
      <c r="C1413" s="75">
        <f t="shared" si="170"/>
        <v>104.50616427295054</v>
      </c>
      <c r="D1413" s="100">
        <f t="shared" si="175"/>
        <v>445.77777777777789</v>
      </c>
      <c r="E1413">
        <f t="shared" si="171"/>
        <v>0</v>
      </c>
      <c r="G1413">
        <v>1363</v>
      </c>
      <c r="H1413" s="15">
        <f t="shared" si="176"/>
        <v>3.3332641781299799E-2</v>
      </c>
      <c r="I1413">
        <f t="shared" si="177"/>
        <v>149.93855502085216</v>
      </c>
      <c r="J1413">
        <f t="shared" si="172"/>
        <v>491.12897613339862</v>
      </c>
      <c r="K1413" s="30">
        <f t="shared" si="173"/>
        <v>8040.3582921585266</v>
      </c>
    </row>
    <row r="1414" spans="1:11" x14ac:dyDescent="0.25">
      <c r="A1414" s="29">
        <v>1364</v>
      </c>
      <c r="B1414" s="99">
        <f t="shared" si="174"/>
        <v>0</v>
      </c>
      <c r="C1414" s="75">
        <f t="shared" si="170"/>
        <v>104.50616427295054</v>
      </c>
      <c r="D1414" s="100">
        <f t="shared" si="175"/>
        <v>445.77777777777789</v>
      </c>
      <c r="E1414">
        <f t="shared" si="171"/>
        <v>0</v>
      </c>
      <c r="G1414">
        <v>1364</v>
      </c>
      <c r="H1414" s="15">
        <f t="shared" si="176"/>
        <v>3.3332641781299799E-2</v>
      </c>
      <c r="I1414">
        <f t="shared" si="177"/>
        <v>149.97188766263346</v>
      </c>
      <c r="J1414">
        <f t="shared" si="172"/>
        <v>491.14543183929925</v>
      </c>
      <c r="K1414" s="30">
        <f t="shared" si="173"/>
        <v>8040.8968391578519</v>
      </c>
    </row>
    <row r="1415" spans="1:11" x14ac:dyDescent="0.25">
      <c r="A1415" s="29">
        <v>1365</v>
      </c>
      <c r="B1415" s="99">
        <f t="shared" si="174"/>
        <v>0</v>
      </c>
      <c r="C1415" s="75">
        <f t="shared" si="170"/>
        <v>104.50616427295054</v>
      </c>
      <c r="D1415" s="100">
        <f t="shared" si="175"/>
        <v>445.77777777777789</v>
      </c>
      <c r="E1415">
        <f t="shared" si="171"/>
        <v>0</v>
      </c>
      <c r="G1415">
        <v>1365</v>
      </c>
      <c r="H1415" s="15">
        <f t="shared" si="176"/>
        <v>3.3332641781299799E-2</v>
      </c>
      <c r="I1415">
        <f t="shared" si="177"/>
        <v>150.00522030441476</v>
      </c>
      <c r="J1415">
        <f t="shared" si="172"/>
        <v>491.16187218474653</v>
      </c>
      <c r="K1415" s="30">
        <f t="shared" si="173"/>
        <v>8041.4349013679021</v>
      </c>
    </row>
    <row r="1416" spans="1:11" x14ac:dyDescent="0.25">
      <c r="A1416" s="29">
        <v>1366</v>
      </c>
      <c r="B1416" s="99">
        <f t="shared" si="174"/>
        <v>0</v>
      </c>
      <c r="C1416" s="75">
        <f t="shared" si="170"/>
        <v>104.50616427295054</v>
      </c>
      <c r="D1416" s="100">
        <f t="shared" si="175"/>
        <v>445.77777777777789</v>
      </c>
      <c r="E1416">
        <f t="shared" si="171"/>
        <v>0</v>
      </c>
      <c r="G1416">
        <v>1366</v>
      </c>
      <c r="H1416" s="15">
        <f t="shared" si="176"/>
        <v>3.3332641781299799E-2</v>
      </c>
      <c r="I1416">
        <f t="shared" si="177"/>
        <v>150.03855294619606</v>
      </c>
      <c r="J1416">
        <f t="shared" si="172"/>
        <v>491.17829717816005</v>
      </c>
      <c r="K1416" s="30">
        <f t="shared" si="173"/>
        <v>8041.9724790136861</v>
      </c>
    </row>
    <row r="1417" spans="1:11" x14ac:dyDescent="0.25">
      <c r="A1417" s="29">
        <v>1367</v>
      </c>
      <c r="B1417" s="99">
        <f t="shared" si="174"/>
        <v>0</v>
      </c>
      <c r="C1417" s="75">
        <f t="shared" si="170"/>
        <v>104.50616427295054</v>
      </c>
      <c r="D1417" s="100">
        <f t="shared" si="175"/>
        <v>445.77777777777789</v>
      </c>
      <c r="E1417">
        <f t="shared" si="171"/>
        <v>0</v>
      </c>
      <c r="G1417">
        <v>1367</v>
      </c>
      <c r="H1417" s="15">
        <f t="shared" si="176"/>
        <v>3.3332641781299799E-2</v>
      </c>
      <c r="I1417">
        <f t="shared" si="177"/>
        <v>150.07188558797736</v>
      </c>
      <c r="J1417">
        <f t="shared" si="172"/>
        <v>491.19470682794571</v>
      </c>
      <c r="K1417" s="30">
        <f t="shared" si="173"/>
        <v>8042.5095723198383</v>
      </c>
    </row>
    <row r="1418" spans="1:11" x14ac:dyDescent="0.25">
      <c r="A1418" s="29">
        <v>1368</v>
      </c>
      <c r="B1418" s="99">
        <f t="shared" si="174"/>
        <v>0</v>
      </c>
      <c r="C1418" s="75">
        <f t="shared" si="170"/>
        <v>104.50616427295054</v>
      </c>
      <c r="D1418" s="100">
        <f t="shared" si="175"/>
        <v>445.77777777777789</v>
      </c>
      <c r="E1418">
        <f t="shared" si="171"/>
        <v>0</v>
      </c>
      <c r="G1418">
        <v>1368</v>
      </c>
      <c r="H1418" s="15">
        <f t="shared" si="176"/>
        <v>3.3332641781299799E-2</v>
      </c>
      <c r="I1418">
        <f t="shared" si="177"/>
        <v>150.10521822975866</v>
      </c>
      <c r="J1418">
        <f t="shared" si="172"/>
        <v>491.21110114249512</v>
      </c>
      <c r="K1418" s="30">
        <f t="shared" si="173"/>
        <v>8043.0461815106173</v>
      </c>
    </row>
    <row r="1419" spans="1:11" x14ac:dyDescent="0.25">
      <c r="A1419" s="29">
        <v>1369</v>
      </c>
      <c r="B1419" s="99">
        <f t="shared" si="174"/>
        <v>0</v>
      </c>
      <c r="C1419" s="75">
        <f t="shared" si="170"/>
        <v>104.50616427295054</v>
      </c>
      <c r="D1419" s="100">
        <f t="shared" si="175"/>
        <v>445.77777777777789</v>
      </c>
      <c r="E1419">
        <f t="shared" si="171"/>
        <v>0</v>
      </c>
      <c r="G1419">
        <v>1369</v>
      </c>
      <c r="H1419" s="15">
        <f t="shared" si="176"/>
        <v>3.3332641781299799E-2</v>
      </c>
      <c r="I1419">
        <f t="shared" si="177"/>
        <v>150.13855087153996</v>
      </c>
      <c r="J1419">
        <f t="shared" si="172"/>
        <v>491.22748013018617</v>
      </c>
      <c r="K1419" s="30">
        <f t="shared" si="173"/>
        <v>8043.5823068099116</v>
      </c>
    </row>
    <row r="1420" spans="1:11" x14ac:dyDescent="0.25">
      <c r="A1420" s="29">
        <v>1370</v>
      </c>
      <c r="B1420" s="99">
        <f t="shared" si="174"/>
        <v>0</v>
      </c>
      <c r="C1420" s="75">
        <f t="shared" si="170"/>
        <v>104.50616427295054</v>
      </c>
      <c r="D1420" s="100">
        <f t="shared" si="175"/>
        <v>445.77777777777789</v>
      </c>
      <c r="E1420">
        <f t="shared" si="171"/>
        <v>0</v>
      </c>
      <c r="G1420">
        <v>1370</v>
      </c>
      <c r="H1420" s="15">
        <f t="shared" si="176"/>
        <v>3.3332641781299799E-2</v>
      </c>
      <c r="I1420">
        <f t="shared" si="177"/>
        <v>150.17188351332126</v>
      </c>
      <c r="J1420">
        <f t="shared" si="172"/>
        <v>491.24384379938266</v>
      </c>
      <c r="K1420" s="30">
        <f t="shared" si="173"/>
        <v>8044.1179484412351</v>
      </c>
    </row>
    <row r="1421" spans="1:11" x14ac:dyDescent="0.25">
      <c r="A1421" s="29">
        <v>1371</v>
      </c>
      <c r="B1421" s="99">
        <f t="shared" si="174"/>
        <v>0</v>
      </c>
      <c r="C1421" s="75">
        <f t="shared" si="170"/>
        <v>104.50616427295054</v>
      </c>
      <c r="D1421" s="100">
        <f t="shared" si="175"/>
        <v>445.77777777777789</v>
      </c>
      <c r="E1421">
        <f t="shared" si="171"/>
        <v>0</v>
      </c>
      <c r="G1421">
        <v>1371</v>
      </c>
      <c r="H1421" s="15">
        <f t="shared" si="176"/>
        <v>3.3332641781299799E-2</v>
      </c>
      <c r="I1421">
        <f t="shared" si="177"/>
        <v>150.20521615510256</v>
      </c>
      <c r="J1421">
        <f t="shared" si="172"/>
        <v>491.26019215843456</v>
      </c>
      <c r="K1421" s="30">
        <f t="shared" si="173"/>
        <v>8044.6531066277321</v>
      </c>
    </row>
    <row r="1422" spans="1:11" x14ac:dyDescent="0.25">
      <c r="A1422" s="29">
        <v>1372</v>
      </c>
      <c r="B1422" s="99">
        <f t="shared" si="174"/>
        <v>0</v>
      </c>
      <c r="C1422" s="75">
        <f t="shared" si="170"/>
        <v>104.50616427295054</v>
      </c>
      <c r="D1422" s="100">
        <f t="shared" si="175"/>
        <v>445.77777777777789</v>
      </c>
      <c r="E1422">
        <f t="shared" si="171"/>
        <v>0</v>
      </c>
      <c r="G1422">
        <v>1372</v>
      </c>
      <c r="H1422" s="15">
        <f t="shared" si="176"/>
        <v>3.3332641781299799E-2</v>
      </c>
      <c r="I1422">
        <f t="shared" si="177"/>
        <v>150.23854879688386</v>
      </c>
      <c r="J1422">
        <f t="shared" si="172"/>
        <v>491.27652521567808</v>
      </c>
      <c r="K1422" s="30">
        <f t="shared" si="173"/>
        <v>8045.1877815921789</v>
      </c>
    </row>
    <row r="1423" spans="1:11" x14ac:dyDescent="0.25">
      <c r="A1423" s="29">
        <v>1373</v>
      </c>
      <c r="B1423" s="99">
        <f t="shared" si="174"/>
        <v>0</v>
      </c>
      <c r="C1423" s="75">
        <f t="shared" si="170"/>
        <v>104.50616427295054</v>
      </c>
      <c r="D1423" s="100">
        <f t="shared" si="175"/>
        <v>445.77777777777789</v>
      </c>
      <c r="E1423">
        <f t="shared" si="171"/>
        <v>0</v>
      </c>
      <c r="G1423">
        <v>1373</v>
      </c>
      <c r="H1423" s="15">
        <f t="shared" si="176"/>
        <v>3.3332641781299799E-2</v>
      </c>
      <c r="I1423">
        <f t="shared" si="177"/>
        <v>150.27188143866516</v>
      </c>
      <c r="J1423">
        <f t="shared" si="172"/>
        <v>491.29284297943536</v>
      </c>
      <c r="K1423" s="30">
        <f t="shared" si="173"/>
        <v>8045.7219735569734</v>
      </c>
    </row>
    <row r="1424" spans="1:11" x14ac:dyDescent="0.25">
      <c r="A1424" s="29">
        <v>1374</v>
      </c>
      <c r="B1424" s="99">
        <f t="shared" si="174"/>
        <v>0</v>
      </c>
      <c r="C1424" s="75">
        <f t="shared" ref="C1424:C1487" si="178">($C$37-$C$36)/2000+C1423</f>
        <v>104.50616427295054</v>
      </c>
      <c r="D1424" s="100">
        <f t="shared" si="175"/>
        <v>445.77777777777789</v>
      </c>
      <c r="E1424">
        <f t="shared" si="171"/>
        <v>0</v>
      </c>
      <c r="G1424">
        <v>1374</v>
      </c>
      <c r="H1424" s="15">
        <f t="shared" si="176"/>
        <v>3.3332641781299799E-2</v>
      </c>
      <c r="I1424">
        <f t="shared" si="177"/>
        <v>150.30521408044646</v>
      </c>
      <c r="J1424">
        <f t="shared" si="172"/>
        <v>491.30914545801488</v>
      </c>
      <c r="K1424" s="30">
        <f t="shared" si="173"/>
        <v>8046.2556827441522</v>
      </c>
    </row>
    <row r="1425" spans="1:11" x14ac:dyDescent="0.25">
      <c r="A1425" s="29">
        <v>1375</v>
      </c>
      <c r="B1425" s="99">
        <f t="shared" si="174"/>
        <v>0</v>
      </c>
      <c r="C1425" s="75">
        <f t="shared" si="178"/>
        <v>104.50616427295054</v>
      </c>
      <c r="D1425" s="100">
        <f t="shared" si="175"/>
        <v>445.77777777777789</v>
      </c>
      <c r="E1425">
        <f t="shared" si="171"/>
        <v>0</v>
      </c>
      <c r="G1425">
        <v>1375</v>
      </c>
      <c r="H1425" s="15">
        <f t="shared" si="176"/>
        <v>3.3332641781299799E-2</v>
      </c>
      <c r="I1425">
        <f t="shared" si="177"/>
        <v>150.33854672222776</v>
      </c>
      <c r="J1425">
        <f t="shared" si="172"/>
        <v>491.32543265971134</v>
      </c>
      <c r="K1425" s="30">
        <f t="shared" si="173"/>
        <v>8046.7889093753829</v>
      </c>
    </row>
    <row r="1426" spans="1:11" x14ac:dyDescent="0.25">
      <c r="A1426" s="29">
        <v>1376</v>
      </c>
      <c r="B1426" s="99">
        <f t="shared" si="174"/>
        <v>0</v>
      </c>
      <c r="C1426" s="75">
        <f t="shared" si="178"/>
        <v>104.50616427295054</v>
      </c>
      <c r="D1426" s="100">
        <f t="shared" si="175"/>
        <v>445.77777777777789</v>
      </c>
      <c r="E1426">
        <f t="shared" si="171"/>
        <v>0</v>
      </c>
      <c r="G1426">
        <v>1376</v>
      </c>
      <c r="H1426" s="15">
        <f t="shared" si="176"/>
        <v>3.3332641781299799E-2</v>
      </c>
      <c r="I1426">
        <f t="shared" si="177"/>
        <v>150.37187936400906</v>
      </c>
      <c r="J1426">
        <f t="shared" si="172"/>
        <v>491.34170459280557</v>
      </c>
      <c r="K1426" s="30">
        <f t="shared" si="173"/>
        <v>8047.3216536719601</v>
      </c>
    </row>
    <row r="1427" spans="1:11" x14ac:dyDescent="0.25">
      <c r="A1427" s="29">
        <v>1377</v>
      </c>
      <c r="B1427" s="99">
        <f t="shared" si="174"/>
        <v>0</v>
      </c>
      <c r="C1427" s="75">
        <f t="shared" si="178"/>
        <v>104.50616427295054</v>
      </c>
      <c r="D1427" s="100">
        <f t="shared" si="175"/>
        <v>445.77777777777789</v>
      </c>
      <c r="E1427">
        <f t="shared" si="171"/>
        <v>0</v>
      </c>
      <c r="G1427">
        <v>1377</v>
      </c>
      <c r="H1427" s="15">
        <f t="shared" si="176"/>
        <v>3.3332641781299799E-2</v>
      </c>
      <c r="I1427">
        <f t="shared" si="177"/>
        <v>150.40521200579036</v>
      </c>
      <c r="J1427">
        <f t="shared" si="172"/>
        <v>491.35796126556471</v>
      </c>
      <c r="K1427" s="30">
        <f t="shared" si="173"/>
        <v>8047.8539158548156</v>
      </c>
    </row>
    <row r="1428" spans="1:11" x14ac:dyDescent="0.25">
      <c r="A1428" s="29">
        <v>1378</v>
      </c>
      <c r="B1428" s="99">
        <f t="shared" si="174"/>
        <v>0</v>
      </c>
      <c r="C1428" s="75">
        <f t="shared" si="178"/>
        <v>104.50616427295054</v>
      </c>
      <c r="D1428" s="100">
        <f t="shared" si="175"/>
        <v>445.77777777777789</v>
      </c>
      <c r="E1428">
        <f t="shared" si="171"/>
        <v>0</v>
      </c>
      <c r="G1428">
        <v>1378</v>
      </c>
      <c r="H1428" s="15">
        <f t="shared" si="176"/>
        <v>3.3332641781299799E-2</v>
      </c>
      <c r="I1428">
        <f t="shared" si="177"/>
        <v>150.43854464757166</v>
      </c>
      <c r="J1428">
        <f t="shared" si="172"/>
        <v>491.37420268624226</v>
      </c>
      <c r="K1428" s="30">
        <f t="shared" si="173"/>
        <v>8048.3856961445135</v>
      </c>
    </row>
    <row r="1429" spans="1:11" x14ac:dyDescent="0.25">
      <c r="A1429" s="29">
        <v>1379</v>
      </c>
      <c r="B1429" s="99">
        <f t="shared" si="174"/>
        <v>0</v>
      </c>
      <c r="C1429" s="75">
        <f t="shared" si="178"/>
        <v>104.50616427295054</v>
      </c>
      <c r="D1429" s="100">
        <f t="shared" si="175"/>
        <v>445.77777777777789</v>
      </c>
      <c r="E1429">
        <f t="shared" si="171"/>
        <v>0</v>
      </c>
      <c r="G1429">
        <v>1379</v>
      </c>
      <c r="H1429" s="15">
        <f t="shared" si="176"/>
        <v>3.3332641781299799E-2</v>
      </c>
      <c r="I1429">
        <f t="shared" si="177"/>
        <v>150.47187728935296</v>
      </c>
      <c r="J1429">
        <f t="shared" si="172"/>
        <v>491.39042886307789</v>
      </c>
      <c r="K1429" s="30">
        <f t="shared" si="173"/>
        <v>8048.9169947612536</v>
      </c>
    </row>
    <row r="1430" spans="1:11" x14ac:dyDescent="0.25">
      <c r="A1430" s="29">
        <v>1380</v>
      </c>
      <c r="B1430" s="99">
        <f t="shared" si="174"/>
        <v>0</v>
      </c>
      <c r="C1430" s="75">
        <f t="shared" si="178"/>
        <v>104.50616427295054</v>
      </c>
      <c r="D1430" s="100">
        <f t="shared" si="175"/>
        <v>445.77777777777789</v>
      </c>
      <c r="E1430">
        <f t="shared" si="171"/>
        <v>0</v>
      </c>
      <c r="G1430">
        <v>1380</v>
      </c>
      <c r="H1430" s="15">
        <f t="shared" si="176"/>
        <v>3.3332641781299799E-2</v>
      </c>
      <c r="I1430">
        <f t="shared" si="177"/>
        <v>150.50520993113426</v>
      </c>
      <c r="J1430">
        <f t="shared" si="172"/>
        <v>491.4066398042977</v>
      </c>
      <c r="K1430" s="30">
        <f t="shared" si="173"/>
        <v>8049.4478119248679</v>
      </c>
    </row>
    <row r="1431" spans="1:11" x14ac:dyDescent="0.25">
      <c r="A1431" s="29">
        <v>1381</v>
      </c>
      <c r="B1431" s="99">
        <f t="shared" si="174"/>
        <v>0</v>
      </c>
      <c r="C1431" s="75">
        <f t="shared" si="178"/>
        <v>104.50616427295054</v>
      </c>
      <c r="D1431" s="100">
        <f t="shared" si="175"/>
        <v>445.77777777777789</v>
      </c>
      <c r="E1431">
        <f t="shared" si="171"/>
        <v>0</v>
      </c>
      <c r="G1431">
        <v>1381</v>
      </c>
      <c r="H1431" s="15">
        <f t="shared" si="176"/>
        <v>3.3332641781299799E-2</v>
      </c>
      <c r="I1431">
        <f t="shared" si="177"/>
        <v>150.53854257291556</v>
      </c>
      <c r="J1431">
        <f t="shared" si="172"/>
        <v>491.4228355181142</v>
      </c>
      <c r="K1431" s="30">
        <f t="shared" si="173"/>
        <v>8049.9781478548257</v>
      </c>
    </row>
    <row r="1432" spans="1:11" x14ac:dyDescent="0.25">
      <c r="A1432" s="29">
        <v>1382</v>
      </c>
      <c r="B1432" s="99">
        <f t="shared" si="174"/>
        <v>0</v>
      </c>
      <c r="C1432" s="75">
        <f t="shared" si="178"/>
        <v>104.50616427295054</v>
      </c>
      <c r="D1432" s="100">
        <f t="shared" si="175"/>
        <v>445.77777777777789</v>
      </c>
      <c r="E1432">
        <f t="shared" si="171"/>
        <v>0</v>
      </c>
      <c r="G1432">
        <v>1382</v>
      </c>
      <c r="H1432" s="15">
        <f t="shared" si="176"/>
        <v>3.3332641781299799E-2</v>
      </c>
      <c r="I1432">
        <f t="shared" si="177"/>
        <v>150.57187521469686</v>
      </c>
      <c r="J1432">
        <f t="shared" si="172"/>
        <v>491.43901601272614</v>
      </c>
      <c r="K1432" s="30">
        <f t="shared" si="173"/>
        <v>8050.5080027702343</v>
      </c>
    </row>
    <row r="1433" spans="1:11" x14ac:dyDescent="0.25">
      <c r="A1433" s="29">
        <v>1383</v>
      </c>
      <c r="B1433" s="99">
        <f t="shared" si="174"/>
        <v>0</v>
      </c>
      <c r="C1433" s="75">
        <f t="shared" si="178"/>
        <v>104.50616427295054</v>
      </c>
      <c r="D1433" s="100">
        <f t="shared" si="175"/>
        <v>445.77777777777789</v>
      </c>
      <c r="E1433">
        <f t="shared" si="171"/>
        <v>0</v>
      </c>
      <c r="G1433">
        <v>1383</v>
      </c>
      <c r="H1433" s="15">
        <f t="shared" si="176"/>
        <v>3.3332641781299799E-2</v>
      </c>
      <c r="I1433">
        <f t="shared" si="177"/>
        <v>150.60520785647816</v>
      </c>
      <c r="J1433">
        <f t="shared" si="172"/>
        <v>491.45518129631893</v>
      </c>
      <c r="K1433" s="30">
        <f t="shared" si="173"/>
        <v>8051.0373768898344</v>
      </c>
    </row>
    <row r="1434" spans="1:11" x14ac:dyDescent="0.25">
      <c r="A1434" s="29">
        <v>1384</v>
      </c>
      <c r="B1434" s="99">
        <f t="shared" si="174"/>
        <v>0</v>
      </c>
      <c r="C1434" s="75">
        <f t="shared" si="178"/>
        <v>104.50616427295054</v>
      </c>
      <c r="D1434" s="100">
        <f t="shared" si="175"/>
        <v>445.77777777777789</v>
      </c>
      <c r="E1434">
        <f t="shared" si="171"/>
        <v>0</v>
      </c>
      <c r="G1434">
        <v>1384</v>
      </c>
      <c r="H1434" s="15">
        <f t="shared" si="176"/>
        <v>3.3332641781299799E-2</v>
      </c>
      <c r="I1434">
        <f t="shared" si="177"/>
        <v>150.63854049825946</v>
      </c>
      <c r="J1434">
        <f t="shared" si="172"/>
        <v>491.47133137706413</v>
      </c>
      <c r="K1434" s="30">
        <f t="shared" si="173"/>
        <v>8051.5662704320066</v>
      </c>
    </row>
    <row r="1435" spans="1:11" x14ac:dyDescent="0.25">
      <c r="A1435" s="29">
        <v>1385</v>
      </c>
      <c r="B1435" s="99">
        <f t="shared" si="174"/>
        <v>0</v>
      </c>
      <c r="C1435" s="75">
        <f t="shared" si="178"/>
        <v>104.50616427295054</v>
      </c>
      <c r="D1435" s="100">
        <f t="shared" si="175"/>
        <v>445.77777777777789</v>
      </c>
      <c r="E1435">
        <f t="shared" si="171"/>
        <v>0</v>
      </c>
      <c r="G1435">
        <v>1385</v>
      </c>
      <c r="H1435" s="15">
        <f t="shared" si="176"/>
        <v>3.3332641781299799E-2</v>
      </c>
      <c r="I1435">
        <f t="shared" si="177"/>
        <v>150.67187314004076</v>
      </c>
      <c r="J1435">
        <f t="shared" si="172"/>
        <v>491.48746626312004</v>
      </c>
      <c r="K1435" s="30">
        <f t="shared" si="173"/>
        <v>8052.0946836147732</v>
      </c>
    </row>
    <row r="1436" spans="1:11" x14ac:dyDescent="0.25">
      <c r="A1436" s="29">
        <v>1386</v>
      </c>
      <c r="B1436" s="99">
        <f t="shared" si="174"/>
        <v>0</v>
      </c>
      <c r="C1436" s="75">
        <f t="shared" si="178"/>
        <v>104.50616427295054</v>
      </c>
      <c r="D1436" s="100">
        <f t="shared" si="175"/>
        <v>445.77777777777789</v>
      </c>
      <c r="E1436">
        <f t="shared" si="171"/>
        <v>0</v>
      </c>
      <c r="G1436">
        <v>1386</v>
      </c>
      <c r="H1436" s="15">
        <f t="shared" si="176"/>
        <v>3.3332641781299799E-2</v>
      </c>
      <c r="I1436">
        <f t="shared" si="177"/>
        <v>150.70520578182206</v>
      </c>
      <c r="J1436">
        <f t="shared" si="172"/>
        <v>491.50358596263129</v>
      </c>
      <c r="K1436" s="30">
        <f t="shared" si="173"/>
        <v>8052.622616655789</v>
      </c>
    </row>
    <row r="1437" spans="1:11" x14ac:dyDescent="0.25">
      <c r="A1437" s="29">
        <v>1387</v>
      </c>
      <c r="B1437" s="99">
        <f t="shared" si="174"/>
        <v>0</v>
      </c>
      <c r="C1437" s="75">
        <f t="shared" si="178"/>
        <v>104.50616427295054</v>
      </c>
      <c r="D1437" s="100">
        <f t="shared" si="175"/>
        <v>445.77777777777789</v>
      </c>
      <c r="E1437">
        <f t="shared" si="171"/>
        <v>0</v>
      </c>
      <c r="G1437">
        <v>1387</v>
      </c>
      <c r="H1437" s="15">
        <f t="shared" si="176"/>
        <v>3.3332641781299799E-2</v>
      </c>
      <c r="I1437">
        <f t="shared" si="177"/>
        <v>150.73853842360336</v>
      </c>
      <c r="J1437">
        <f t="shared" si="172"/>
        <v>491.51969048372905</v>
      </c>
      <c r="K1437" s="30">
        <f t="shared" si="173"/>
        <v>8053.1500697723532</v>
      </c>
    </row>
    <row r="1438" spans="1:11" x14ac:dyDescent="0.25">
      <c r="A1438" s="29">
        <v>1388</v>
      </c>
      <c r="B1438" s="99">
        <f t="shared" si="174"/>
        <v>0</v>
      </c>
      <c r="C1438" s="75">
        <f t="shared" si="178"/>
        <v>104.50616427295054</v>
      </c>
      <c r="D1438" s="100">
        <f t="shared" si="175"/>
        <v>445.77777777777789</v>
      </c>
      <c r="E1438">
        <f t="shared" si="171"/>
        <v>0</v>
      </c>
      <c r="G1438">
        <v>1388</v>
      </c>
      <c r="H1438" s="15">
        <f t="shared" si="176"/>
        <v>3.3332641781299799E-2</v>
      </c>
      <c r="I1438">
        <f t="shared" si="177"/>
        <v>150.77187106538466</v>
      </c>
      <c r="J1438">
        <f t="shared" si="172"/>
        <v>491.53577983453113</v>
      </c>
      <c r="K1438" s="30">
        <f t="shared" si="173"/>
        <v>8053.6770431814066</v>
      </c>
    </row>
    <row r="1439" spans="1:11" x14ac:dyDescent="0.25">
      <c r="A1439" s="29">
        <v>1389</v>
      </c>
      <c r="B1439" s="99">
        <f t="shared" si="174"/>
        <v>0</v>
      </c>
      <c r="C1439" s="75">
        <f t="shared" si="178"/>
        <v>104.50616427295054</v>
      </c>
      <c r="D1439" s="100">
        <f t="shared" si="175"/>
        <v>445.77777777777789</v>
      </c>
      <c r="E1439">
        <f t="shared" si="171"/>
        <v>0</v>
      </c>
      <c r="G1439">
        <v>1389</v>
      </c>
      <c r="H1439" s="15">
        <f t="shared" si="176"/>
        <v>3.3332641781299799E-2</v>
      </c>
      <c r="I1439">
        <f t="shared" si="177"/>
        <v>150.80520370716596</v>
      </c>
      <c r="J1439">
        <f t="shared" si="172"/>
        <v>491.55185402314186</v>
      </c>
      <c r="K1439" s="30">
        <f t="shared" si="173"/>
        <v>8054.2035370995254</v>
      </c>
    </row>
    <row r="1440" spans="1:11" x14ac:dyDescent="0.25">
      <c r="A1440" s="29">
        <v>1390</v>
      </c>
      <c r="B1440" s="99">
        <f t="shared" si="174"/>
        <v>0</v>
      </c>
      <c r="C1440" s="75">
        <f t="shared" si="178"/>
        <v>104.50616427295054</v>
      </c>
      <c r="D1440" s="100">
        <f t="shared" si="175"/>
        <v>445.77777777777789</v>
      </c>
      <c r="E1440">
        <f t="shared" si="171"/>
        <v>0</v>
      </c>
      <c r="G1440">
        <v>1390</v>
      </c>
      <c r="H1440" s="15">
        <f t="shared" si="176"/>
        <v>3.3332641781299799E-2</v>
      </c>
      <c r="I1440">
        <f t="shared" si="177"/>
        <v>150.83853634894726</v>
      </c>
      <c r="J1440">
        <f t="shared" si="172"/>
        <v>491.56791305765211</v>
      </c>
      <c r="K1440" s="30">
        <f t="shared" si="173"/>
        <v>8054.7295517429329</v>
      </c>
    </row>
    <row r="1441" spans="1:11" x14ac:dyDescent="0.25">
      <c r="A1441" s="29">
        <v>1391</v>
      </c>
      <c r="B1441" s="99">
        <f t="shared" si="174"/>
        <v>0</v>
      </c>
      <c r="C1441" s="75">
        <f t="shared" si="178"/>
        <v>104.50616427295054</v>
      </c>
      <c r="D1441" s="100">
        <f t="shared" si="175"/>
        <v>445.77777777777789</v>
      </c>
      <c r="E1441">
        <f t="shared" si="171"/>
        <v>0</v>
      </c>
      <c r="G1441">
        <v>1391</v>
      </c>
      <c r="H1441" s="15">
        <f t="shared" si="176"/>
        <v>3.3332641781299799E-2</v>
      </c>
      <c r="I1441">
        <f t="shared" si="177"/>
        <v>150.87186899072856</v>
      </c>
      <c r="J1441">
        <f t="shared" si="172"/>
        <v>491.58395694613944</v>
      </c>
      <c r="K1441" s="30">
        <f t="shared" si="173"/>
        <v>8055.2550873274949</v>
      </c>
    </row>
    <row r="1442" spans="1:11" x14ac:dyDescent="0.25">
      <c r="A1442" s="29">
        <v>1392</v>
      </c>
      <c r="B1442" s="99">
        <f t="shared" si="174"/>
        <v>0</v>
      </c>
      <c r="C1442" s="75">
        <f t="shared" si="178"/>
        <v>104.50616427295054</v>
      </c>
      <c r="D1442" s="100">
        <f t="shared" si="175"/>
        <v>445.77777777777789</v>
      </c>
      <c r="E1442">
        <f t="shared" si="171"/>
        <v>0</v>
      </c>
      <c r="G1442">
        <v>1392</v>
      </c>
      <c r="H1442" s="15">
        <f t="shared" si="176"/>
        <v>3.3332641781299799E-2</v>
      </c>
      <c r="I1442">
        <f t="shared" si="177"/>
        <v>150.90520163250986</v>
      </c>
      <c r="J1442">
        <f t="shared" si="172"/>
        <v>491.599985696668</v>
      </c>
      <c r="K1442" s="30">
        <f t="shared" si="173"/>
        <v>8055.7801440687181</v>
      </c>
    </row>
    <row r="1443" spans="1:11" x14ac:dyDescent="0.25">
      <c r="A1443" s="29">
        <v>1393</v>
      </c>
      <c r="B1443" s="99">
        <f t="shared" si="174"/>
        <v>0</v>
      </c>
      <c r="C1443" s="75">
        <f t="shared" si="178"/>
        <v>104.50616427295054</v>
      </c>
      <c r="D1443" s="100">
        <f t="shared" si="175"/>
        <v>445.77777777777789</v>
      </c>
      <c r="E1443">
        <f t="shared" si="171"/>
        <v>0</v>
      </c>
      <c r="G1443">
        <v>1393</v>
      </c>
      <c r="H1443" s="15">
        <f t="shared" si="176"/>
        <v>3.3332641781299799E-2</v>
      </c>
      <c r="I1443">
        <f t="shared" si="177"/>
        <v>150.93853427429116</v>
      </c>
      <c r="J1443">
        <f t="shared" si="172"/>
        <v>491.61599931728881</v>
      </c>
      <c r="K1443" s="30">
        <f t="shared" si="173"/>
        <v>8056.3047221817542</v>
      </c>
    </row>
    <row r="1444" spans="1:11" x14ac:dyDescent="0.25">
      <c r="A1444" s="29">
        <v>1394</v>
      </c>
      <c r="B1444" s="99">
        <f t="shared" si="174"/>
        <v>0</v>
      </c>
      <c r="C1444" s="75">
        <f t="shared" si="178"/>
        <v>104.50616427295054</v>
      </c>
      <c r="D1444" s="100">
        <f t="shared" si="175"/>
        <v>445.77777777777789</v>
      </c>
      <c r="E1444">
        <f t="shared" si="171"/>
        <v>0</v>
      </c>
      <c r="G1444">
        <v>1394</v>
      </c>
      <c r="H1444" s="15">
        <f t="shared" si="176"/>
        <v>3.3332641781299799E-2</v>
      </c>
      <c r="I1444">
        <f t="shared" si="177"/>
        <v>150.97186691607246</v>
      </c>
      <c r="J1444">
        <f t="shared" si="172"/>
        <v>491.6319978160393</v>
      </c>
      <c r="K1444" s="30">
        <f t="shared" si="173"/>
        <v>8056.8288218813987</v>
      </c>
    </row>
    <row r="1445" spans="1:11" x14ac:dyDescent="0.25">
      <c r="A1445" s="29">
        <v>1395</v>
      </c>
      <c r="B1445" s="99">
        <f t="shared" si="174"/>
        <v>0</v>
      </c>
      <c r="C1445" s="75">
        <f t="shared" si="178"/>
        <v>104.50616427295054</v>
      </c>
      <c r="D1445" s="100">
        <f t="shared" si="175"/>
        <v>445.77777777777789</v>
      </c>
      <c r="E1445">
        <f t="shared" si="171"/>
        <v>0</v>
      </c>
      <c r="G1445">
        <v>1395</v>
      </c>
      <c r="H1445" s="15">
        <f t="shared" si="176"/>
        <v>3.3332641781299799E-2</v>
      </c>
      <c r="I1445">
        <f t="shared" si="177"/>
        <v>151.00519955785376</v>
      </c>
      <c r="J1445">
        <f t="shared" si="172"/>
        <v>491.64798120094383</v>
      </c>
      <c r="K1445" s="30">
        <f t="shared" si="173"/>
        <v>8057.3524433820958</v>
      </c>
    </row>
    <row r="1446" spans="1:11" x14ac:dyDescent="0.25">
      <c r="A1446" s="29">
        <v>1396</v>
      </c>
      <c r="B1446" s="99">
        <f t="shared" si="174"/>
        <v>0</v>
      </c>
      <c r="C1446" s="75">
        <f t="shared" si="178"/>
        <v>104.50616427295054</v>
      </c>
      <c r="D1446" s="100">
        <f t="shared" si="175"/>
        <v>445.77777777777789</v>
      </c>
      <c r="E1446">
        <f t="shared" si="171"/>
        <v>0</v>
      </c>
      <c r="G1446">
        <v>1396</v>
      </c>
      <c r="H1446" s="15">
        <f t="shared" si="176"/>
        <v>3.3332641781299799E-2</v>
      </c>
      <c r="I1446">
        <f t="shared" si="177"/>
        <v>151.03853219963506</v>
      </c>
      <c r="J1446">
        <f t="shared" si="172"/>
        <v>491.66394948001346</v>
      </c>
      <c r="K1446" s="30">
        <f t="shared" si="173"/>
        <v>8057.8755868979306</v>
      </c>
    </row>
    <row r="1447" spans="1:11" x14ac:dyDescent="0.25">
      <c r="A1447" s="29">
        <v>1397</v>
      </c>
      <c r="B1447" s="99">
        <f t="shared" si="174"/>
        <v>0</v>
      </c>
      <c r="C1447" s="75">
        <f t="shared" si="178"/>
        <v>104.50616427295054</v>
      </c>
      <c r="D1447" s="100">
        <f t="shared" si="175"/>
        <v>445.77777777777789</v>
      </c>
      <c r="E1447">
        <f t="shared" si="171"/>
        <v>0</v>
      </c>
      <c r="G1447">
        <v>1397</v>
      </c>
      <c r="H1447" s="15">
        <f t="shared" si="176"/>
        <v>3.3332641781299799E-2</v>
      </c>
      <c r="I1447">
        <f t="shared" si="177"/>
        <v>151.07186484141636</v>
      </c>
      <c r="J1447">
        <f t="shared" si="172"/>
        <v>491.67990266124593</v>
      </c>
      <c r="K1447" s="30">
        <f t="shared" si="173"/>
        <v>8058.3982526426371</v>
      </c>
    </row>
    <row r="1448" spans="1:11" x14ac:dyDescent="0.25">
      <c r="A1448" s="29">
        <v>1398</v>
      </c>
      <c r="B1448" s="99">
        <f t="shared" si="174"/>
        <v>0</v>
      </c>
      <c r="C1448" s="75">
        <f t="shared" si="178"/>
        <v>104.50616427295054</v>
      </c>
      <c r="D1448" s="100">
        <f t="shared" si="175"/>
        <v>445.77777777777789</v>
      </c>
      <c r="E1448">
        <f t="shared" si="171"/>
        <v>0</v>
      </c>
      <c r="G1448">
        <v>1398</v>
      </c>
      <c r="H1448" s="15">
        <f t="shared" si="176"/>
        <v>3.3332641781299799E-2</v>
      </c>
      <c r="I1448">
        <f t="shared" si="177"/>
        <v>151.10519748319766</v>
      </c>
      <c r="J1448">
        <f t="shared" si="172"/>
        <v>491.695840752626</v>
      </c>
      <c r="K1448" s="30">
        <f t="shared" si="173"/>
        <v>8058.9204408296</v>
      </c>
    </row>
    <row r="1449" spans="1:11" x14ac:dyDescent="0.25">
      <c r="A1449" s="29">
        <v>1399</v>
      </c>
      <c r="B1449" s="99">
        <f t="shared" si="174"/>
        <v>0</v>
      </c>
      <c r="C1449" s="75">
        <f t="shared" si="178"/>
        <v>104.50616427295054</v>
      </c>
      <c r="D1449" s="100">
        <f t="shared" si="175"/>
        <v>445.77777777777789</v>
      </c>
      <c r="E1449">
        <f t="shared" si="171"/>
        <v>0</v>
      </c>
      <c r="G1449">
        <v>1399</v>
      </c>
      <c r="H1449" s="15">
        <f t="shared" si="176"/>
        <v>3.3332641781299799E-2</v>
      </c>
      <c r="I1449">
        <f t="shared" si="177"/>
        <v>151.13853012497896</v>
      </c>
      <c r="J1449">
        <f t="shared" si="172"/>
        <v>491.71176376212509</v>
      </c>
      <c r="K1449" s="30">
        <f t="shared" si="173"/>
        <v>8059.4421516718467</v>
      </c>
    </row>
    <row r="1450" spans="1:11" x14ac:dyDescent="0.25">
      <c r="A1450" s="29">
        <v>1400</v>
      </c>
      <c r="B1450" s="99">
        <f t="shared" si="174"/>
        <v>0</v>
      </c>
      <c r="C1450" s="75">
        <f t="shared" si="178"/>
        <v>104.50616427295054</v>
      </c>
      <c r="D1450" s="100">
        <f t="shared" si="175"/>
        <v>445.77777777777789</v>
      </c>
      <c r="E1450">
        <f t="shared" si="171"/>
        <v>0</v>
      </c>
      <c r="G1450">
        <v>1400</v>
      </c>
      <c r="H1450" s="15">
        <f t="shared" si="176"/>
        <v>3.3332641781299799E-2</v>
      </c>
      <c r="I1450">
        <f t="shared" si="177"/>
        <v>151.17186276676026</v>
      </c>
      <c r="J1450">
        <f t="shared" si="172"/>
        <v>491.7276716977014</v>
      </c>
      <c r="K1450" s="30">
        <f t="shared" si="173"/>
        <v>8059.9633853820533</v>
      </c>
    </row>
    <row r="1451" spans="1:11" x14ac:dyDescent="0.25">
      <c r="A1451" s="29">
        <v>1401</v>
      </c>
      <c r="B1451" s="99">
        <f t="shared" si="174"/>
        <v>0</v>
      </c>
      <c r="C1451" s="75">
        <f t="shared" si="178"/>
        <v>104.50616427295054</v>
      </c>
      <c r="D1451" s="100">
        <f t="shared" si="175"/>
        <v>445.77777777777789</v>
      </c>
      <c r="E1451">
        <f t="shared" si="171"/>
        <v>0</v>
      </c>
      <c r="G1451">
        <v>1401</v>
      </c>
      <c r="H1451" s="15">
        <f t="shared" si="176"/>
        <v>3.3332641781299799E-2</v>
      </c>
      <c r="I1451">
        <f t="shared" si="177"/>
        <v>151.20519540854156</v>
      </c>
      <c r="J1451">
        <f t="shared" si="172"/>
        <v>491.74356456730021</v>
      </c>
      <c r="K1451" s="30">
        <f t="shared" si="173"/>
        <v>8060.4841421725514</v>
      </c>
    </row>
    <row r="1452" spans="1:11" x14ac:dyDescent="0.25">
      <c r="A1452" s="29">
        <v>1402</v>
      </c>
      <c r="B1452" s="99">
        <f t="shared" si="174"/>
        <v>0</v>
      </c>
      <c r="C1452" s="75">
        <f t="shared" si="178"/>
        <v>104.50616427295054</v>
      </c>
      <c r="D1452" s="100">
        <f t="shared" si="175"/>
        <v>445.77777777777789</v>
      </c>
      <c r="E1452">
        <f t="shared" si="171"/>
        <v>0</v>
      </c>
      <c r="G1452">
        <v>1402</v>
      </c>
      <c r="H1452" s="15">
        <f t="shared" si="176"/>
        <v>3.3332641781299799E-2</v>
      </c>
      <c r="I1452">
        <f t="shared" si="177"/>
        <v>151.23852805032286</v>
      </c>
      <c r="J1452">
        <f t="shared" si="172"/>
        <v>491.75944237885358</v>
      </c>
      <c r="K1452" s="30">
        <f t="shared" si="173"/>
        <v>8061.0044222553179</v>
      </c>
    </row>
    <row r="1453" spans="1:11" x14ac:dyDescent="0.25">
      <c r="A1453" s="29">
        <v>1403</v>
      </c>
      <c r="B1453" s="99">
        <f t="shared" si="174"/>
        <v>0</v>
      </c>
      <c r="C1453" s="75">
        <f t="shared" si="178"/>
        <v>104.50616427295054</v>
      </c>
      <c r="D1453" s="100">
        <f t="shared" si="175"/>
        <v>445.77777777777789</v>
      </c>
      <c r="E1453">
        <f t="shared" si="171"/>
        <v>0</v>
      </c>
      <c r="G1453">
        <v>1403</v>
      </c>
      <c r="H1453" s="15">
        <f t="shared" si="176"/>
        <v>3.3332641781299799E-2</v>
      </c>
      <c r="I1453">
        <f t="shared" si="177"/>
        <v>151.27186069210416</v>
      </c>
      <c r="J1453">
        <f t="shared" si="172"/>
        <v>491.77530514028047</v>
      </c>
      <c r="K1453" s="30">
        <f t="shared" si="173"/>
        <v>8061.5242258419776</v>
      </c>
    </row>
    <row r="1454" spans="1:11" x14ac:dyDescent="0.25">
      <c r="A1454" s="29">
        <v>1404</v>
      </c>
      <c r="B1454" s="99">
        <f t="shared" si="174"/>
        <v>0</v>
      </c>
      <c r="C1454" s="75">
        <f t="shared" si="178"/>
        <v>104.50616427295054</v>
      </c>
      <c r="D1454" s="100">
        <f t="shared" si="175"/>
        <v>445.77777777777789</v>
      </c>
      <c r="E1454">
        <f t="shared" si="171"/>
        <v>0</v>
      </c>
      <c r="G1454">
        <v>1404</v>
      </c>
      <c r="H1454" s="15">
        <f t="shared" si="176"/>
        <v>3.3332641781299799E-2</v>
      </c>
      <c r="I1454">
        <f t="shared" si="177"/>
        <v>151.30519333388546</v>
      </c>
      <c r="J1454">
        <f t="shared" si="172"/>
        <v>491.79115285948694</v>
      </c>
      <c r="K1454" s="30">
        <f t="shared" si="173"/>
        <v>8062.0435531438125</v>
      </c>
    </row>
    <row r="1455" spans="1:11" x14ac:dyDescent="0.25">
      <c r="A1455" s="29">
        <v>1405</v>
      </c>
      <c r="B1455" s="99">
        <f t="shared" si="174"/>
        <v>0</v>
      </c>
      <c r="C1455" s="75">
        <f t="shared" si="178"/>
        <v>104.50616427295054</v>
      </c>
      <c r="D1455" s="100">
        <f t="shared" si="175"/>
        <v>445.77777777777789</v>
      </c>
      <c r="E1455">
        <f t="shared" si="171"/>
        <v>0</v>
      </c>
      <c r="G1455">
        <v>1405</v>
      </c>
      <c r="H1455" s="15">
        <f t="shared" si="176"/>
        <v>3.3332641781299799E-2</v>
      </c>
      <c r="I1455">
        <f t="shared" si="177"/>
        <v>151.33852597566676</v>
      </c>
      <c r="J1455">
        <f t="shared" si="172"/>
        <v>491.80698554436583</v>
      </c>
      <c r="K1455" s="30">
        <f t="shared" si="173"/>
        <v>8062.5624043717517</v>
      </c>
    </row>
    <row r="1456" spans="1:11" x14ac:dyDescent="0.25">
      <c r="A1456" s="29">
        <v>1406</v>
      </c>
      <c r="B1456" s="99">
        <f t="shared" si="174"/>
        <v>0</v>
      </c>
      <c r="C1456" s="75">
        <f t="shared" si="178"/>
        <v>104.50616427295054</v>
      </c>
      <c r="D1456" s="100">
        <f t="shared" si="175"/>
        <v>445.77777777777789</v>
      </c>
      <c r="E1456">
        <f t="shared" si="171"/>
        <v>0</v>
      </c>
      <c r="G1456">
        <v>1406</v>
      </c>
      <c r="H1456" s="15">
        <f t="shared" si="176"/>
        <v>3.3332641781299799E-2</v>
      </c>
      <c r="I1456">
        <f t="shared" si="177"/>
        <v>151.37185861744805</v>
      </c>
      <c r="J1456">
        <f t="shared" si="172"/>
        <v>491.8228032027971</v>
      </c>
      <c r="K1456" s="30">
        <f t="shared" si="173"/>
        <v>8063.0807797363823</v>
      </c>
    </row>
    <row r="1457" spans="1:11" x14ac:dyDescent="0.25">
      <c r="A1457" s="29">
        <v>1407</v>
      </c>
      <c r="B1457" s="99">
        <f t="shared" si="174"/>
        <v>0</v>
      </c>
      <c r="C1457" s="75">
        <f t="shared" si="178"/>
        <v>104.50616427295054</v>
      </c>
      <c r="D1457" s="100">
        <f t="shared" si="175"/>
        <v>445.77777777777789</v>
      </c>
      <c r="E1457">
        <f t="shared" si="171"/>
        <v>0</v>
      </c>
      <c r="G1457">
        <v>1407</v>
      </c>
      <c r="H1457" s="15">
        <f t="shared" si="176"/>
        <v>3.3332641781299799E-2</v>
      </c>
      <c r="I1457">
        <f t="shared" si="177"/>
        <v>151.40519125922935</v>
      </c>
      <c r="J1457">
        <f t="shared" si="172"/>
        <v>491.83860584264767</v>
      </c>
      <c r="K1457" s="30">
        <f t="shared" si="173"/>
        <v>8063.5986794479395</v>
      </c>
    </row>
    <row r="1458" spans="1:11" x14ac:dyDescent="0.25">
      <c r="A1458" s="29">
        <v>1408</v>
      </c>
      <c r="B1458" s="99">
        <f t="shared" si="174"/>
        <v>0</v>
      </c>
      <c r="C1458" s="75">
        <f t="shared" si="178"/>
        <v>104.50616427295054</v>
      </c>
      <c r="D1458" s="100">
        <f t="shared" si="175"/>
        <v>445.77777777777789</v>
      </c>
      <c r="E1458">
        <f t="shared" si="171"/>
        <v>0</v>
      </c>
      <c r="G1458">
        <v>1408</v>
      </c>
      <c r="H1458" s="15">
        <f t="shared" si="176"/>
        <v>3.3332641781299799E-2</v>
      </c>
      <c r="I1458">
        <f t="shared" si="177"/>
        <v>151.43852390101065</v>
      </c>
      <c r="J1458">
        <f t="shared" si="172"/>
        <v>491.85439347177157</v>
      </c>
      <c r="K1458" s="30">
        <f t="shared" si="173"/>
        <v>8064.1161037163174</v>
      </c>
    </row>
    <row r="1459" spans="1:11" x14ac:dyDescent="0.25">
      <c r="A1459" s="29">
        <v>1409</v>
      </c>
      <c r="B1459" s="99">
        <f t="shared" si="174"/>
        <v>0</v>
      </c>
      <c r="C1459" s="75">
        <f t="shared" si="178"/>
        <v>104.50616427295054</v>
      </c>
      <c r="D1459" s="100">
        <f t="shared" si="175"/>
        <v>445.77777777777789</v>
      </c>
      <c r="E1459">
        <f t="shared" ref="E1459:E1522" si="179">((D1459^2)+(D1459*D1460)+(D1460^2))*B1460/3</f>
        <v>0</v>
      </c>
      <c r="G1459">
        <v>1409</v>
      </c>
      <c r="H1459" s="15">
        <f t="shared" si="176"/>
        <v>3.3332641781299799E-2</v>
      </c>
      <c r="I1459">
        <f t="shared" si="177"/>
        <v>151.47185654279195</v>
      </c>
      <c r="J1459">
        <f t="shared" ref="J1459:J1522" si="180">IF($G$28&lt;$C$14,0,((($C$11^2)-((I1459-$C$13)^2))^0.5)+$C$16)</f>
        <v>491.87016609800992</v>
      </c>
      <c r="K1459" s="30">
        <f t="shared" ref="K1459:K1522" si="181">((J1459^2)+(J1459*J1460)+(J1460^2))*H1460/3</f>
        <v>8064.6330527510572</v>
      </c>
    </row>
    <row r="1460" spans="1:11" x14ac:dyDescent="0.25">
      <c r="A1460" s="29">
        <v>1410</v>
      </c>
      <c r="B1460" s="99">
        <f t="shared" ref="B1460:B1523" si="182">C1460-C1459</f>
        <v>0</v>
      </c>
      <c r="C1460" s="75">
        <f t="shared" si="178"/>
        <v>104.50616427295054</v>
      </c>
      <c r="D1460" s="100">
        <f t="shared" ref="D1460:D1523" si="183">IF($G$28&lt;$C$14,0,((($C$11^2)-((C1460-$C$13)^2))^0.5)+$C$16)</f>
        <v>445.77777777777789</v>
      </c>
      <c r="E1460">
        <f t="shared" si="179"/>
        <v>0</v>
      </c>
      <c r="G1460">
        <v>1410</v>
      </c>
      <c r="H1460" s="15">
        <f t="shared" ref="H1460:H1523" si="184">I1460-I1459</f>
        <v>3.3332641781299799E-2</v>
      </c>
      <c r="I1460">
        <f t="shared" ref="I1460:I1523" si="185">($G$27-$C$14)/2000+I1459</f>
        <v>151.50518918457325</v>
      </c>
      <c r="J1460">
        <f t="shared" si="180"/>
        <v>491.88592372919084</v>
      </c>
      <c r="K1460" s="30">
        <f t="shared" si="181"/>
        <v>8065.1495267613618</v>
      </c>
    </row>
    <row r="1461" spans="1:11" x14ac:dyDescent="0.25">
      <c r="A1461" s="29">
        <v>1411</v>
      </c>
      <c r="B1461" s="99">
        <f t="shared" si="182"/>
        <v>0</v>
      </c>
      <c r="C1461" s="75">
        <f t="shared" si="178"/>
        <v>104.50616427295054</v>
      </c>
      <c r="D1461" s="100">
        <f t="shared" si="183"/>
        <v>445.77777777777789</v>
      </c>
      <c r="E1461">
        <f t="shared" si="179"/>
        <v>0</v>
      </c>
      <c r="G1461">
        <v>1411</v>
      </c>
      <c r="H1461" s="15">
        <f t="shared" si="184"/>
        <v>3.3332641781299799E-2</v>
      </c>
      <c r="I1461">
        <f t="shared" si="185"/>
        <v>151.53852182635455</v>
      </c>
      <c r="J1461">
        <f t="shared" si="180"/>
        <v>491.90166637312961</v>
      </c>
      <c r="K1461" s="30">
        <f t="shared" si="181"/>
        <v>8065.6655259560875</v>
      </c>
    </row>
    <row r="1462" spans="1:11" x14ac:dyDescent="0.25">
      <c r="A1462" s="29">
        <v>1412</v>
      </c>
      <c r="B1462" s="99">
        <f t="shared" si="182"/>
        <v>0</v>
      </c>
      <c r="C1462" s="75">
        <f t="shared" si="178"/>
        <v>104.50616427295054</v>
      </c>
      <c r="D1462" s="100">
        <f t="shared" si="183"/>
        <v>445.77777777777789</v>
      </c>
      <c r="E1462">
        <f t="shared" si="179"/>
        <v>0</v>
      </c>
      <c r="G1462">
        <v>1412</v>
      </c>
      <c r="H1462" s="15">
        <f t="shared" si="184"/>
        <v>3.3332641781299799E-2</v>
      </c>
      <c r="I1462">
        <f t="shared" si="185"/>
        <v>151.57185446813585</v>
      </c>
      <c r="J1462">
        <f t="shared" si="180"/>
        <v>491.9173940376287</v>
      </c>
      <c r="K1462" s="30">
        <f t="shared" si="181"/>
        <v>8066.1810505437488</v>
      </c>
    </row>
    <row r="1463" spans="1:11" x14ac:dyDescent="0.25">
      <c r="A1463" s="29">
        <v>1413</v>
      </c>
      <c r="B1463" s="99">
        <f t="shared" si="182"/>
        <v>0</v>
      </c>
      <c r="C1463" s="75">
        <f t="shared" si="178"/>
        <v>104.50616427295054</v>
      </c>
      <c r="D1463" s="100">
        <f t="shared" si="183"/>
        <v>445.77777777777789</v>
      </c>
      <c r="E1463">
        <f t="shared" si="179"/>
        <v>0</v>
      </c>
      <c r="G1463">
        <v>1413</v>
      </c>
      <c r="H1463" s="15">
        <f t="shared" si="184"/>
        <v>3.3332641781299799E-2</v>
      </c>
      <c r="I1463">
        <f t="shared" si="185"/>
        <v>151.60518710991715</v>
      </c>
      <c r="J1463">
        <f t="shared" si="180"/>
        <v>491.93310673047762</v>
      </c>
      <c r="K1463" s="30">
        <f t="shared" si="181"/>
        <v>8066.6961007325144</v>
      </c>
    </row>
    <row r="1464" spans="1:11" x14ac:dyDescent="0.25">
      <c r="A1464" s="29">
        <v>1414</v>
      </c>
      <c r="B1464" s="99">
        <f t="shared" si="182"/>
        <v>0</v>
      </c>
      <c r="C1464" s="75">
        <f t="shared" si="178"/>
        <v>104.50616427295054</v>
      </c>
      <c r="D1464" s="100">
        <f t="shared" si="183"/>
        <v>445.77777777777789</v>
      </c>
      <c r="E1464">
        <f t="shared" si="179"/>
        <v>0</v>
      </c>
      <c r="G1464">
        <v>1414</v>
      </c>
      <c r="H1464" s="15">
        <f t="shared" si="184"/>
        <v>3.3332641781299799E-2</v>
      </c>
      <c r="I1464">
        <f t="shared" si="185"/>
        <v>151.63851975169845</v>
      </c>
      <c r="J1464">
        <f t="shared" si="180"/>
        <v>491.9488044594533</v>
      </c>
      <c r="K1464" s="30">
        <f t="shared" si="181"/>
        <v>8067.210676730213</v>
      </c>
    </row>
    <row r="1465" spans="1:11" x14ac:dyDescent="0.25">
      <c r="A1465" s="29">
        <v>1415</v>
      </c>
      <c r="B1465" s="99">
        <f t="shared" si="182"/>
        <v>0</v>
      </c>
      <c r="C1465" s="75">
        <f t="shared" si="178"/>
        <v>104.50616427295054</v>
      </c>
      <c r="D1465" s="100">
        <f t="shared" si="183"/>
        <v>445.77777777777789</v>
      </c>
      <c r="E1465">
        <f t="shared" si="179"/>
        <v>0</v>
      </c>
      <c r="G1465">
        <v>1415</v>
      </c>
      <c r="H1465" s="15">
        <f t="shared" si="184"/>
        <v>3.3332641781299799E-2</v>
      </c>
      <c r="I1465">
        <f t="shared" si="185"/>
        <v>151.67185239347975</v>
      </c>
      <c r="J1465">
        <f t="shared" si="180"/>
        <v>491.96448723231964</v>
      </c>
      <c r="K1465" s="30">
        <f t="shared" si="181"/>
        <v>8067.7247787443293</v>
      </c>
    </row>
    <row r="1466" spans="1:11" x14ac:dyDescent="0.25">
      <c r="A1466" s="29">
        <v>1416</v>
      </c>
      <c r="B1466" s="99">
        <f t="shared" si="182"/>
        <v>0</v>
      </c>
      <c r="C1466" s="75">
        <f t="shared" si="178"/>
        <v>104.50616427295054</v>
      </c>
      <c r="D1466" s="100">
        <f t="shared" si="183"/>
        <v>445.77777777777789</v>
      </c>
      <c r="E1466">
        <f t="shared" si="179"/>
        <v>0</v>
      </c>
      <c r="G1466">
        <v>1416</v>
      </c>
      <c r="H1466" s="15">
        <f t="shared" si="184"/>
        <v>3.3332641781299799E-2</v>
      </c>
      <c r="I1466">
        <f t="shared" si="185"/>
        <v>151.70518503526105</v>
      </c>
      <c r="J1466">
        <f t="shared" si="180"/>
        <v>491.98015505682793</v>
      </c>
      <c r="K1466" s="30">
        <f t="shared" si="181"/>
        <v>8068.2384069820137</v>
      </c>
    </row>
    <row r="1467" spans="1:11" x14ac:dyDescent="0.25">
      <c r="A1467" s="29">
        <v>1417</v>
      </c>
      <c r="B1467" s="99">
        <f t="shared" si="182"/>
        <v>0</v>
      </c>
      <c r="C1467" s="75">
        <f t="shared" si="178"/>
        <v>104.50616427295054</v>
      </c>
      <c r="D1467" s="100">
        <f t="shared" si="183"/>
        <v>445.77777777777789</v>
      </c>
      <c r="E1467">
        <f t="shared" si="179"/>
        <v>0</v>
      </c>
      <c r="G1467">
        <v>1417</v>
      </c>
      <c r="H1467" s="15">
        <f t="shared" si="184"/>
        <v>3.3332641781299799E-2</v>
      </c>
      <c r="I1467">
        <f t="shared" si="185"/>
        <v>151.73851767704235</v>
      </c>
      <c r="J1467">
        <f t="shared" si="180"/>
        <v>491.99580794071676</v>
      </c>
      <c r="K1467" s="30">
        <f t="shared" si="181"/>
        <v>8068.7515616500668</v>
      </c>
    </row>
    <row r="1468" spans="1:11" x14ac:dyDescent="0.25">
      <c r="A1468" s="29">
        <v>1418</v>
      </c>
      <c r="B1468" s="99">
        <f t="shared" si="182"/>
        <v>0</v>
      </c>
      <c r="C1468" s="75">
        <f t="shared" si="178"/>
        <v>104.50616427295054</v>
      </c>
      <c r="D1468" s="100">
        <f t="shared" si="183"/>
        <v>445.77777777777789</v>
      </c>
      <c r="E1468">
        <f t="shared" si="179"/>
        <v>0</v>
      </c>
      <c r="G1468">
        <v>1418</v>
      </c>
      <c r="H1468" s="15">
        <f t="shared" si="184"/>
        <v>3.3332641781299799E-2</v>
      </c>
      <c r="I1468">
        <f t="shared" si="185"/>
        <v>151.77185031882365</v>
      </c>
      <c r="J1468">
        <f t="shared" si="180"/>
        <v>492.01144589171179</v>
      </c>
      <c r="K1468" s="30">
        <f t="shared" si="181"/>
        <v>8069.2642429549533</v>
      </c>
    </row>
    <row r="1469" spans="1:11" x14ac:dyDescent="0.25">
      <c r="A1469" s="29">
        <v>1419</v>
      </c>
      <c r="B1469" s="99">
        <f t="shared" si="182"/>
        <v>0</v>
      </c>
      <c r="C1469" s="75">
        <f t="shared" si="178"/>
        <v>104.50616427295054</v>
      </c>
      <c r="D1469" s="100">
        <f t="shared" si="183"/>
        <v>445.77777777777789</v>
      </c>
      <c r="E1469">
        <f t="shared" si="179"/>
        <v>0</v>
      </c>
      <c r="G1469">
        <v>1419</v>
      </c>
      <c r="H1469" s="15">
        <f t="shared" si="184"/>
        <v>3.3332641781299799E-2</v>
      </c>
      <c r="I1469">
        <f t="shared" si="185"/>
        <v>151.80518296060495</v>
      </c>
      <c r="J1469">
        <f t="shared" si="180"/>
        <v>492.02706891752621</v>
      </c>
      <c r="K1469" s="30">
        <f t="shared" si="181"/>
        <v>8069.7764511028063</v>
      </c>
    </row>
    <row r="1470" spans="1:11" x14ac:dyDescent="0.25">
      <c r="A1470" s="29">
        <v>1420</v>
      </c>
      <c r="B1470" s="99">
        <f t="shared" si="182"/>
        <v>0</v>
      </c>
      <c r="C1470" s="75">
        <f t="shared" si="178"/>
        <v>104.50616427295054</v>
      </c>
      <c r="D1470" s="100">
        <f t="shared" si="183"/>
        <v>445.77777777777789</v>
      </c>
      <c r="E1470">
        <f t="shared" si="179"/>
        <v>0</v>
      </c>
      <c r="G1470">
        <v>1420</v>
      </c>
      <c r="H1470" s="15">
        <f t="shared" si="184"/>
        <v>3.3332641781299799E-2</v>
      </c>
      <c r="I1470">
        <f t="shared" si="185"/>
        <v>151.83851560238625</v>
      </c>
      <c r="J1470">
        <f t="shared" si="180"/>
        <v>492.04267702586054</v>
      </c>
      <c r="K1470" s="30">
        <f t="shared" si="181"/>
        <v>8070.2881862994082</v>
      </c>
    </row>
    <row r="1471" spans="1:11" x14ac:dyDescent="0.25">
      <c r="A1471" s="29">
        <v>1421</v>
      </c>
      <c r="B1471" s="99">
        <f t="shared" si="182"/>
        <v>0</v>
      </c>
      <c r="C1471" s="75">
        <f t="shared" si="178"/>
        <v>104.50616427295054</v>
      </c>
      <c r="D1471" s="100">
        <f t="shared" si="183"/>
        <v>445.77777777777789</v>
      </c>
      <c r="E1471">
        <f t="shared" si="179"/>
        <v>0</v>
      </c>
      <c r="G1471">
        <v>1421</v>
      </c>
      <c r="H1471" s="15">
        <f t="shared" si="184"/>
        <v>3.3332641781299799E-2</v>
      </c>
      <c r="I1471">
        <f t="shared" si="185"/>
        <v>151.87184824416755</v>
      </c>
      <c r="J1471">
        <f t="shared" si="180"/>
        <v>492.05827022440246</v>
      </c>
      <c r="K1471" s="30">
        <f t="shared" si="181"/>
        <v>8070.7994487502101</v>
      </c>
    </row>
    <row r="1472" spans="1:11" x14ac:dyDescent="0.25">
      <c r="A1472" s="29">
        <v>1422</v>
      </c>
      <c r="B1472" s="99">
        <f t="shared" si="182"/>
        <v>0</v>
      </c>
      <c r="C1472" s="75">
        <f t="shared" si="178"/>
        <v>104.50616427295054</v>
      </c>
      <c r="D1472" s="100">
        <f t="shared" si="183"/>
        <v>445.77777777777789</v>
      </c>
      <c r="E1472">
        <f t="shared" si="179"/>
        <v>0</v>
      </c>
      <c r="G1472">
        <v>1422</v>
      </c>
      <c r="H1472" s="15">
        <f t="shared" si="184"/>
        <v>3.3332641781299799E-2</v>
      </c>
      <c r="I1472">
        <f t="shared" si="185"/>
        <v>151.90518088594885</v>
      </c>
      <c r="J1472">
        <f t="shared" si="180"/>
        <v>492.0738485208272</v>
      </c>
      <c r="K1472" s="30">
        <f t="shared" si="181"/>
        <v>8071.3102386603241</v>
      </c>
    </row>
    <row r="1473" spans="1:11" x14ac:dyDescent="0.25">
      <c r="A1473" s="29">
        <v>1423</v>
      </c>
      <c r="B1473" s="99">
        <f t="shared" si="182"/>
        <v>0</v>
      </c>
      <c r="C1473" s="75">
        <f t="shared" si="178"/>
        <v>104.50616427295054</v>
      </c>
      <c r="D1473" s="100">
        <f t="shared" si="183"/>
        <v>445.77777777777789</v>
      </c>
      <c r="E1473">
        <f t="shared" si="179"/>
        <v>0</v>
      </c>
      <c r="G1473">
        <v>1423</v>
      </c>
      <c r="H1473" s="15">
        <f t="shared" si="184"/>
        <v>3.3332641781299799E-2</v>
      </c>
      <c r="I1473">
        <f t="shared" si="185"/>
        <v>151.93851352773015</v>
      </c>
      <c r="J1473">
        <f t="shared" si="180"/>
        <v>492.08941192279741</v>
      </c>
      <c r="K1473" s="30">
        <f t="shared" si="181"/>
        <v>8071.8205562345292</v>
      </c>
    </row>
    <row r="1474" spans="1:11" x14ac:dyDescent="0.25">
      <c r="A1474" s="29">
        <v>1424</v>
      </c>
      <c r="B1474" s="99">
        <f t="shared" si="182"/>
        <v>0</v>
      </c>
      <c r="C1474" s="75">
        <f t="shared" si="178"/>
        <v>104.50616427295054</v>
      </c>
      <c r="D1474" s="100">
        <f t="shared" si="183"/>
        <v>445.77777777777789</v>
      </c>
      <c r="E1474">
        <f t="shared" si="179"/>
        <v>0</v>
      </c>
      <c r="G1474">
        <v>1424</v>
      </c>
      <c r="H1474" s="15">
        <f t="shared" si="184"/>
        <v>3.3332641781299799E-2</v>
      </c>
      <c r="I1474">
        <f t="shared" si="185"/>
        <v>151.97184616951145</v>
      </c>
      <c r="J1474">
        <f t="shared" si="180"/>
        <v>492.10496043796309</v>
      </c>
      <c r="K1474" s="30">
        <f t="shared" si="181"/>
        <v>8072.3304016772663</v>
      </c>
    </row>
    <row r="1475" spans="1:11" x14ac:dyDescent="0.25">
      <c r="A1475" s="29">
        <v>1425</v>
      </c>
      <c r="B1475" s="99">
        <f t="shared" si="182"/>
        <v>0</v>
      </c>
      <c r="C1475" s="75">
        <f t="shared" si="178"/>
        <v>104.50616427295054</v>
      </c>
      <c r="D1475" s="100">
        <f t="shared" si="183"/>
        <v>445.77777777777789</v>
      </c>
      <c r="E1475">
        <f t="shared" si="179"/>
        <v>0</v>
      </c>
      <c r="G1475">
        <v>1425</v>
      </c>
      <c r="H1475" s="15">
        <f t="shared" si="184"/>
        <v>3.3332641781299799E-2</v>
      </c>
      <c r="I1475">
        <f t="shared" si="185"/>
        <v>152.00517881129275</v>
      </c>
      <c r="J1475">
        <f t="shared" si="180"/>
        <v>492.12049407396165</v>
      </c>
      <c r="K1475" s="30">
        <f t="shared" si="181"/>
        <v>8072.8397751926377</v>
      </c>
    </row>
    <row r="1476" spans="1:11" x14ac:dyDescent="0.25">
      <c r="A1476" s="29">
        <v>1426</v>
      </c>
      <c r="B1476" s="99">
        <f t="shared" si="182"/>
        <v>0</v>
      </c>
      <c r="C1476" s="75">
        <f t="shared" si="178"/>
        <v>104.50616427295054</v>
      </c>
      <c r="D1476" s="100">
        <f t="shared" si="183"/>
        <v>445.77777777777789</v>
      </c>
      <c r="E1476">
        <f t="shared" si="179"/>
        <v>0</v>
      </c>
      <c r="G1476">
        <v>1426</v>
      </c>
      <c r="H1476" s="15">
        <f t="shared" si="184"/>
        <v>3.3332641781299799E-2</v>
      </c>
      <c r="I1476">
        <f t="shared" si="185"/>
        <v>152.03851145307405</v>
      </c>
      <c r="J1476">
        <f t="shared" si="180"/>
        <v>492.13601283841808</v>
      </c>
      <c r="K1476" s="30">
        <f t="shared" si="181"/>
        <v>8073.3486769844158</v>
      </c>
    </row>
    <row r="1477" spans="1:11" x14ac:dyDescent="0.25">
      <c r="A1477" s="29">
        <v>1427</v>
      </c>
      <c r="B1477" s="99">
        <f t="shared" si="182"/>
        <v>0</v>
      </c>
      <c r="C1477" s="75">
        <f t="shared" si="178"/>
        <v>104.50616427295054</v>
      </c>
      <c r="D1477" s="100">
        <f t="shared" si="183"/>
        <v>445.77777777777789</v>
      </c>
      <c r="E1477">
        <f t="shared" si="179"/>
        <v>0</v>
      </c>
      <c r="G1477">
        <v>1427</v>
      </c>
      <c r="H1477" s="15">
        <f t="shared" si="184"/>
        <v>3.3332641781299799E-2</v>
      </c>
      <c r="I1477">
        <f t="shared" si="185"/>
        <v>152.07184409485535</v>
      </c>
      <c r="J1477">
        <f t="shared" si="180"/>
        <v>492.15151673894491</v>
      </c>
      <c r="K1477" s="30">
        <f t="shared" si="181"/>
        <v>8073.8571072560371</v>
      </c>
    </row>
    <row r="1478" spans="1:11" x14ac:dyDescent="0.25">
      <c r="A1478" s="29">
        <v>1428</v>
      </c>
      <c r="B1478" s="99">
        <f t="shared" si="182"/>
        <v>0</v>
      </c>
      <c r="C1478" s="75">
        <f t="shared" si="178"/>
        <v>104.50616427295054</v>
      </c>
      <c r="D1478" s="100">
        <f t="shared" si="183"/>
        <v>445.77777777777789</v>
      </c>
      <c r="E1478">
        <f t="shared" si="179"/>
        <v>0</v>
      </c>
      <c r="G1478">
        <v>1428</v>
      </c>
      <c r="H1478" s="15">
        <f t="shared" si="184"/>
        <v>3.3332641781299799E-2</v>
      </c>
      <c r="I1478">
        <f t="shared" si="185"/>
        <v>152.10517673663665</v>
      </c>
      <c r="J1478">
        <f t="shared" si="180"/>
        <v>492.16700578314203</v>
      </c>
      <c r="K1478" s="30">
        <f t="shared" si="181"/>
        <v>8074.3650662106047</v>
      </c>
    </row>
    <row r="1479" spans="1:11" x14ac:dyDescent="0.25">
      <c r="A1479" s="29">
        <v>1429</v>
      </c>
      <c r="B1479" s="99">
        <f t="shared" si="182"/>
        <v>0</v>
      </c>
      <c r="C1479" s="75">
        <f t="shared" si="178"/>
        <v>104.50616427295054</v>
      </c>
      <c r="D1479" s="100">
        <f t="shared" si="183"/>
        <v>445.77777777777789</v>
      </c>
      <c r="E1479">
        <f t="shared" si="179"/>
        <v>0</v>
      </c>
      <c r="G1479">
        <v>1429</v>
      </c>
      <c r="H1479" s="15">
        <f t="shared" si="184"/>
        <v>3.3332641781299799E-2</v>
      </c>
      <c r="I1479">
        <f t="shared" si="185"/>
        <v>152.13850937841795</v>
      </c>
      <c r="J1479">
        <f t="shared" si="180"/>
        <v>492.18247997859692</v>
      </c>
      <c r="K1479" s="30">
        <f t="shared" si="181"/>
        <v>8074.8725540508867</v>
      </c>
    </row>
    <row r="1480" spans="1:11" x14ac:dyDescent="0.25">
      <c r="A1480" s="29">
        <v>1430</v>
      </c>
      <c r="B1480" s="99">
        <f t="shared" si="182"/>
        <v>0</v>
      </c>
      <c r="C1480" s="75">
        <f t="shared" si="178"/>
        <v>104.50616427295054</v>
      </c>
      <c r="D1480" s="100">
        <f t="shared" si="183"/>
        <v>445.77777777777789</v>
      </c>
      <c r="E1480">
        <f t="shared" si="179"/>
        <v>0</v>
      </c>
      <c r="G1480">
        <v>1430</v>
      </c>
      <c r="H1480" s="15">
        <f t="shared" si="184"/>
        <v>3.3332641781299799E-2</v>
      </c>
      <c r="I1480">
        <f t="shared" si="185"/>
        <v>152.17184202019925</v>
      </c>
      <c r="J1480">
        <f t="shared" si="180"/>
        <v>492.19793933288474</v>
      </c>
      <c r="K1480" s="30">
        <f t="shared" si="181"/>
        <v>8075.3795709793258</v>
      </c>
    </row>
    <row r="1481" spans="1:11" x14ac:dyDescent="0.25">
      <c r="A1481" s="29">
        <v>1431</v>
      </c>
      <c r="B1481" s="99">
        <f t="shared" si="182"/>
        <v>0</v>
      </c>
      <c r="C1481" s="75">
        <f t="shared" si="178"/>
        <v>104.50616427295054</v>
      </c>
      <c r="D1481" s="100">
        <f t="shared" si="183"/>
        <v>445.77777777777789</v>
      </c>
      <c r="E1481">
        <f t="shared" si="179"/>
        <v>0</v>
      </c>
      <c r="G1481">
        <v>1431</v>
      </c>
      <c r="H1481" s="15">
        <f t="shared" si="184"/>
        <v>3.3332641781299799E-2</v>
      </c>
      <c r="I1481">
        <f t="shared" si="185"/>
        <v>152.20517466198055</v>
      </c>
      <c r="J1481">
        <f t="shared" si="180"/>
        <v>492.21338385356813</v>
      </c>
      <c r="K1481" s="30">
        <f t="shared" si="181"/>
        <v>8075.8861171980252</v>
      </c>
    </row>
    <row r="1482" spans="1:11" x14ac:dyDescent="0.25">
      <c r="A1482" s="29">
        <v>1432</v>
      </c>
      <c r="B1482" s="99">
        <f t="shared" si="182"/>
        <v>0</v>
      </c>
      <c r="C1482" s="75">
        <f t="shared" si="178"/>
        <v>104.50616427295054</v>
      </c>
      <c r="D1482" s="100">
        <f t="shared" si="183"/>
        <v>445.77777777777789</v>
      </c>
      <c r="E1482">
        <f t="shared" si="179"/>
        <v>0</v>
      </c>
      <c r="G1482">
        <v>1432</v>
      </c>
      <c r="H1482" s="15">
        <f t="shared" si="184"/>
        <v>3.3332641781299799E-2</v>
      </c>
      <c r="I1482">
        <f t="shared" si="185"/>
        <v>152.23850730376185</v>
      </c>
      <c r="J1482">
        <f t="shared" si="180"/>
        <v>492.22881354819742</v>
      </c>
      <c r="K1482" s="30">
        <f t="shared" si="181"/>
        <v>8076.3921929087628</v>
      </c>
    </row>
    <row r="1483" spans="1:11" x14ac:dyDescent="0.25">
      <c r="A1483" s="29">
        <v>1433</v>
      </c>
      <c r="B1483" s="99">
        <f t="shared" si="182"/>
        <v>0</v>
      </c>
      <c r="C1483" s="75">
        <f t="shared" si="178"/>
        <v>104.50616427295054</v>
      </c>
      <c r="D1483" s="100">
        <f t="shared" si="183"/>
        <v>445.77777777777789</v>
      </c>
      <c r="E1483">
        <f t="shared" si="179"/>
        <v>0</v>
      </c>
      <c r="G1483">
        <v>1433</v>
      </c>
      <c r="H1483" s="15">
        <f t="shared" si="184"/>
        <v>3.3332641781299799E-2</v>
      </c>
      <c r="I1483">
        <f t="shared" si="185"/>
        <v>152.27183994554315</v>
      </c>
      <c r="J1483">
        <f t="shared" si="180"/>
        <v>492.24422842431051</v>
      </c>
      <c r="K1483" s="30">
        <f t="shared" si="181"/>
        <v>8076.8977983129816</v>
      </c>
    </row>
    <row r="1484" spans="1:11" x14ac:dyDescent="0.25">
      <c r="A1484" s="29">
        <v>1434</v>
      </c>
      <c r="B1484" s="99">
        <f t="shared" si="182"/>
        <v>0</v>
      </c>
      <c r="C1484" s="75">
        <f t="shared" si="178"/>
        <v>104.50616427295054</v>
      </c>
      <c r="D1484" s="100">
        <f t="shared" si="183"/>
        <v>445.77777777777789</v>
      </c>
      <c r="E1484">
        <f t="shared" si="179"/>
        <v>0</v>
      </c>
      <c r="G1484">
        <v>1434</v>
      </c>
      <c r="H1484" s="15">
        <f t="shared" si="184"/>
        <v>3.3332641781299799E-2</v>
      </c>
      <c r="I1484">
        <f t="shared" si="185"/>
        <v>152.30517258732445</v>
      </c>
      <c r="J1484">
        <f t="shared" si="180"/>
        <v>492.25962848943294</v>
      </c>
      <c r="K1484" s="30">
        <f t="shared" si="181"/>
        <v>8077.4029336117965</v>
      </c>
    </row>
    <row r="1485" spans="1:11" x14ac:dyDescent="0.25">
      <c r="A1485" s="29">
        <v>1435</v>
      </c>
      <c r="B1485" s="99">
        <f t="shared" si="182"/>
        <v>0</v>
      </c>
      <c r="C1485" s="75">
        <f t="shared" si="178"/>
        <v>104.50616427295054</v>
      </c>
      <c r="D1485" s="100">
        <f t="shared" si="183"/>
        <v>445.77777777777789</v>
      </c>
      <c r="E1485">
        <f t="shared" si="179"/>
        <v>0</v>
      </c>
      <c r="G1485">
        <v>1435</v>
      </c>
      <c r="H1485" s="15">
        <f t="shared" si="184"/>
        <v>3.3332641781299799E-2</v>
      </c>
      <c r="I1485">
        <f t="shared" si="185"/>
        <v>152.33850522910575</v>
      </c>
      <c r="J1485">
        <f t="shared" si="180"/>
        <v>492.27501375107801</v>
      </c>
      <c r="K1485" s="30">
        <f t="shared" si="181"/>
        <v>8077.9075990059946</v>
      </c>
    </row>
    <row r="1486" spans="1:11" x14ac:dyDescent="0.25">
      <c r="A1486" s="29">
        <v>1436</v>
      </c>
      <c r="B1486" s="99">
        <f t="shared" si="182"/>
        <v>0</v>
      </c>
      <c r="C1486" s="75">
        <f t="shared" si="178"/>
        <v>104.50616427295054</v>
      </c>
      <c r="D1486" s="100">
        <f t="shared" si="183"/>
        <v>445.77777777777789</v>
      </c>
      <c r="E1486">
        <f t="shared" si="179"/>
        <v>0</v>
      </c>
      <c r="G1486">
        <v>1436</v>
      </c>
      <c r="H1486" s="15">
        <f t="shared" si="184"/>
        <v>3.3332641781299799E-2</v>
      </c>
      <c r="I1486">
        <f t="shared" si="185"/>
        <v>152.37183787088705</v>
      </c>
      <c r="J1486">
        <f t="shared" si="180"/>
        <v>492.2903842167467</v>
      </c>
      <c r="K1486" s="30">
        <f t="shared" si="181"/>
        <v>8078.411794696035</v>
      </c>
    </row>
    <row r="1487" spans="1:11" x14ac:dyDescent="0.25">
      <c r="A1487" s="29">
        <v>1437</v>
      </c>
      <c r="B1487" s="99">
        <f t="shared" si="182"/>
        <v>0</v>
      </c>
      <c r="C1487" s="75">
        <f t="shared" si="178"/>
        <v>104.50616427295054</v>
      </c>
      <c r="D1487" s="100">
        <f t="shared" si="183"/>
        <v>445.77777777777789</v>
      </c>
      <c r="E1487">
        <f t="shared" si="179"/>
        <v>0</v>
      </c>
      <c r="G1487">
        <v>1437</v>
      </c>
      <c r="H1487" s="15">
        <f t="shared" si="184"/>
        <v>3.3332641781299799E-2</v>
      </c>
      <c r="I1487">
        <f t="shared" si="185"/>
        <v>152.40517051266835</v>
      </c>
      <c r="J1487">
        <f t="shared" si="180"/>
        <v>492.30573989392769</v>
      </c>
      <c r="K1487" s="30">
        <f t="shared" si="181"/>
        <v>8078.9155208820448</v>
      </c>
    </row>
    <row r="1488" spans="1:11" x14ac:dyDescent="0.25">
      <c r="A1488" s="29">
        <v>1438</v>
      </c>
      <c r="B1488" s="99">
        <f t="shared" si="182"/>
        <v>0</v>
      </c>
      <c r="C1488" s="75">
        <f t="shared" ref="C1488:C1551" si="186">($C$37-$C$36)/2000+C1487</f>
        <v>104.50616427295054</v>
      </c>
      <c r="D1488" s="100">
        <f t="shared" si="183"/>
        <v>445.77777777777789</v>
      </c>
      <c r="E1488">
        <f t="shared" si="179"/>
        <v>0</v>
      </c>
      <c r="G1488">
        <v>1438</v>
      </c>
      <c r="H1488" s="15">
        <f t="shared" si="184"/>
        <v>3.3332641781299799E-2</v>
      </c>
      <c r="I1488">
        <f t="shared" si="185"/>
        <v>152.43850315444965</v>
      </c>
      <c r="J1488">
        <f t="shared" si="180"/>
        <v>492.32108079009737</v>
      </c>
      <c r="K1488" s="30">
        <f t="shared" si="181"/>
        <v>8079.4187777638263</v>
      </c>
    </row>
    <row r="1489" spans="1:11" x14ac:dyDescent="0.25">
      <c r="A1489" s="29">
        <v>1439</v>
      </c>
      <c r="B1489" s="99">
        <f t="shared" si="182"/>
        <v>0</v>
      </c>
      <c r="C1489" s="75">
        <f t="shared" si="186"/>
        <v>104.50616427295054</v>
      </c>
      <c r="D1489" s="100">
        <f t="shared" si="183"/>
        <v>445.77777777777789</v>
      </c>
      <c r="E1489">
        <f t="shared" si="179"/>
        <v>0</v>
      </c>
      <c r="G1489">
        <v>1439</v>
      </c>
      <c r="H1489" s="15">
        <f t="shared" si="184"/>
        <v>3.3332641781299799E-2</v>
      </c>
      <c r="I1489">
        <f t="shared" si="185"/>
        <v>152.47183579623095</v>
      </c>
      <c r="J1489">
        <f t="shared" si="180"/>
        <v>492.33640691272007</v>
      </c>
      <c r="K1489" s="30">
        <f t="shared" si="181"/>
        <v>8079.9215655408561</v>
      </c>
    </row>
    <row r="1490" spans="1:11" x14ac:dyDescent="0.25">
      <c r="A1490" s="29">
        <v>1440</v>
      </c>
      <c r="B1490" s="99">
        <f t="shared" si="182"/>
        <v>0</v>
      </c>
      <c r="C1490" s="75">
        <f t="shared" si="186"/>
        <v>104.50616427295054</v>
      </c>
      <c r="D1490" s="100">
        <f t="shared" si="183"/>
        <v>445.77777777777789</v>
      </c>
      <c r="E1490">
        <f t="shared" si="179"/>
        <v>0</v>
      </c>
      <c r="G1490">
        <v>1440</v>
      </c>
      <c r="H1490" s="15">
        <f t="shared" si="184"/>
        <v>3.3332641781299799E-2</v>
      </c>
      <c r="I1490">
        <f t="shared" si="185"/>
        <v>152.50516843801225</v>
      </c>
      <c r="J1490">
        <f t="shared" si="180"/>
        <v>492.35171826924773</v>
      </c>
      <c r="K1490" s="30">
        <f t="shared" si="181"/>
        <v>8080.4238844122874</v>
      </c>
    </row>
    <row r="1491" spans="1:11" x14ac:dyDescent="0.25">
      <c r="A1491" s="29">
        <v>1441</v>
      </c>
      <c r="B1491" s="99">
        <f t="shared" si="182"/>
        <v>0</v>
      </c>
      <c r="C1491" s="75">
        <f t="shared" si="186"/>
        <v>104.50616427295054</v>
      </c>
      <c r="D1491" s="100">
        <f t="shared" si="183"/>
        <v>445.77777777777789</v>
      </c>
      <c r="E1491">
        <f t="shared" si="179"/>
        <v>0</v>
      </c>
      <c r="G1491">
        <v>1441</v>
      </c>
      <c r="H1491" s="15">
        <f t="shared" si="184"/>
        <v>3.3332641781299799E-2</v>
      </c>
      <c r="I1491">
        <f t="shared" si="185"/>
        <v>152.53850107979355</v>
      </c>
      <c r="J1491">
        <f t="shared" si="180"/>
        <v>492.36701486712025</v>
      </c>
      <c r="K1491" s="30">
        <f t="shared" si="181"/>
        <v>8080.9257345769392</v>
      </c>
    </row>
    <row r="1492" spans="1:11" x14ac:dyDescent="0.25">
      <c r="A1492" s="29">
        <v>1442</v>
      </c>
      <c r="B1492" s="99">
        <f t="shared" si="182"/>
        <v>0</v>
      </c>
      <c r="C1492" s="75">
        <f t="shared" si="186"/>
        <v>104.50616427295054</v>
      </c>
      <c r="D1492" s="100">
        <f t="shared" si="183"/>
        <v>445.77777777777789</v>
      </c>
      <c r="E1492">
        <f t="shared" si="179"/>
        <v>0</v>
      </c>
      <c r="G1492">
        <v>1442</v>
      </c>
      <c r="H1492" s="15">
        <f t="shared" si="184"/>
        <v>3.3332641781299799E-2</v>
      </c>
      <c r="I1492">
        <f t="shared" si="185"/>
        <v>152.57183372157485</v>
      </c>
      <c r="J1492">
        <f t="shared" si="180"/>
        <v>492.38229671376519</v>
      </c>
      <c r="K1492" s="30">
        <f t="shared" si="181"/>
        <v>8081.4271162333107</v>
      </c>
    </row>
    <row r="1493" spans="1:11" x14ac:dyDescent="0.25">
      <c r="A1493" s="29">
        <v>1443</v>
      </c>
      <c r="B1493" s="99">
        <f t="shared" si="182"/>
        <v>0</v>
      </c>
      <c r="C1493" s="75">
        <f t="shared" si="186"/>
        <v>104.50616427295054</v>
      </c>
      <c r="D1493" s="100">
        <f t="shared" si="183"/>
        <v>445.77777777777789</v>
      </c>
      <c r="E1493">
        <f t="shared" si="179"/>
        <v>0</v>
      </c>
      <c r="G1493">
        <v>1443</v>
      </c>
      <c r="H1493" s="15">
        <f t="shared" si="184"/>
        <v>3.3332641781299799E-2</v>
      </c>
      <c r="I1493">
        <f t="shared" si="185"/>
        <v>152.60516636335615</v>
      </c>
      <c r="J1493">
        <f t="shared" si="180"/>
        <v>492.39756381659811</v>
      </c>
      <c r="K1493" s="30">
        <f t="shared" si="181"/>
        <v>8081.9280295795761</v>
      </c>
    </row>
    <row r="1494" spans="1:11" x14ac:dyDescent="0.25">
      <c r="A1494" s="29">
        <v>1444</v>
      </c>
      <c r="B1494" s="99">
        <f t="shared" si="182"/>
        <v>0</v>
      </c>
      <c r="C1494" s="75">
        <f t="shared" si="186"/>
        <v>104.50616427295054</v>
      </c>
      <c r="D1494" s="100">
        <f t="shared" si="183"/>
        <v>445.77777777777789</v>
      </c>
      <c r="E1494">
        <f t="shared" si="179"/>
        <v>0</v>
      </c>
      <c r="G1494">
        <v>1444</v>
      </c>
      <c r="H1494" s="15">
        <f t="shared" si="184"/>
        <v>3.3332641781299799E-2</v>
      </c>
      <c r="I1494">
        <f t="shared" si="185"/>
        <v>152.63849900513745</v>
      </c>
      <c r="J1494">
        <f t="shared" si="180"/>
        <v>492.41281618302241</v>
      </c>
      <c r="K1494" s="30">
        <f t="shared" si="181"/>
        <v>8082.4284748135879</v>
      </c>
    </row>
    <row r="1495" spans="1:11" x14ac:dyDescent="0.25">
      <c r="A1495" s="29">
        <v>1445</v>
      </c>
      <c r="B1495" s="99">
        <f t="shared" si="182"/>
        <v>0</v>
      </c>
      <c r="C1495" s="75">
        <f t="shared" si="186"/>
        <v>104.50616427295054</v>
      </c>
      <c r="D1495" s="100">
        <f t="shared" si="183"/>
        <v>445.77777777777789</v>
      </c>
      <c r="E1495">
        <f t="shared" si="179"/>
        <v>0</v>
      </c>
      <c r="G1495">
        <v>1445</v>
      </c>
      <c r="H1495" s="15">
        <f t="shared" si="184"/>
        <v>3.3332641781299799E-2</v>
      </c>
      <c r="I1495">
        <f t="shared" si="185"/>
        <v>152.67183164691875</v>
      </c>
      <c r="J1495">
        <f t="shared" si="180"/>
        <v>492.42805382042945</v>
      </c>
      <c r="K1495" s="30">
        <f t="shared" si="181"/>
        <v>8082.9284521328727</v>
      </c>
    </row>
    <row r="1496" spans="1:11" x14ac:dyDescent="0.25">
      <c r="A1496" s="29">
        <v>1446</v>
      </c>
      <c r="B1496" s="99">
        <f t="shared" si="182"/>
        <v>0</v>
      </c>
      <c r="C1496" s="75">
        <f t="shared" si="186"/>
        <v>104.50616427295054</v>
      </c>
      <c r="D1496" s="100">
        <f t="shared" si="183"/>
        <v>445.77777777777789</v>
      </c>
      <c r="E1496">
        <f t="shared" si="179"/>
        <v>0</v>
      </c>
      <c r="G1496">
        <v>1446</v>
      </c>
      <c r="H1496" s="15">
        <f t="shared" si="184"/>
        <v>3.3332641781299799E-2</v>
      </c>
      <c r="I1496">
        <f t="shared" si="185"/>
        <v>152.70516428870005</v>
      </c>
      <c r="J1496">
        <f t="shared" si="180"/>
        <v>492.44327673619847</v>
      </c>
      <c r="K1496" s="30">
        <f t="shared" si="181"/>
        <v>8083.4279617346356</v>
      </c>
    </row>
    <row r="1497" spans="1:11" x14ac:dyDescent="0.25">
      <c r="A1497" s="29">
        <v>1447</v>
      </c>
      <c r="B1497" s="99">
        <f t="shared" si="182"/>
        <v>0</v>
      </c>
      <c r="C1497" s="75">
        <f t="shared" si="186"/>
        <v>104.50616427295054</v>
      </c>
      <c r="D1497" s="100">
        <f t="shared" si="183"/>
        <v>445.77777777777789</v>
      </c>
      <c r="E1497">
        <f t="shared" si="179"/>
        <v>0</v>
      </c>
      <c r="G1497">
        <v>1447</v>
      </c>
      <c r="H1497" s="15">
        <f t="shared" si="184"/>
        <v>3.3332641781299799E-2</v>
      </c>
      <c r="I1497">
        <f t="shared" si="185"/>
        <v>152.73849693048135</v>
      </c>
      <c r="J1497">
        <f t="shared" si="180"/>
        <v>492.45848493769665</v>
      </c>
      <c r="K1497" s="30">
        <f t="shared" si="181"/>
        <v>8083.9270038157592</v>
      </c>
    </row>
    <row r="1498" spans="1:11" x14ac:dyDescent="0.25">
      <c r="A1498" s="29">
        <v>1448</v>
      </c>
      <c r="B1498" s="99">
        <f t="shared" si="182"/>
        <v>0</v>
      </c>
      <c r="C1498" s="75">
        <f t="shared" si="186"/>
        <v>104.50616427295054</v>
      </c>
      <c r="D1498" s="100">
        <f t="shared" si="183"/>
        <v>445.77777777777789</v>
      </c>
      <c r="E1498">
        <f t="shared" si="179"/>
        <v>0</v>
      </c>
      <c r="G1498">
        <v>1448</v>
      </c>
      <c r="H1498" s="15">
        <f t="shared" si="184"/>
        <v>3.3332641781299799E-2</v>
      </c>
      <c r="I1498">
        <f t="shared" si="185"/>
        <v>152.77182957226265</v>
      </c>
      <c r="J1498">
        <f t="shared" si="180"/>
        <v>492.47367843227914</v>
      </c>
      <c r="K1498" s="30">
        <f t="shared" si="181"/>
        <v>8084.4255785728055</v>
      </c>
    </row>
    <row r="1499" spans="1:11" x14ac:dyDescent="0.25">
      <c r="A1499" s="29">
        <v>1449</v>
      </c>
      <c r="B1499" s="99">
        <f t="shared" si="182"/>
        <v>0</v>
      </c>
      <c r="C1499" s="75">
        <f t="shared" si="186"/>
        <v>104.50616427295054</v>
      </c>
      <c r="D1499" s="100">
        <f t="shared" si="183"/>
        <v>445.77777777777789</v>
      </c>
      <c r="E1499">
        <f t="shared" si="179"/>
        <v>0</v>
      </c>
      <c r="G1499">
        <v>1449</v>
      </c>
      <c r="H1499" s="15">
        <f t="shared" si="184"/>
        <v>3.3332641781299799E-2</v>
      </c>
      <c r="I1499">
        <f t="shared" si="185"/>
        <v>152.80516221404395</v>
      </c>
      <c r="J1499">
        <f t="shared" si="180"/>
        <v>492.48885722728909</v>
      </c>
      <c r="K1499" s="30">
        <f t="shared" si="181"/>
        <v>8084.9236862020161</v>
      </c>
    </row>
    <row r="1500" spans="1:11" x14ac:dyDescent="0.25">
      <c r="A1500" s="29">
        <v>1450</v>
      </c>
      <c r="B1500" s="99">
        <f t="shared" si="182"/>
        <v>0</v>
      </c>
      <c r="C1500" s="75">
        <f t="shared" si="186"/>
        <v>104.50616427295054</v>
      </c>
      <c r="D1500" s="100">
        <f t="shared" si="183"/>
        <v>445.77777777777789</v>
      </c>
      <c r="E1500">
        <f t="shared" si="179"/>
        <v>0</v>
      </c>
      <c r="G1500">
        <v>1450</v>
      </c>
      <c r="H1500" s="15">
        <f t="shared" si="184"/>
        <v>3.3332641781299799E-2</v>
      </c>
      <c r="I1500">
        <f t="shared" si="185"/>
        <v>152.83849485582525</v>
      </c>
      <c r="J1500">
        <f t="shared" si="180"/>
        <v>492.5040213300577</v>
      </c>
      <c r="K1500" s="30">
        <f t="shared" si="181"/>
        <v>8085.421326899309</v>
      </c>
    </row>
    <row r="1501" spans="1:11" x14ac:dyDescent="0.25">
      <c r="A1501" s="29">
        <v>1451</v>
      </c>
      <c r="B1501" s="99">
        <f t="shared" si="182"/>
        <v>0</v>
      </c>
      <c r="C1501" s="75">
        <f t="shared" si="186"/>
        <v>104.50616427295054</v>
      </c>
      <c r="D1501" s="100">
        <f t="shared" si="183"/>
        <v>445.77777777777789</v>
      </c>
      <c r="E1501">
        <f t="shared" si="179"/>
        <v>0</v>
      </c>
      <c r="G1501">
        <v>1451</v>
      </c>
      <c r="H1501" s="15">
        <f t="shared" si="184"/>
        <v>3.3332641781299799E-2</v>
      </c>
      <c r="I1501">
        <f t="shared" si="185"/>
        <v>152.87182749760655</v>
      </c>
      <c r="J1501">
        <f t="shared" si="180"/>
        <v>492.51917074790413</v>
      </c>
      <c r="K1501" s="30">
        <f t="shared" si="181"/>
        <v>8085.9185008602844</v>
      </c>
    </row>
    <row r="1502" spans="1:11" x14ac:dyDescent="0.25">
      <c r="A1502" s="29">
        <v>1452</v>
      </c>
      <c r="B1502" s="99">
        <f t="shared" si="182"/>
        <v>0</v>
      </c>
      <c r="C1502" s="75">
        <f t="shared" si="186"/>
        <v>104.50616427295054</v>
      </c>
      <c r="D1502" s="100">
        <f t="shared" si="183"/>
        <v>445.77777777777789</v>
      </c>
      <c r="E1502">
        <f t="shared" si="179"/>
        <v>0</v>
      </c>
      <c r="G1502">
        <v>1452</v>
      </c>
      <c r="H1502" s="15">
        <f t="shared" si="184"/>
        <v>3.3332641781299799E-2</v>
      </c>
      <c r="I1502">
        <f t="shared" si="185"/>
        <v>152.90516013938785</v>
      </c>
      <c r="J1502">
        <f t="shared" si="180"/>
        <v>492.53430548813571</v>
      </c>
      <c r="K1502" s="30">
        <f t="shared" si="181"/>
        <v>8086.4152082802275</v>
      </c>
    </row>
    <row r="1503" spans="1:11" x14ac:dyDescent="0.25">
      <c r="A1503" s="29">
        <v>1453</v>
      </c>
      <c r="B1503" s="99">
        <f t="shared" si="182"/>
        <v>0</v>
      </c>
      <c r="C1503" s="75">
        <f t="shared" si="186"/>
        <v>104.50616427295054</v>
      </c>
      <c r="D1503" s="100">
        <f t="shared" si="183"/>
        <v>445.77777777777789</v>
      </c>
      <c r="E1503">
        <f t="shared" si="179"/>
        <v>0</v>
      </c>
      <c r="G1503">
        <v>1453</v>
      </c>
      <c r="H1503" s="15">
        <f t="shared" si="184"/>
        <v>3.3332641781299799E-2</v>
      </c>
      <c r="I1503">
        <f t="shared" si="185"/>
        <v>152.93849278116915</v>
      </c>
      <c r="J1503">
        <f t="shared" si="180"/>
        <v>492.54942555804774</v>
      </c>
      <c r="K1503" s="30">
        <f t="shared" si="181"/>
        <v>8086.9114493540992</v>
      </c>
    </row>
    <row r="1504" spans="1:11" x14ac:dyDescent="0.25">
      <c r="A1504" s="29">
        <v>1454</v>
      </c>
      <c r="B1504" s="99">
        <f t="shared" si="182"/>
        <v>0</v>
      </c>
      <c r="C1504" s="75">
        <f t="shared" si="186"/>
        <v>104.50616427295054</v>
      </c>
      <c r="D1504" s="100">
        <f t="shared" si="183"/>
        <v>445.77777777777789</v>
      </c>
      <c r="E1504">
        <f t="shared" si="179"/>
        <v>0</v>
      </c>
      <c r="G1504">
        <v>1454</v>
      </c>
      <c r="H1504" s="15">
        <f t="shared" si="184"/>
        <v>3.3332641781299799E-2</v>
      </c>
      <c r="I1504">
        <f t="shared" si="185"/>
        <v>152.97182542295045</v>
      </c>
      <c r="J1504">
        <f t="shared" si="180"/>
        <v>492.56453096492373</v>
      </c>
      <c r="K1504" s="30">
        <f t="shared" si="181"/>
        <v>8087.4072242765442</v>
      </c>
    </row>
    <row r="1505" spans="1:11" x14ac:dyDescent="0.25">
      <c r="A1505" s="29">
        <v>1455</v>
      </c>
      <c r="B1505" s="99">
        <f t="shared" si="182"/>
        <v>0</v>
      </c>
      <c r="C1505" s="75">
        <f t="shared" si="186"/>
        <v>104.50616427295054</v>
      </c>
      <c r="D1505" s="100">
        <f t="shared" si="183"/>
        <v>445.77777777777789</v>
      </c>
      <c r="E1505">
        <f t="shared" si="179"/>
        <v>0</v>
      </c>
      <c r="G1505">
        <v>1455</v>
      </c>
      <c r="H1505" s="15">
        <f t="shared" si="184"/>
        <v>3.3332641781299799E-2</v>
      </c>
      <c r="I1505">
        <f t="shared" si="185"/>
        <v>153.00515806473175</v>
      </c>
      <c r="J1505">
        <f t="shared" si="180"/>
        <v>492.57962171603515</v>
      </c>
      <c r="K1505" s="30">
        <f t="shared" si="181"/>
        <v>8087.9025332418896</v>
      </c>
    </row>
    <row r="1506" spans="1:11" x14ac:dyDescent="0.25">
      <c r="A1506" s="29">
        <v>1456</v>
      </c>
      <c r="B1506" s="99">
        <f t="shared" si="182"/>
        <v>0</v>
      </c>
      <c r="C1506" s="75">
        <f t="shared" si="186"/>
        <v>104.50616427295054</v>
      </c>
      <c r="D1506" s="100">
        <f t="shared" si="183"/>
        <v>445.77777777777789</v>
      </c>
      <c r="E1506">
        <f t="shared" si="179"/>
        <v>0</v>
      </c>
      <c r="G1506">
        <v>1456</v>
      </c>
      <c r="H1506" s="15">
        <f t="shared" si="184"/>
        <v>3.3332641781299799E-2</v>
      </c>
      <c r="I1506">
        <f t="shared" si="185"/>
        <v>153.03849070651304</v>
      </c>
      <c r="J1506">
        <f t="shared" si="180"/>
        <v>492.59469781864175</v>
      </c>
      <c r="K1506" s="30">
        <f t="shared" si="181"/>
        <v>8088.3973764441471</v>
      </c>
    </row>
    <row r="1507" spans="1:11" x14ac:dyDescent="0.25">
      <c r="A1507" s="29">
        <v>1457</v>
      </c>
      <c r="B1507" s="99">
        <f t="shared" si="182"/>
        <v>0</v>
      </c>
      <c r="C1507" s="75">
        <f t="shared" si="186"/>
        <v>104.50616427295054</v>
      </c>
      <c r="D1507" s="100">
        <f t="shared" si="183"/>
        <v>445.77777777777789</v>
      </c>
      <c r="E1507">
        <f t="shared" si="179"/>
        <v>0</v>
      </c>
      <c r="G1507">
        <v>1457</v>
      </c>
      <c r="H1507" s="15">
        <f t="shared" si="184"/>
        <v>3.3332641781299799E-2</v>
      </c>
      <c r="I1507">
        <f t="shared" si="185"/>
        <v>153.07182334829434</v>
      </c>
      <c r="J1507">
        <f t="shared" si="180"/>
        <v>492.60975927999147</v>
      </c>
      <c r="K1507" s="30">
        <f t="shared" si="181"/>
        <v>8088.8917540770117</v>
      </c>
    </row>
    <row r="1508" spans="1:11" x14ac:dyDescent="0.25">
      <c r="A1508" s="29">
        <v>1458</v>
      </c>
      <c r="B1508" s="99">
        <f t="shared" si="182"/>
        <v>0</v>
      </c>
      <c r="C1508" s="75">
        <f t="shared" si="186"/>
        <v>104.50616427295054</v>
      </c>
      <c r="D1508" s="100">
        <f t="shared" si="183"/>
        <v>445.77777777777789</v>
      </c>
      <c r="E1508">
        <f t="shared" si="179"/>
        <v>0</v>
      </c>
      <c r="G1508">
        <v>1458</v>
      </c>
      <c r="H1508" s="15">
        <f t="shared" si="184"/>
        <v>3.3332641781299799E-2</v>
      </c>
      <c r="I1508">
        <f t="shared" si="185"/>
        <v>153.10515599007564</v>
      </c>
      <c r="J1508">
        <f t="shared" si="180"/>
        <v>492.6248061073203</v>
      </c>
      <c r="K1508" s="30">
        <f t="shared" si="181"/>
        <v>8089.3856663338638</v>
      </c>
    </row>
    <row r="1509" spans="1:11" x14ac:dyDescent="0.25">
      <c r="A1509" s="29">
        <v>1459</v>
      </c>
      <c r="B1509" s="99">
        <f t="shared" si="182"/>
        <v>0</v>
      </c>
      <c r="C1509" s="75">
        <f t="shared" si="186"/>
        <v>104.50616427295054</v>
      </c>
      <c r="D1509" s="100">
        <f t="shared" si="183"/>
        <v>445.77777777777789</v>
      </c>
      <c r="E1509">
        <f t="shared" si="179"/>
        <v>0</v>
      </c>
      <c r="G1509">
        <v>1459</v>
      </c>
      <c r="H1509" s="15">
        <f t="shared" si="184"/>
        <v>3.3332641781299799E-2</v>
      </c>
      <c r="I1509">
        <f t="shared" si="185"/>
        <v>153.13848863185694</v>
      </c>
      <c r="J1509">
        <f t="shared" si="180"/>
        <v>492.63983830785259</v>
      </c>
      <c r="K1509" s="30">
        <f t="shared" si="181"/>
        <v>8089.8791134077628</v>
      </c>
    </row>
    <row r="1510" spans="1:11" x14ac:dyDescent="0.25">
      <c r="A1510" s="29">
        <v>1460</v>
      </c>
      <c r="B1510" s="99">
        <f t="shared" si="182"/>
        <v>0</v>
      </c>
      <c r="C1510" s="75">
        <f t="shared" si="186"/>
        <v>104.50616427295054</v>
      </c>
      <c r="D1510" s="100">
        <f t="shared" si="183"/>
        <v>445.77777777777789</v>
      </c>
      <c r="E1510">
        <f t="shared" si="179"/>
        <v>0</v>
      </c>
      <c r="G1510">
        <v>1460</v>
      </c>
      <c r="H1510" s="15">
        <f t="shared" si="184"/>
        <v>3.3332641781299799E-2</v>
      </c>
      <c r="I1510">
        <f t="shared" si="185"/>
        <v>153.17182127363824</v>
      </c>
      <c r="J1510">
        <f t="shared" si="180"/>
        <v>492.6548558888008</v>
      </c>
      <c r="K1510" s="30">
        <f t="shared" si="181"/>
        <v>8090.3720954914652</v>
      </c>
    </row>
    <row r="1511" spans="1:11" x14ac:dyDescent="0.25">
      <c r="A1511" s="29">
        <v>1461</v>
      </c>
      <c r="B1511" s="99">
        <f t="shared" si="182"/>
        <v>0</v>
      </c>
      <c r="C1511" s="75">
        <f t="shared" si="186"/>
        <v>104.50616427295054</v>
      </c>
      <c r="D1511" s="100">
        <f t="shared" si="183"/>
        <v>445.77777777777789</v>
      </c>
      <c r="E1511">
        <f t="shared" si="179"/>
        <v>0</v>
      </c>
      <c r="G1511">
        <v>1461</v>
      </c>
      <c r="H1511" s="15">
        <f t="shared" si="184"/>
        <v>3.3332641781299799E-2</v>
      </c>
      <c r="I1511">
        <f t="shared" si="185"/>
        <v>153.20515391541954</v>
      </c>
      <c r="J1511">
        <f t="shared" si="180"/>
        <v>492.66985885736574</v>
      </c>
      <c r="K1511" s="30">
        <f t="shared" si="181"/>
        <v>8090.8646127774009</v>
      </c>
    </row>
    <row r="1512" spans="1:11" x14ac:dyDescent="0.25">
      <c r="A1512" s="29">
        <v>1462</v>
      </c>
      <c r="B1512" s="99">
        <f t="shared" si="182"/>
        <v>0</v>
      </c>
      <c r="C1512" s="75">
        <f t="shared" si="186"/>
        <v>104.50616427295054</v>
      </c>
      <c r="D1512" s="100">
        <f t="shared" si="183"/>
        <v>445.77777777777789</v>
      </c>
      <c r="E1512">
        <f t="shared" si="179"/>
        <v>0</v>
      </c>
      <c r="G1512">
        <v>1462</v>
      </c>
      <c r="H1512" s="15">
        <f t="shared" si="184"/>
        <v>3.3332641781299799E-2</v>
      </c>
      <c r="I1512">
        <f t="shared" si="185"/>
        <v>153.23848655720084</v>
      </c>
      <c r="J1512">
        <f t="shared" si="180"/>
        <v>492.68484722073634</v>
      </c>
      <c r="K1512" s="30">
        <f t="shared" si="181"/>
        <v>8091.3566654576925</v>
      </c>
    </row>
    <row r="1513" spans="1:11" x14ac:dyDescent="0.25">
      <c r="A1513" s="29">
        <v>1463</v>
      </c>
      <c r="B1513" s="99">
        <f t="shared" si="182"/>
        <v>0</v>
      </c>
      <c r="C1513" s="75">
        <f t="shared" si="186"/>
        <v>104.50616427295054</v>
      </c>
      <c r="D1513" s="100">
        <f t="shared" si="183"/>
        <v>445.77777777777789</v>
      </c>
      <c r="E1513">
        <f t="shared" si="179"/>
        <v>0</v>
      </c>
      <c r="G1513">
        <v>1463</v>
      </c>
      <c r="H1513" s="15">
        <f t="shared" si="184"/>
        <v>3.3332641781299799E-2</v>
      </c>
      <c r="I1513">
        <f t="shared" si="185"/>
        <v>153.27181919898214</v>
      </c>
      <c r="J1513">
        <f t="shared" si="180"/>
        <v>492.69982098609</v>
      </c>
      <c r="K1513" s="30">
        <f t="shared" si="181"/>
        <v>8091.8482537241498</v>
      </c>
    </row>
    <row r="1514" spans="1:11" x14ac:dyDescent="0.25">
      <c r="A1514" s="29">
        <v>1464</v>
      </c>
      <c r="B1514" s="99">
        <f t="shared" si="182"/>
        <v>0</v>
      </c>
      <c r="C1514" s="75">
        <f t="shared" si="186"/>
        <v>104.50616427295054</v>
      </c>
      <c r="D1514" s="100">
        <f t="shared" si="183"/>
        <v>445.77777777777789</v>
      </c>
      <c r="E1514">
        <f t="shared" si="179"/>
        <v>0</v>
      </c>
      <c r="G1514">
        <v>1464</v>
      </c>
      <c r="H1514" s="15">
        <f t="shared" si="184"/>
        <v>3.3332641781299799E-2</v>
      </c>
      <c r="I1514">
        <f t="shared" si="185"/>
        <v>153.30515184076344</v>
      </c>
      <c r="J1514">
        <f t="shared" si="180"/>
        <v>492.71478016059234</v>
      </c>
      <c r="K1514" s="30">
        <f t="shared" si="181"/>
        <v>8092.3393777682722</v>
      </c>
    </row>
    <row r="1515" spans="1:11" x14ac:dyDescent="0.25">
      <c r="A1515" s="29">
        <v>1465</v>
      </c>
      <c r="B1515" s="99">
        <f t="shared" si="182"/>
        <v>0</v>
      </c>
      <c r="C1515" s="75">
        <f t="shared" si="186"/>
        <v>104.50616427295054</v>
      </c>
      <c r="D1515" s="100">
        <f t="shared" si="183"/>
        <v>445.77777777777789</v>
      </c>
      <c r="E1515">
        <f t="shared" si="179"/>
        <v>0</v>
      </c>
      <c r="G1515">
        <v>1465</v>
      </c>
      <c r="H1515" s="15">
        <f t="shared" si="184"/>
        <v>3.3332641781299799E-2</v>
      </c>
      <c r="I1515">
        <f t="shared" si="185"/>
        <v>153.33848448254474</v>
      </c>
      <c r="J1515">
        <f t="shared" si="180"/>
        <v>492.72972475139738</v>
      </c>
      <c r="K1515" s="30">
        <f t="shared" si="181"/>
        <v>8092.8300377812402</v>
      </c>
    </row>
    <row r="1516" spans="1:11" x14ac:dyDescent="0.25">
      <c r="A1516" s="29">
        <v>1466</v>
      </c>
      <c r="B1516" s="99">
        <f t="shared" si="182"/>
        <v>0</v>
      </c>
      <c r="C1516" s="75">
        <f t="shared" si="186"/>
        <v>104.50616427295054</v>
      </c>
      <c r="D1516" s="100">
        <f t="shared" si="183"/>
        <v>445.77777777777789</v>
      </c>
      <c r="E1516">
        <f t="shared" si="179"/>
        <v>0</v>
      </c>
      <c r="G1516">
        <v>1466</v>
      </c>
      <c r="H1516" s="15">
        <f t="shared" si="184"/>
        <v>3.3332641781299799E-2</v>
      </c>
      <c r="I1516">
        <f t="shared" si="185"/>
        <v>153.37181712432604</v>
      </c>
      <c r="J1516">
        <f t="shared" si="180"/>
        <v>492.74465476564734</v>
      </c>
      <c r="K1516" s="30">
        <f t="shared" si="181"/>
        <v>8093.3202339539312</v>
      </c>
    </row>
    <row r="1517" spans="1:11" x14ac:dyDescent="0.25">
      <c r="A1517" s="29">
        <v>1467</v>
      </c>
      <c r="B1517" s="99">
        <f t="shared" si="182"/>
        <v>0</v>
      </c>
      <c r="C1517" s="75">
        <f t="shared" si="186"/>
        <v>104.50616427295054</v>
      </c>
      <c r="D1517" s="100">
        <f t="shared" si="183"/>
        <v>445.77777777777789</v>
      </c>
      <c r="E1517">
        <f t="shared" si="179"/>
        <v>0</v>
      </c>
      <c r="G1517">
        <v>1467</v>
      </c>
      <c r="H1517" s="15">
        <f t="shared" si="184"/>
        <v>3.3332641781299799E-2</v>
      </c>
      <c r="I1517">
        <f t="shared" si="185"/>
        <v>153.40514976610734</v>
      </c>
      <c r="J1517">
        <f t="shared" si="180"/>
        <v>492.75957021047304</v>
      </c>
      <c r="K1517" s="30">
        <f t="shared" si="181"/>
        <v>8093.8099664769097</v>
      </c>
    </row>
    <row r="1518" spans="1:11" x14ac:dyDescent="0.25">
      <c r="A1518" s="29">
        <v>1468</v>
      </c>
      <c r="B1518" s="99">
        <f t="shared" si="182"/>
        <v>0</v>
      </c>
      <c r="C1518" s="75">
        <f t="shared" si="186"/>
        <v>104.50616427295054</v>
      </c>
      <c r="D1518" s="100">
        <f t="shared" si="183"/>
        <v>445.77777777777789</v>
      </c>
      <c r="E1518">
        <f t="shared" si="179"/>
        <v>0</v>
      </c>
      <c r="G1518">
        <v>1468</v>
      </c>
      <c r="H1518" s="15">
        <f t="shared" si="184"/>
        <v>3.3332641781299799E-2</v>
      </c>
      <c r="I1518">
        <f t="shared" si="185"/>
        <v>153.43848240788864</v>
      </c>
      <c r="J1518">
        <f t="shared" si="180"/>
        <v>492.77447109299351</v>
      </c>
      <c r="K1518" s="30">
        <f t="shared" si="181"/>
        <v>8094.2992355404276</v>
      </c>
    </row>
    <row r="1519" spans="1:11" x14ac:dyDescent="0.25">
      <c r="A1519" s="29">
        <v>1469</v>
      </c>
      <c r="B1519" s="99">
        <f t="shared" si="182"/>
        <v>0</v>
      </c>
      <c r="C1519" s="75">
        <f t="shared" si="186"/>
        <v>104.50616427295054</v>
      </c>
      <c r="D1519" s="100">
        <f t="shared" si="183"/>
        <v>445.77777777777789</v>
      </c>
      <c r="E1519">
        <f t="shared" si="179"/>
        <v>0</v>
      </c>
      <c r="G1519">
        <v>1469</v>
      </c>
      <c r="H1519" s="15">
        <f t="shared" si="184"/>
        <v>3.3332641781299799E-2</v>
      </c>
      <c r="I1519">
        <f t="shared" si="185"/>
        <v>153.47181504966994</v>
      </c>
      <c r="J1519">
        <f t="shared" si="180"/>
        <v>492.78935742031638</v>
      </c>
      <c r="K1519" s="30">
        <f t="shared" si="181"/>
        <v>8094.7880413344283</v>
      </c>
    </row>
    <row r="1520" spans="1:11" x14ac:dyDescent="0.25">
      <c r="A1520" s="29">
        <v>1470</v>
      </c>
      <c r="B1520" s="99">
        <f t="shared" si="182"/>
        <v>0</v>
      </c>
      <c r="C1520" s="75">
        <f t="shared" si="186"/>
        <v>104.50616427295054</v>
      </c>
      <c r="D1520" s="100">
        <f t="shared" si="183"/>
        <v>445.77777777777789</v>
      </c>
      <c r="E1520">
        <f t="shared" si="179"/>
        <v>0</v>
      </c>
      <c r="G1520">
        <v>1470</v>
      </c>
      <c r="H1520" s="15">
        <f t="shared" si="184"/>
        <v>3.3332641781299799E-2</v>
      </c>
      <c r="I1520">
        <f t="shared" si="185"/>
        <v>153.50514769145124</v>
      </c>
      <c r="J1520">
        <f t="shared" si="180"/>
        <v>492.80422919953747</v>
      </c>
      <c r="K1520" s="30">
        <f t="shared" si="181"/>
        <v>8095.2763840485486</v>
      </c>
    </row>
    <row r="1521" spans="1:11" x14ac:dyDescent="0.25">
      <c r="A1521" s="29">
        <v>1471</v>
      </c>
      <c r="B1521" s="99">
        <f t="shared" si="182"/>
        <v>0</v>
      </c>
      <c r="C1521" s="75">
        <f t="shared" si="186"/>
        <v>104.50616427295054</v>
      </c>
      <c r="D1521" s="100">
        <f t="shared" si="183"/>
        <v>445.77777777777789</v>
      </c>
      <c r="E1521">
        <f t="shared" si="179"/>
        <v>0</v>
      </c>
      <c r="G1521">
        <v>1471</v>
      </c>
      <c r="H1521" s="15">
        <f t="shared" si="184"/>
        <v>3.3332641781299799E-2</v>
      </c>
      <c r="I1521">
        <f t="shared" si="185"/>
        <v>153.53848033323254</v>
      </c>
      <c r="J1521">
        <f t="shared" si="180"/>
        <v>492.8190864377413</v>
      </c>
      <c r="K1521" s="30">
        <f t="shared" si="181"/>
        <v>8095.7642638721145</v>
      </c>
    </row>
    <row r="1522" spans="1:11" x14ac:dyDescent="0.25">
      <c r="A1522" s="29">
        <v>1472</v>
      </c>
      <c r="B1522" s="99">
        <f t="shared" si="182"/>
        <v>0</v>
      </c>
      <c r="C1522" s="75">
        <f t="shared" si="186"/>
        <v>104.50616427295054</v>
      </c>
      <c r="D1522" s="100">
        <f t="shared" si="183"/>
        <v>445.77777777777789</v>
      </c>
      <c r="E1522">
        <f t="shared" si="179"/>
        <v>0</v>
      </c>
      <c r="G1522">
        <v>1472</v>
      </c>
      <c r="H1522" s="15">
        <f t="shared" si="184"/>
        <v>3.3332641781299799E-2</v>
      </c>
      <c r="I1522">
        <f t="shared" si="185"/>
        <v>153.57181297501384</v>
      </c>
      <c r="J1522">
        <f t="shared" si="180"/>
        <v>492.83392914200073</v>
      </c>
      <c r="K1522" s="30">
        <f t="shared" si="181"/>
        <v>8096.2516809941435</v>
      </c>
    </row>
    <row r="1523" spans="1:11" x14ac:dyDescent="0.25">
      <c r="A1523" s="29">
        <v>1473</v>
      </c>
      <c r="B1523" s="99">
        <f t="shared" si="182"/>
        <v>0</v>
      </c>
      <c r="C1523" s="75">
        <f t="shared" si="186"/>
        <v>104.50616427295054</v>
      </c>
      <c r="D1523" s="100">
        <f t="shared" si="183"/>
        <v>445.77777777777789</v>
      </c>
      <c r="E1523">
        <f t="shared" ref="E1523:E1586" si="187">((D1523^2)+(D1523*D1524)+(D1524^2))*B1524/3</f>
        <v>0</v>
      </c>
      <c r="G1523">
        <v>1473</v>
      </c>
      <c r="H1523" s="15">
        <f t="shared" si="184"/>
        <v>3.3332641781299799E-2</v>
      </c>
      <c r="I1523">
        <f t="shared" si="185"/>
        <v>153.60514561679514</v>
      </c>
      <c r="J1523">
        <f t="shared" ref="J1523:J1586" si="188">IF($G$28&lt;$C$14,0,((($C$11^2)-((I1523-$C$13)^2))^0.5)+$C$16)</f>
        <v>492.84875731937723</v>
      </c>
      <c r="K1523" s="30">
        <f t="shared" ref="K1523:K1586" si="189">((J1523^2)+(J1523*J1524)+(J1524^2))*H1524/3</f>
        <v>8096.7386356033494</v>
      </c>
    </row>
    <row r="1524" spans="1:11" x14ac:dyDescent="0.25">
      <c r="A1524" s="29">
        <v>1474</v>
      </c>
      <c r="B1524" s="99">
        <f t="shared" ref="B1524:B1587" si="190">C1524-C1523</f>
        <v>0</v>
      </c>
      <c r="C1524" s="75">
        <f t="shared" si="186"/>
        <v>104.50616427295054</v>
      </c>
      <c r="D1524" s="100">
        <f t="shared" ref="D1524:D1587" si="191">IF($G$28&lt;$C$14,0,((($C$11^2)-((C1524-$C$13)^2))^0.5)+$C$16)</f>
        <v>445.77777777777789</v>
      </c>
      <c r="E1524">
        <f t="shared" si="187"/>
        <v>0</v>
      </c>
      <c r="G1524">
        <v>1474</v>
      </c>
      <c r="H1524" s="15">
        <f t="shared" ref="H1524:H1587" si="192">I1524-I1523</f>
        <v>3.3332641781299799E-2</v>
      </c>
      <c r="I1524">
        <f t="shared" ref="I1524:I1587" si="193">($G$27-$C$14)/2000+I1523</f>
        <v>153.63847825857644</v>
      </c>
      <c r="J1524">
        <f t="shared" si="188"/>
        <v>492.86357097692064</v>
      </c>
      <c r="K1524" s="30">
        <f t="shared" si="189"/>
        <v>8097.2251278881367</v>
      </c>
    </row>
    <row r="1525" spans="1:11" x14ac:dyDescent="0.25">
      <c r="A1525" s="29">
        <v>1475</v>
      </c>
      <c r="B1525" s="99">
        <f t="shared" si="190"/>
        <v>0</v>
      </c>
      <c r="C1525" s="75">
        <f t="shared" si="186"/>
        <v>104.50616427295054</v>
      </c>
      <c r="D1525" s="100">
        <f t="shared" si="191"/>
        <v>445.77777777777789</v>
      </c>
      <c r="E1525">
        <f t="shared" si="187"/>
        <v>0</v>
      </c>
      <c r="G1525">
        <v>1475</v>
      </c>
      <c r="H1525" s="15">
        <f t="shared" si="192"/>
        <v>3.3332641781299799E-2</v>
      </c>
      <c r="I1525">
        <f t="shared" si="193"/>
        <v>153.67181090035774</v>
      </c>
      <c r="J1525">
        <f t="shared" si="188"/>
        <v>492.87837012166949</v>
      </c>
      <c r="K1525" s="30">
        <f t="shared" si="189"/>
        <v>8097.7111580366027</v>
      </c>
    </row>
    <row r="1526" spans="1:11" x14ac:dyDescent="0.25">
      <c r="A1526" s="29">
        <v>1476</v>
      </c>
      <c r="B1526" s="99">
        <f t="shared" si="190"/>
        <v>0</v>
      </c>
      <c r="C1526" s="75">
        <f t="shared" si="186"/>
        <v>104.50616427295054</v>
      </c>
      <c r="D1526" s="100">
        <f t="shared" si="191"/>
        <v>445.77777777777789</v>
      </c>
      <c r="E1526">
        <f t="shared" si="187"/>
        <v>0</v>
      </c>
      <c r="G1526">
        <v>1476</v>
      </c>
      <c r="H1526" s="15">
        <f t="shared" si="192"/>
        <v>3.3332641781299799E-2</v>
      </c>
      <c r="I1526">
        <f t="shared" si="193"/>
        <v>153.70514354213904</v>
      </c>
      <c r="J1526">
        <f t="shared" si="188"/>
        <v>492.89315476065076</v>
      </c>
      <c r="K1526" s="30">
        <f t="shared" si="189"/>
        <v>8098.1967262365433</v>
      </c>
    </row>
    <row r="1527" spans="1:11" x14ac:dyDescent="0.25">
      <c r="A1527" s="29">
        <v>1477</v>
      </c>
      <c r="B1527" s="99">
        <f t="shared" si="190"/>
        <v>0</v>
      </c>
      <c r="C1527" s="75">
        <f t="shared" si="186"/>
        <v>104.50616427295054</v>
      </c>
      <c r="D1527" s="100">
        <f t="shared" si="191"/>
        <v>445.77777777777789</v>
      </c>
      <c r="E1527">
        <f t="shared" si="187"/>
        <v>0</v>
      </c>
      <c r="G1527">
        <v>1477</v>
      </c>
      <c r="H1527" s="15">
        <f t="shared" si="192"/>
        <v>3.3332641781299799E-2</v>
      </c>
      <c r="I1527">
        <f t="shared" si="193"/>
        <v>153.73847618392034</v>
      </c>
      <c r="J1527">
        <f t="shared" si="188"/>
        <v>492.90792490088018</v>
      </c>
      <c r="K1527" s="30">
        <f t="shared" si="189"/>
        <v>8098.6818326754437</v>
      </c>
    </row>
    <row r="1528" spans="1:11" x14ac:dyDescent="0.25">
      <c r="A1528" s="29">
        <v>1478</v>
      </c>
      <c r="B1528" s="99">
        <f t="shared" si="190"/>
        <v>0</v>
      </c>
      <c r="C1528" s="75">
        <f t="shared" si="186"/>
        <v>104.50616427295054</v>
      </c>
      <c r="D1528" s="100">
        <f t="shared" si="191"/>
        <v>445.77777777777789</v>
      </c>
      <c r="E1528">
        <f t="shared" si="187"/>
        <v>0</v>
      </c>
      <c r="G1528">
        <v>1478</v>
      </c>
      <c r="H1528" s="15">
        <f t="shared" si="192"/>
        <v>3.3332641781299799E-2</v>
      </c>
      <c r="I1528">
        <f t="shared" si="193"/>
        <v>153.77180882570164</v>
      </c>
      <c r="J1528">
        <f t="shared" si="188"/>
        <v>492.92268054936181</v>
      </c>
      <c r="K1528" s="30">
        <f t="shared" si="189"/>
        <v>8099.166477540487</v>
      </c>
    </row>
    <row r="1529" spans="1:11" x14ac:dyDescent="0.25">
      <c r="A1529" s="29">
        <v>1479</v>
      </c>
      <c r="B1529" s="99">
        <f t="shared" si="190"/>
        <v>0</v>
      </c>
      <c r="C1529" s="75">
        <f t="shared" si="186"/>
        <v>104.50616427295054</v>
      </c>
      <c r="D1529" s="100">
        <f t="shared" si="191"/>
        <v>445.77777777777789</v>
      </c>
      <c r="E1529">
        <f t="shared" si="187"/>
        <v>0</v>
      </c>
      <c r="G1529">
        <v>1479</v>
      </c>
      <c r="H1529" s="15">
        <f t="shared" si="192"/>
        <v>3.3332641781299799E-2</v>
      </c>
      <c r="I1529">
        <f t="shared" si="193"/>
        <v>153.80514146748294</v>
      </c>
      <c r="J1529">
        <f t="shared" si="188"/>
        <v>492.93742171308861</v>
      </c>
      <c r="K1529" s="30">
        <f t="shared" si="189"/>
        <v>8099.650661018557</v>
      </c>
    </row>
    <row r="1530" spans="1:11" x14ac:dyDescent="0.25">
      <c r="A1530" s="29">
        <v>1480</v>
      </c>
      <c r="B1530" s="99">
        <f t="shared" si="190"/>
        <v>0</v>
      </c>
      <c r="C1530" s="75">
        <f t="shared" si="186"/>
        <v>104.50616427295054</v>
      </c>
      <c r="D1530" s="100">
        <f t="shared" si="191"/>
        <v>445.77777777777789</v>
      </c>
      <c r="E1530">
        <f t="shared" si="187"/>
        <v>0</v>
      </c>
      <c r="G1530">
        <v>1480</v>
      </c>
      <c r="H1530" s="15">
        <f t="shared" si="192"/>
        <v>3.3332641781299799E-2</v>
      </c>
      <c r="I1530">
        <f t="shared" si="193"/>
        <v>153.83847410926424</v>
      </c>
      <c r="J1530">
        <f t="shared" si="188"/>
        <v>492.95214839904207</v>
      </c>
      <c r="K1530" s="30">
        <f t="shared" si="189"/>
        <v>8100.1343832962275</v>
      </c>
    </row>
    <row r="1531" spans="1:11" x14ac:dyDescent="0.25">
      <c r="A1531" s="29">
        <v>1481</v>
      </c>
      <c r="B1531" s="99">
        <f t="shared" si="190"/>
        <v>0</v>
      </c>
      <c r="C1531" s="75">
        <f t="shared" si="186"/>
        <v>104.50616427295054</v>
      </c>
      <c r="D1531" s="100">
        <f t="shared" si="191"/>
        <v>445.77777777777789</v>
      </c>
      <c r="E1531">
        <f t="shared" si="187"/>
        <v>0</v>
      </c>
      <c r="G1531">
        <v>1481</v>
      </c>
      <c r="H1531" s="15">
        <f t="shared" si="192"/>
        <v>3.3332641781299799E-2</v>
      </c>
      <c r="I1531">
        <f t="shared" si="193"/>
        <v>153.87180675104554</v>
      </c>
      <c r="J1531">
        <f t="shared" si="188"/>
        <v>492.96686061419229</v>
      </c>
      <c r="K1531" s="30">
        <f t="shared" si="189"/>
        <v>8100.6176445597703</v>
      </c>
    </row>
    <row r="1532" spans="1:11" x14ac:dyDescent="0.25">
      <c r="A1532" s="29">
        <v>1482</v>
      </c>
      <c r="B1532" s="99">
        <f t="shared" si="190"/>
        <v>0</v>
      </c>
      <c r="C1532" s="75">
        <f t="shared" si="186"/>
        <v>104.50616427295054</v>
      </c>
      <c r="D1532" s="100">
        <f t="shared" si="191"/>
        <v>445.77777777777789</v>
      </c>
      <c r="E1532">
        <f t="shared" si="187"/>
        <v>0</v>
      </c>
      <c r="G1532">
        <v>1482</v>
      </c>
      <c r="H1532" s="15">
        <f t="shared" si="192"/>
        <v>3.3332641781299799E-2</v>
      </c>
      <c r="I1532">
        <f t="shared" si="193"/>
        <v>153.90513939282684</v>
      </c>
      <c r="J1532">
        <f t="shared" si="188"/>
        <v>492.98155836549807</v>
      </c>
      <c r="K1532" s="30">
        <f t="shared" si="189"/>
        <v>8101.100444995157</v>
      </c>
    </row>
    <row r="1533" spans="1:11" x14ac:dyDescent="0.25">
      <c r="A1533" s="29">
        <v>1483</v>
      </c>
      <c r="B1533" s="99">
        <f t="shared" si="190"/>
        <v>0</v>
      </c>
      <c r="C1533" s="75">
        <f t="shared" si="186"/>
        <v>104.50616427295054</v>
      </c>
      <c r="D1533" s="100">
        <f t="shared" si="191"/>
        <v>445.77777777777789</v>
      </c>
      <c r="E1533">
        <f t="shared" si="187"/>
        <v>0</v>
      </c>
      <c r="G1533">
        <v>1483</v>
      </c>
      <c r="H1533" s="15">
        <f t="shared" si="192"/>
        <v>3.3332641781299799E-2</v>
      </c>
      <c r="I1533">
        <f t="shared" si="193"/>
        <v>153.93847203460814</v>
      </c>
      <c r="J1533">
        <f t="shared" si="188"/>
        <v>492.99624165990701</v>
      </c>
      <c r="K1533" s="30">
        <f t="shared" si="189"/>
        <v>8101.5827847880564</v>
      </c>
    </row>
    <row r="1534" spans="1:11" x14ac:dyDescent="0.25">
      <c r="A1534" s="29">
        <v>1484</v>
      </c>
      <c r="B1534" s="99">
        <f t="shared" si="190"/>
        <v>0</v>
      </c>
      <c r="C1534" s="75">
        <f t="shared" si="186"/>
        <v>104.50616427295054</v>
      </c>
      <c r="D1534" s="100">
        <f t="shared" si="191"/>
        <v>445.77777777777789</v>
      </c>
      <c r="E1534">
        <f t="shared" si="187"/>
        <v>0</v>
      </c>
      <c r="G1534">
        <v>1484</v>
      </c>
      <c r="H1534" s="15">
        <f t="shared" si="192"/>
        <v>3.3332641781299799E-2</v>
      </c>
      <c r="I1534">
        <f t="shared" si="193"/>
        <v>153.97180467638944</v>
      </c>
      <c r="J1534">
        <f t="shared" si="188"/>
        <v>493.01091050435542</v>
      </c>
      <c r="K1534" s="30">
        <f t="shared" si="189"/>
        <v>8102.0646641238345</v>
      </c>
    </row>
    <row r="1535" spans="1:11" x14ac:dyDescent="0.25">
      <c r="A1535" s="29">
        <v>1485</v>
      </c>
      <c r="B1535" s="99">
        <f t="shared" si="190"/>
        <v>0</v>
      </c>
      <c r="C1535" s="75">
        <f t="shared" si="186"/>
        <v>104.50616427295054</v>
      </c>
      <c r="D1535" s="100">
        <f t="shared" si="191"/>
        <v>445.77777777777789</v>
      </c>
      <c r="E1535">
        <f t="shared" si="187"/>
        <v>0</v>
      </c>
      <c r="G1535">
        <v>1485</v>
      </c>
      <c r="H1535" s="15">
        <f t="shared" si="192"/>
        <v>3.3332641781299799E-2</v>
      </c>
      <c r="I1535">
        <f t="shared" si="193"/>
        <v>154.00513731817074</v>
      </c>
      <c r="J1535">
        <f t="shared" si="188"/>
        <v>493.02556490576819</v>
      </c>
      <c r="K1535" s="30">
        <f t="shared" si="189"/>
        <v>8102.5460831875616</v>
      </c>
    </row>
    <row r="1536" spans="1:11" x14ac:dyDescent="0.25">
      <c r="A1536" s="29">
        <v>1486</v>
      </c>
      <c r="B1536" s="99">
        <f t="shared" si="190"/>
        <v>0</v>
      </c>
      <c r="C1536" s="75">
        <f t="shared" si="186"/>
        <v>104.50616427295054</v>
      </c>
      <c r="D1536" s="100">
        <f t="shared" si="191"/>
        <v>445.77777777777789</v>
      </c>
      <c r="E1536">
        <f t="shared" si="187"/>
        <v>0</v>
      </c>
      <c r="G1536">
        <v>1486</v>
      </c>
      <c r="H1536" s="15">
        <f t="shared" si="192"/>
        <v>3.3332641781299799E-2</v>
      </c>
      <c r="I1536">
        <f t="shared" si="193"/>
        <v>154.03846995995204</v>
      </c>
      <c r="J1536">
        <f t="shared" si="188"/>
        <v>493.04020487105919</v>
      </c>
      <c r="K1536" s="30">
        <f t="shared" si="189"/>
        <v>8103.0270421640025</v>
      </c>
    </row>
    <row r="1537" spans="1:11" x14ac:dyDescent="0.25">
      <c r="A1537" s="29">
        <v>1487</v>
      </c>
      <c r="B1537" s="99">
        <f t="shared" si="190"/>
        <v>0</v>
      </c>
      <c r="C1537" s="75">
        <f t="shared" si="186"/>
        <v>104.50616427295054</v>
      </c>
      <c r="D1537" s="100">
        <f t="shared" si="191"/>
        <v>445.77777777777789</v>
      </c>
      <c r="E1537">
        <f t="shared" si="187"/>
        <v>0</v>
      </c>
      <c r="G1537">
        <v>1487</v>
      </c>
      <c r="H1537" s="15">
        <f t="shared" si="192"/>
        <v>3.3332641781299799E-2</v>
      </c>
      <c r="I1537">
        <f t="shared" si="193"/>
        <v>154.07180260173334</v>
      </c>
      <c r="J1537">
        <f t="shared" si="188"/>
        <v>493.05483040713091</v>
      </c>
      <c r="K1537" s="30">
        <f t="shared" si="189"/>
        <v>8103.5075412376236</v>
      </c>
    </row>
    <row r="1538" spans="1:11" x14ac:dyDescent="0.25">
      <c r="A1538" s="29">
        <v>1488</v>
      </c>
      <c r="B1538" s="99">
        <f t="shared" si="190"/>
        <v>0</v>
      </c>
      <c r="C1538" s="75">
        <f t="shared" si="186"/>
        <v>104.50616427295054</v>
      </c>
      <c r="D1538" s="100">
        <f t="shared" si="191"/>
        <v>445.77777777777789</v>
      </c>
      <c r="E1538">
        <f t="shared" si="187"/>
        <v>0</v>
      </c>
      <c r="G1538">
        <v>1488</v>
      </c>
      <c r="H1538" s="15">
        <f t="shared" si="192"/>
        <v>3.3332641781299799E-2</v>
      </c>
      <c r="I1538">
        <f t="shared" si="193"/>
        <v>154.10513524351464</v>
      </c>
      <c r="J1538">
        <f t="shared" si="188"/>
        <v>493.06944152087476</v>
      </c>
      <c r="K1538" s="30">
        <f t="shared" si="189"/>
        <v>8103.9875805925922</v>
      </c>
    </row>
    <row r="1539" spans="1:11" x14ac:dyDescent="0.25">
      <c r="A1539" s="29">
        <v>1489</v>
      </c>
      <c r="B1539" s="99">
        <f t="shared" si="190"/>
        <v>0</v>
      </c>
      <c r="C1539" s="75">
        <f t="shared" si="186"/>
        <v>104.50616427295054</v>
      </c>
      <c r="D1539" s="100">
        <f t="shared" si="191"/>
        <v>445.77777777777789</v>
      </c>
      <c r="E1539">
        <f t="shared" si="187"/>
        <v>0</v>
      </c>
      <c r="G1539">
        <v>1489</v>
      </c>
      <c r="H1539" s="15">
        <f t="shared" si="192"/>
        <v>3.3332641781299799E-2</v>
      </c>
      <c r="I1539">
        <f t="shared" si="193"/>
        <v>154.13846788529594</v>
      </c>
      <c r="J1539">
        <f t="shared" si="188"/>
        <v>493.08403821917085</v>
      </c>
      <c r="K1539" s="30">
        <f t="shared" si="189"/>
        <v>8104.467160412777</v>
      </c>
    </row>
    <row r="1540" spans="1:11" x14ac:dyDescent="0.25">
      <c r="A1540" s="29">
        <v>1490</v>
      </c>
      <c r="B1540" s="99">
        <f t="shared" si="190"/>
        <v>0</v>
      </c>
      <c r="C1540" s="75">
        <f t="shared" si="186"/>
        <v>104.50616427295054</v>
      </c>
      <c r="D1540" s="100">
        <f t="shared" si="191"/>
        <v>445.77777777777789</v>
      </c>
      <c r="E1540">
        <f t="shared" si="187"/>
        <v>0</v>
      </c>
      <c r="G1540">
        <v>1490</v>
      </c>
      <c r="H1540" s="15">
        <f t="shared" si="192"/>
        <v>3.3332641781299799E-2</v>
      </c>
      <c r="I1540">
        <f t="shared" si="193"/>
        <v>154.17180052707724</v>
      </c>
      <c r="J1540">
        <f t="shared" si="188"/>
        <v>493.09862050888825</v>
      </c>
      <c r="K1540" s="30">
        <f t="shared" si="189"/>
        <v>8104.9462808817507</v>
      </c>
    </row>
    <row r="1541" spans="1:11" x14ac:dyDescent="0.25">
      <c r="A1541" s="29">
        <v>1491</v>
      </c>
      <c r="B1541" s="99">
        <f t="shared" si="190"/>
        <v>0</v>
      </c>
      <c r="C1541" s="75">
        <f t="shared" si="186"/>
        <v>104.50616427295054</v>
      </c>
      <c r="D1541" s="100">
        <f t="shared" si="191"/>
        <v>445.77777777777789</v>
      </c>
      <c r="E1541">
        <f t="shared" si="187"/>
        <v>0</v>
      </c>
      <c r="G1541">
        <v>1491</v>
      </c>
      <c r="H1541" s="15">
        <f t="shared" si="192"/>
        <v>3.3332641781299799E-2</v>
      </c>
      <c r="I1541">
        <f t="shared" si="193"/>
        <v>154.20513316885854</v>
      </c>
      <c r="J1541">
        <f t="shared" si="188"/>
        <v>493.11318839688488</v>
      </c>
      <c r="K1541" s="30">
        <f t="shared" si="189"/>
        <v>8105.4249421827844</v>
      </c>
    </row>
    <row r="1542" spans="1:11" x14ac:dyDescent="0.25">
      <c r="A1542" s="29">
        <v>1492</v>
      </c>
      <c r="B1542" s="99">
        <f t="shared" si="190"/>
        <v>0</v>
      </c>
      <c r="C1542" s="75">
        <f t="shared" si="186"/>
        <v>104.50616427295054</v>
      </c>
      <c r="D1542" s="100">
        <f t="shared" si="191"/>
        <v>445.77777777777789</v>
      </c>
      <c r="E1542">
        <f t="shared" si="187"/>
        <v>0</v>
      </c>
      <c r="G1542">
        <v>1492</v>
      </c>
      <c r="H1542" s="15">
        <f t="shared" si="192"/>
        <v>3.3332641781299799E-2</v>
      </c>
      <c r="I1542">
        <f t="shared" si="193"/>
        <v>154.23846581063984</v>
      </c>
      <c r="J1542">
        <f t="shared" si="188"/>
        <v>493.12774189000743</v>
      </c>
      <c r="K1542" s="30">
        <f t="shared" si="189"/>
        <v>8105.9031444988532</v>
      </c>
    </row>
    <row r="1543" spans="1:11" x14ac:dyDescent="0.25">
      <c r="A1543" s="29">
        <v>1493</v>
      </c>
      <c r="B1543" s="99">
        <f t="shared" si="190"/>
        <v>0</v>
      </c>
      <c r="C1543" s="75">
        <f t="shared" si="186"/>
        <v>104.50616427295054</v>
      </c>
      <c r="D1543" s="100">
        <f t="shared" si="191"/>
        <v>445.77777777777789</v>
      </c>
      <c r="E1543">
        <f t="shared" si="187"/>
        <v>0</v>
      </c>
      <c r="G1543">
        <v>1493</v>
      </c>
      <c r="H1543" s="15">
        <f t="shared" si="192"/>
        <v>3.3332641781299799E-2</v>
      </c>
      <c r="I1543">
        <f t="shared" si="193"/>
        <v>154.27179845242114</v>
      </c>
      <c r="J1543">
        <f t="shared" si="188"/>
        <v>493.1422809950916</v>
      </c>
      <c r="K1543" s="30">
        <f t="shared" si="189"/>
        <v>8106.3808880126408</v>
      </c>
    </row>
    <row r="1544" spans="1:11" x14ac:dyDescent="0.25">
      <c r="A1544" s="29">
        <v>1494</v>
      </c>
      <c r="B1544" s="99">
        <f t="shared" si="190"/>
        <v>0</v>
      </c>
      <c r="C1544" s="75">
        <f t="shared" si="186"/>
        <v>104.50616427295054</v>
      </c>
      <c r="D1544" s="100">
        <f t="shared" si="191"/>
        <v>445.77777777777789</v>
      </c>
      <c r="E1544">
        <f t="shared" si="187"/>
        <v>0</v>
      </c>
      <c r="G1544">
        <v>1494</v>
      </c>
      <c r="H1544" s="15">
        <f t="shared" si="192"/>
        <v>3.3332641781299799E-2</v>
      </c>
      <c r="I1544">
        <f t="shared" si="193"/>
        <v>154.30513109420244</v>
      </c>
      <c r="J1544">
        <f t="shared" si="188"/>
        <v>493.15680571896206</v>
      </c>
      <c r="K1544" s="30">
        <f t="shared" si="189"/>
        <v>8106.8581729065263</v>
      </c>
    </row>
    <row r="1545" spans="1:11" x14ac:dyDescent="0.25">
      <c r="A1545" s="29">
        <v>1495</v>
      </c>
      <c r="B1545" s="99">
        <f t="shared" si="190"/>
        <v>0</v>
      </c>
      <c r="C1545" s="75">
        <f t="shared" si="186"/>
        <v>104.50616427295054</v>
      </c>
      <c r="D1545" s="100">
        <f t="shared" si="191"/>
        <v>445.77777777777789</v>
      </c>
      <c r="E1545">
        <f t="shared" si="187"/>
        <v>0</v>
      </c>
      <c r="G1545">
        <v>1495</v>
      </c>
      <c r="H1545" s="15">
        <f t="shared" si="192"/>
        <v>3.3332641781299799E-2</v>
      </c>
      <c r="I1545">
        <f t="shared" si="193"/>
        <v>154.33846373598374</v>
      </c>
      <c r="J1545">
        <f t="shared" si="188"/>
        <v>493.17131606843225</v>
      </c>
      <c r="K1545" s="30">
        <f t="shared" si="189"/>
        <v>8107.3349993625998</v>
      </c>
    </row>
    <row r="1546" spans="1:11" x14ac:dyDescent="0.25">
      <c r="A1546" s="29">
        <v>1496</v>
      </c>
      <c r="B1546" s="99">
        <f t="shared" si="190"/>
        <v>0</v>
      </c>
      <c r="C1546" s="75">
        <f t="shared" si="186"/>
        <v>104.50616427295054</v>
      </c>
      <c r="D1546" s="100">
        <f t="shared" si="191"/>
        <v>445.77777777777789</v>
      </c>
      <c r="E1546">
        <f t="shared" si="187"/>
        <v>0</v>
      </c>
      <c r="G1546">
        <v>1496</v>
      </c>
      <c r="H1546" s="15">
        <f t="shared" si="192"/>
        <v>3.3332641781299799E-2</v>
      </c>
      <c r="I1546">
        <f t="shared" si="193"/>
        <v>154.37179637776504</v>
      </c>
      <c r="J1546">
        <f t="shared" si="188"/>
        <v>493.18581205030466</v>
      </c>
      <c r="K1546" s="30">
        <f t="shared" si="189"/>
        <v>8107.8113675626519</v>
      </c>
    </row>
    <row r="1547" spans="1:11" x14ac:dyDescent="0.25">
      <c r="A1547" s="29">
        <v>1497</v>
      </c>
      <c r="B1547" s="99">
        <f t="shared" si="190"/>
        <v>0</v>
      </c>
      <c r="C1547" s="75">
        <f t="shared" si="186"/>
        <v>104.50616427295054</v>
      </c>
      <c r="D1547" s="100">
        <f t="shared" si="191"/>
        <v>445.77777777777789</v>
      </c>
      <c r="E1547">
        <f t="shared" si="187"/>
        <v>0</v>
      </c>
      <c r="G1547">
        <v>1497</v>
      </c>
      <c r="H1547" s="15">
        <f t="shared" si="192"/>
        <v>3.3332641781299799E-2</v>
      </c>
      <c r="I1547">
        <f t="shared" si="193"/>
        <v>154.40512901954634</v>
      </c>
      <c r="J1547">
        <f t="shared" si="188"/>
        <v>493.20029367137079</v>
      </c>
      <c r="K1547" s="30">
        <f t="shared" si="189"/>
        <v>8108.287277688185</v>
      </c>
    </row>
    <row r="1548" spans="1:11" x14ac:dyDescent="0.25">
      <c r="A1548" s="29">
        <v>1498</v>
      </c>
      <c r="B1548" s="99">
        <f t="shared" si="190"/>
        <v>0</v>
      </c>
      <c r="C1548" s="75">
        <f t="shared" si="186"/>
        <v>104.50616427295054</v>
      </c>
      <c r="D1548" s="100">
        <f t="shared" si="191"/>
        <v>445.77777777777789</v>
      </c>
      <c r="E1548">
        <f t="shared" si="187"/>
        <v>0</v>
      </c>
      <c r="G1548">
        <v>1498</v>
      </c>
      <c r="H1548" s="15">
        <f t="shared" si="192"/>
        <v>3.3332641781299799E-2</v>
      </c>
      <c r="I1548">
        <f t="shared" si="193"/>
        <v>154.43846166132764</v>
      </c>
      <c r="J1548">
        <f t="shared" si="188"/>
        <v>493.21476093841113</v>
      </c>
      <c r="K1548" s="30">
        <f t="shared" si="189"/>
        <v>8108.7627299203996</v>
      </c>
    </row>
    <row r="1549" spans="1:11" x14ac:dyDescent="0.25">
      <c r="A1549" s="29">
        <v>1499</v>
      </c>
      <c r="B1549" s="99">
        <f t="shared" si="190"/>
        <v>0</v>
      </c>
      <c r="C1549" s="75">
        <f t="shared" si="186"/>
        <v>104.50616427295054</v>
      </c>
      <c r="D1549" s="100">
        <f t="shared" si="191"/>
        <v>445.77777777777789</v>
      </c>
      <c r="E1549">
        <f t="shared" si="187"/>
        <v>0</v>
      </c>
      <c r="G1549">
        <v>1499</v>
      </c>
      <c r="H1549" s="15">
        <f t="shared" si="192"/>
        <v>3.3332641781299799E-2</v>
      </c>
      <c r="I1549">
        <f t="shared" si="193"/>
        <v>154.47179430310894</v>
      </c>
      <c r="J1549">
        <f t="shared" si="188"/>
        <v>493.22921385819507</v>
      </c>
      <c r="K1549" s="30">
        <f t="shared" si="189"/>
        <v>8109.2377244402078</v>
      </c>
    </row>
    <row r="1550" spans="1:11" x14ac:dyDescent="0.25">
      <c r="A1550" s="29">
        <v>1500</v>
      </c>
      <c r="B1550" s="99">
        <f t="shared" si="190"/>
        <v>0</v>
      </c>
      <c r="C1550" s="75">
        <f t="shared" si="186"/>
        <v>104.50616427295054</v>
      </c>
      <c r="D1550" s="100">
        <f t="shared" si="191"/>
        <v>445.77777777777789</v>
      </c>
      <c r="E1550">
        <f t="shared" si="187"/>
        <v>0</v>
      </c>
      <c r="G1550">
        <v>1500</v>
      </c>
      <c r="H1550" s="15">
        <f t="shared" si="192"/>
        <v>3.3332641781299799E-2</v>
      </c>
      <c r="I1550">
        <f t="shared" si="193"/>
        <v>154.50512694489024</v>
      </c>
      <c r="J1550">
        <f t="shared" si="188"/>
        <v>493.24365243748127</v>
      </c>
      <c r="K1550" s="30">
        <f t="shared" si="189"/>
        <v>8109.7122614282271</v>
      </c>
    </row>
    <row r="1551" spans="1:11" x14ac:dyDescent="0.25">
      <c r="A1551" s="29">
        <v>1501</v>
      </c>
      <c r="B1551" s="99">
        <f t="shared" si="190"/>
        <v>0</v>
      </c>
      <c r="C1551" s="75">
        <f t="shared" si="186"/>
        <v>104.50616427295054</v>
      </c>
      <c r="D1551" s="100">
        <f t="shared" si="191"/>
        <v>445.77777777777789</v>
      </c>
      <c r="E1551">
        <f t="shared" si="187"/>
        <v>0</v>
      </c>
      <c r="G1551">
        <v>1501</v>
      </c>
      <c r="H1551" s="15">
        <f t="shared" si="192"/>
        <v>3.3332641781299799E-2</v>
      </c>
      <c r="I1551">
        <f t="shared" si="193"/>
        <v>154.53845958667154</v>
      </c>
      <c r="J1551">
        <f t="shared" si="188"/>
        <v>493.25807668301724</v>
      </c>
      <c r="K1551" s="30">
        <f t="shared" si="189"/>
        <v>8110.1863410647829</v>
      </c>
    </row>
    <row r="1552" spans="1:11" x14ac:dyDescent="0.25">
      <c r="A1552" s="29">
        <v>1502</v>
      </c>
      <c r="B1552" s="99">
        <f t="shared" si="190"/>
        <v>0</v>
      </c>
      <c r="C1552" s="75">
        <f t="shared" ref="C1552:C1615" si="194">($C$37-$C$36)/2000+C1551</f>
        <v>104.50616427295054</v>
      </c>
      <c r="D1552" s="100">
        <f t="shared" si="191"/>
        <v>445.77777777777789</v>
      </c>
      <c r="E1552">
        <f t="shared" si="187"/>
        <v>0</v>
      </c>
      <c r="G1552">
        <v>1502</v>
      </c>
      <c r="H1552" s="15">
        <f t="shared" si="192"/>
        <v>3.3332641781299799E-2</v>
      </c>
      <c r="I1552">
        <f t="shared" si="193"/>
        <v>154.57179222845284</v>
      </c>
      <c r="J1552">
        <f t="shared" si="188"/>
        <v>493.27248660153964</v>
      </c>
      <c r="K1552" s="30">
        <f t="shared" si="189"/>
        <v>8110.6599635299108</v>
      </c>
    </row>
    <row r="1553" spans="1:11" x14ac:dyDescent="0.25">
      <c r="A1553" s="29">
        <v>1503</v>
      </c>
      <c r="B1553" s="99">
        <f t="shared" si="190"/>
        <v>0</v>
      </c>
      <c r="C1553" s="75">
        <f t="shared" si="194"/>
        <v>104.50616427295054</v>
      </c>
      <c r="D1553" s="100">
        <f t="shared" si="191"/>
        <v>445.77777777777789</v>
      </c>
      <c r="E1553">
        <f t="shared" si="187"/>
        <v>0</v>
      </c>
      <c r="G1553">
        <v>1503</v>
      </c>
      <c r="H1553" s="15">
        <f t="shared" si="192"/>
        <v>3.3332641781299799E-2</v>
      </c>
      <c r="I1553">
        <f t="shared" si="193"/>
        <v>154.60512487023414</v>
      </c>
      <c r="J1553">
        <f t="shared" si="188"/>
        <v>493.28688219977425</v>
      </c>
      <c r="K1553" s="30">
        <f t="shared" si="189"/>
        <v>8111.1331290033522</v>
      </c>
    </row>
    <row r="1554" spans="1:11" x14ac:dyDescent="0.25">
      <c r="A1554" s="29">
        <v>1504</v>
      </c>
      <c r="B1554" s="99">
        <f t="shared" si="190"/>
        <v>0</v>
      </c>
      <c r="C1554" s="75">
        <f t="shared" si="194"/>
        <v>104.50616427295054</v>
      </c>
      <c r="D1554" s="100">
        <f t="shared" si="191"/>
        <v>445.77777777777789</v>
      </c>
      <c r="E1554">
        <f t="shared" si="187"/>
        <v>0</v>
      </c>
      <c r="G1554">
        <v>1504</v>
      </c>
      <c r="H1554" s="15">
        <f t="shared" si="192"/>
        <v>3.3332641781299799E-2</v>
      </c>
      <c r="I1554">
        <f t="shared" si="193"/>
        <v>154.63845751201544</v>
      </c>
      <c r="J1554">
        <f t="shared" si="188"/>
        <v>493.30126348443588</v>
      </c>
      <c r="K1554" s="30">
        <f t="shared" si="189"/>
        <v>8111.6058376645551</v>
      </c>
    </row>
    <row r="1555" spans="1:11" x14ac:dyDescent="0.25">
      <c r="A1555" s="29">
        <v>1505</v>
      </c>
      <c r="B1555" s="99">
        <f t="shared" si="190"/>
        <v>0</v>
      </c>
      <c r="C1555" s="75">
        <f t="shared" si="194"/>
        <v>104.50616427295054</v>
      </c>
      <c r="D1555" s="100">
        <f t="shared" si="191"/>
        <v>445.77777777777789</v>
      </c>
      <c r="E1555">
        <f t="shared" si="187"/>
        <v>0</v>
      </c>
      <c r="G1555">
        <v>1505</v>
      </c>
      <c r="H1555" s="15">
        <f t="shared" si="192"/>
        <v>3.3332641781299799E-2</v>
      </c>
      <c r="I1555">
        <f t="shared" si="193"/>
        <v>154.67179015379674</v>
      </c>
      <c r="J1555">
        <f t="shared" si="188"/>
        <v>493.31563046222851</v>
      </c>
      <c r="K1555" s="30">
        <f t="shared" si="189"/>
        <v>8112.0780896926817</v>
      </c>
    </row>
    <row r="1556" spans="1:11" x14ac:dyDescent="0.25">
      <c r="A1556" s="29">
        <v>1506</v>
      </c>
      <c r="B1556" s="99">
        <f t="shared" si="190"/>
        <v>0</v>
      </c>
      <c r="C1556" s="75">
        <f t="shared" si="194"/>
        <v>104.50616427295054</v>
      </c>
      <c r="D1556" s="100">
        <f t="shared" si="191"/>
        <v>445.77777777777789</v>
      </c>
      <c r="E1556">
        <f t="shared" si="187"/>
        <v>0</v>
      </c>
      <c r="G1556">
        <v>1506</v>
      </c>
      <c r="H1556" s="15">
        <f t="shared" si="192"/>
        <v>3.3332641781299799E-2</v>
      </c>
      <c r="I1556">
        <f t="shared" si="193"/>
        <v>154.70512279557803</v>
      </c>
      <c r="J1556">
        <f t="shared" si="188"/>
        <v>493.32998313984535</v>
      </c>
      <c r="K1556" s="30">
        <f t="shared" si="189"/>
        <v>8112.549885266606</v>
      </c>
    </row>
    <row r="1557" spans="1:11" x14ac:dyDescent="0.25">
      <c r="A1557" s="29">
        <v>1507</v>
      </c>
      <c r="B1557" s="99">
        <f t="shared" si="190"/>
        <v>0</v>
      </c>
      <c r="C1557" s="75">
        <f t="shared" si="194"/>
        <v>104.50616427295054</v>
      </c>
      <c r="D1557" s="100">
        <f t="shared" si="191"/>
        <v>445.77777777777789</v>
      </c>
      <c r="E1557">
        <f t="shared" si="187"/>
        <v>0</v>
      </c>
      <c r="G1557">
        <v>1507</v>
      </c>
      <c r="H1557" s="15">
        <f t="shared" si="192"/>
        <v>3.3332641781299799E-2</v>
      </c>
      <c r="I1557">
        <f t="shared" si="193"/>
        <v>154.73845543735933</v>
      </c>
      <c r="J1557">
        <f t="shared" si="188"/>
        <v>493.34432152396869</v>
      </c>
      <c r="K1557" s="30">
        <f t="shared" si="189"/>
        <v>8113.0212245649045</v>
      </c>
    </row>
    <row r="1558" spans="1:11" x14ac:dyDescent="0.25">
      <c r="A1558" s="29">
        <v>1508</v>
      </c>
      <c r="B1558" s="99">
        <f t="shared" si="190"/>
        <v>0</v>
      </c>
      <c r="C1558" s="75">
        <f t="shared" si="194"/>
        <v>104.50616427295054</v>
      </c>
      <c r="D1558" s="100">
        <f t="shared" si="191"/>
        <v>445.77777777777789</v>
      </c>
      <c r="E1558">
        <f t="shared" si="187"/>
        <v>0</v>
      </c>
      <c r="G1558">
        <v>1508</v>
      </c>
      <c r="H1558" s="15">
        <f t="shared" si="192"/>
        <v>3.3332641781299799E-2</v>
      </c>
      <c r="I1558">
        <f t="shared" si="193"/>
        <v>154.77178807914063</v>
      </c>
      <c r="J1558">
        <f t="shared" si="188"/>
        <v>493.35864562127006</v>
      </c>
      <c r="K1558" s="30">
        <f t="shared" si="189"/>
        <v>8113.4921077658755</v>
      </c>
    </row>
    <row r="1559" spans="1:11" x14ac:dyDescent="0.25">
      <c r="A1559" s="29">
        <v>1509</v>
      </c>
      <c r="B1559" s="99">
        <f t="shared" si="190"/>
        <v>0</v>
      </c>
      <c r="C1559" s="75">
        <f t="shared" si="194"/>
        <v>104.50616427295054</v>
      </c>
      <c r="D1559" s="100">
        <f t="shared" si="191"/>
        <v>445.77777777777789</v>
      </c>
      <c r="E1559">
        <f t="shared" si="187"/>
        <v>0</v>
      </c>
      <c r="G1559">
        <v>1509</v>
      </c>
      <c r="H1559" s="15">
        <f t="shared" si="192"/>
        <v>3.3332641781299799E-2</v>
      </c>
      <c r="I1559">
        <f t="shared" si="193"/>
        <v>154.80512072092193</v>
      </c>
      <c r="J1559">
        <f t="shared" si="188"/>
        <v>493.37295543841014</v>
      </c>
      <c r="K1559" s="30">
        <f t="shared" si="189"/>
        <v>8113.962535047518</v>
      </c>
    </row>
    <row r="1560" spans="1:11" x14ac:dyDescent="0.25">
      <c r="A1560" s="29">
        <v>1510</v>
      </c>
      <c r="B1560" s="99">
        <f t="shared" si="190"/>
        <v>0</v>
      </c>
      <c r="C1560" s="75">
        <f t="shared" si="194"/>
        <v>104.50616427295054</v>
      </c>
      <c r="D1560" s="100">
        <f t="shared" si="191"/>
        <v>445.77777777777789</v>
      </c>
      <c r="E1560">
        <f t="shared" si="187"/>
        <v>0</v>
      </c>
      <c r="G1560">
        <v>1510</v>
      </c>
      <c r="H1560" s="15">
        <f t="shared" si="192"/>
        <v>3.3332641781299799E-2</v>
      </c>
      <c r="I1560">
        <f t="shared" si="193"/>
        <v>154.83845336270323</v>
      </c>
      <c r="J1560">
        <f t="shared" si="188"/>
        <v>493.38725098203889</v>
      </c>
      <c r="K1560" s="30">
        <f t="shared" si="189"/>
        <v>8114.4325065875482</v>
      </c>
    </row>
    <row r="1561" spans="1:11" x14ac:dyDescent="0.25">
      <c r="A1561" s="29">
        <v>1511</v>
      </c>
      <c r="B1561" s="99">
        <f t="shared" si="190"/>
        <v>0</v>
      </c>
      <c r="C1561" s="75">
        <f t="shared" si="194"/>
        <v>104.50616427295054</v>
      </c>
      <c r="D1561" s="100">
        <f t="shared" si="191"/>
        <v>445.77777777777789</v>
      </c>
      <c r="E1561">
        <f t="shared" si="187"/>
        <v>0</v>
      </c>
      <c r="G1561">
        <v>1511</v>
      </c>
      <c r="H1561" s="15">
        <f t="shared" si="192"/>
        <v>3.3332641781299799E-2</v>
      </c>
      <c r="I1561">
        <f t="shared" si="193"/>
        <v>154.87178600448453</v>
      </c>
      <c r="J1561">
        <f t="shared" si="188"/>
        <v>493.40153225879544</v>
      </c>
      <c r="K1561" s="30">
        <f t="shared" si="189"/>
        <v>8114.9020225633976</v>
      </c>
    </row>
    <row r="1562" spans="1:11" x14ac:dyDescent="0.25">
      <c r="A1562" s="29">
        <v>1512</v>
      </c>
      <c r="B1562" s="99">
        <f t="shared" si="190"/>
        <v>0</v>
      </c>
      <c r="C1562" s="75">
        <f t="shared" si="194"/>
        <v>104.50616427295054</v>
      </c>
      <c r="D1562" s="100">
        <f t="shared" si="191"/>
        <v>445.77777777777789</v>
      </c>
      <c r="E1562">
        <f t="shared" si="187"/>
        <v>0</v>
      </c>
      <c r="G1562">
        <v>1512</v>
      </c>
      <c r="H1562" s="15">
        <f t="shared" si="192"/>
        <v>3.3332641781299799E-2</v>
      </c>
      <c r="I1562">
        <f t="shared" si="193"/>
        <v>154.90511864626583</v>
      </c>
      <c r="J1562">
        <f t="shared" si="188"/>
        <v>493.41579927530825</v>
      </c>
      <c r="K1562" s="30">
        <f t="shared" si="189"/>
        <v>8115.3710831522067</v>
      </c>
    </row>
    <row r="1563" spans="1:11" x14ac:dyDescent="0.25">
      <c r="A1563" s="29">
        <v>1513</v>
      </c>
      <c r="B1563" s="99">
        <f t="shared" si="190"/>
        <v>0</v>
      </c>
      <c r="C1563" s="75">
        <f t="shared" si="194"/>
        <v>104.50616427295054</v>
      </c>
      <c r="D1563" s="100">
        <f t="shared" si="191"/>
        <v>445.77777777777789</v>
      </c>
      <c r="E1563">
        <f t="shared" si="187"/>
        <v>0</v>
      </c>
      <c r="G1563">
        <v>1513</v>
      </c>
      <c r="H1563" s="15">
        <f t="shared" si="192"/>
        <v>3.3332641781299799E-2</v>
      </c>
      <c r="I1563">
        <f t="shared" si="193"/>
        <v>154.93845128804713</v>
      </c>
      <c r="J1563">
        <f t="shared" si="188"/>
        <v>493.43005203819513</v>
      </c>
      <c r="K1563" s="30">
        <f t="shared" si="189"/>
        <v>8115.8396885308312</v>
      </c>
    </row>
    <row r="1564" spans="1:11" x14ac:dyDescent="0.25">
      <c r="A1564" s="29">
        <v>1514</v>
      </c>
      <c r="B1564" s="99">
        <f t="shared" si="190"/>
        <v>0</v>
      </c>
      <c r="C1564" s="75">
        <f t="shared" si="194"/>
        <v>104.50616427295054</v>
      </c>
      <c r="D1564" s="100">
        <f t="shared" si="191"/>
        <v>445.77777777777789</v>
      </c>
      <c r="E1564">
        <f t="shared" si="187"/>
        <v>0</v>
      </c>
      <c r="G1564">
        <v>1514</v>
      </c>
      <c r="H1564" s="15">
        <f t="shared" si="192"/>
        <v>3.3332641781299799E-2</v>
      </c>
      <c r="I1564">
        <f t="shared" si="193"/>
        <v>154.97178392982843</v>
      </c>
      <c r="J1564">
        <f t="shared" si="188"/>
        <v>493.44429055406306</v>
      </c>
      <c r="K1564" s="30">
        <f t="shared" si="189"/>
        <v>8116.3078388758404</v>
      </c>
    </row>
    <row r="1565" spans="1:11" x14ac:dyDescent="0.25">
      <c r="A1565" s="29">
        <v>1515</v>
      </c>
      <c r="B1565" s="99">
        <f t="shared" si="190"/>
        <v>0</v>
      </c>
      <c r="C1565" s="75">
        <f t="shared" si="194"/>
        <v>104.50616427295054</v>
      </c>
      <c r="D1565" s="100">
        <f t="shared" si="191"/>
        <v>445.77777777777789</v>
      </c>
      <c r="E1565">
        <f t="shared" si="187"/>
        <v>0</v>
      </c>
      <c r="G1565">
        <v>1515</v>
      </c>
      <c r="H1565" s="15">
        <f t="shared" si="192"/>
        <v>3.3332641781299799E-2</v>
      </c>
      <c r="I1565">
        <f t="shared" si="193"/>
        <v>155.00511657160973</v>
      </c>
      <c r="J1565">
        <f t="shared" si="188"/>
        <v>493.45851482950832</v>
      </c>
      <c r="K1565" s="30">
        <f t="shared" si="189"/>
        <v>8116.7755343635181</v>
      </c>
    </row>
    <row r="1566" spans="1:11" x14ac:dyDescent="0.25">
      <c r="A1566" s="29">
        <v>1516</v>
      </c>
      <c r="B1566" s="99">
        <f t="shared" si="190"/>
        <v>0</v>
      </c>
      <c r="C1566" s="75">
        <f t="shared" si="194"/>
        <v>104.50616427295054</v>
      </c>
      <c r="D1566" s="100">
        <f t="shared" si="191"/>
        <v>445.77777777777789</v>
      </c>
      <c r="E1566">
        <f t="shared" si="187"/>
        <v>0</v>
      </c>
      <c r="G1566">
        <v>1516</v>
      </c>
      <c r="H1566" s="15">
        <f t="shared" si="192"/>
        <v>3.3332641781299799E-2</v>
      </c>
      <c r="I1566">
        <f t="shared" si="193"/>
        <v>155.03844921339103</v>
      </c>
      <c r="J1566">
        <f t="shared" si="188"/>
        <v>493.47272487111667</v>
      </c>
      <c r="K1566" s="30">
        <f t="shared" si="189"/>
        <v>8117.2427751698642</v>
      </c>
    </row>
    <row r="1567" spans="1:11" x14ac:dyDescent="0.25">
      <c r="A1567" s="29">
        <v>1517</v>
      </c>
      <c r="B1567" s="99">
        <f t="shared" si="190"/>
        <v>0</v>
      </c>
      <c r="C1567" s="75">
        <f t="shared" si="194"/>
        <v>104.50616427295054</v>
      </c>
      <c r="D1567" s="100">
        <f t="shared" si="191"/>
        <v>445.77777777777789</v>
      </c>
      <c r="E1567">
        <f t="shared" si="187"/>
        <v>0</v>
      </c>
      <c r="G1567">
        <v>1517</v>
      </c>
      <c r="H1567" s="15">
        <f t="shared" si="192"/>
        <v>3.3332641781299799E-2</v>
      </c>
      <c r="I1567">
        <f t="shared" si="193"/>
        <v>155.07178185517233</v>
      </c>
      <c r="J1567">
        <f t="shared" si="188"/>
        <v>493.48692068546313</v>
      </c>
      <c r="K1567" s="30">
        <f t="shared" si="189"/>
        <v>8117.7095614705931</v>
      </c>
    </row>
    <row r="1568" spans="1:11" x14ac:dyDescent="0.25">
      <c r="A1568" s="29">
        <v>1518</v>
      </c>
      <c r="B1568" s="99">
        <f t="shared" si="190"/>
        <v>0</v>
      </c>
      <c r="C1568" s="75">
        <f t="shared" si="194"/>
        <v>104.50616427295054</v>
      </c>
      <c r="D1568" s="100">
        <f t="shared" si="191"/>
        <v>445.77777777777789</v>
      </c>
      <c r="E1568">
        <f t="shared" si="187"/>
        <v>0</v>
      </c>
      <c r="G1568">
        <v>1518</v>
      </c>
      <c r="H1568" s="15">
        <f t="shared" si="192"/>
        <v>3.3332641781299799E-2</v>
      </c>
      <c r="I1568">
        <f t="shared" si="193"/>
        <v>155.10511449695363</v>
      </c>
      <c r="J1568">
        <f t="shared" si="188"/>
        <v>493.5011022791121</v>
      </c>
      <c r="K1568" s="30">
        <f t="shared" si="189"/>
        <v>8118.1758934411337</v>
      </c>
    </row>
    <row r="1569" spans="1:11" x14ac:dyDescent="0.25">
      <c r="A1569" s="29">
        <v>1519</v>
      </c>
      <c r="B1569" s="99">
        <f t="shared" si="190"/>
        <v>0</v>
      </c>
      <c r="C1569" s="75">
        <f t="shared" si="194"/>
        <v>104.50616427295054</v>
      </c>
      <c r="D1569" s="100">
        <f t="shared" si="191"/>
        <v>445.77777777777789</v>
      </c>
      <c r="E1569">
        <f t="shared" si="187"/>
        <v>0</v>
      </c>
      <c r="G1569">
        <v>1519</v>
      </c>
      <c r="H1569" s="15">
        <f t="shared" si="192"/>
        <v>3.3332641781299799E-2</v>
      </c>
      <c r="I1569">
        <f t="shared" si="193"/>
        <v>155.13844713873493</v>
      </c>
      <c r="J1569">
        <f t="shared" si="188"/>
        <v>493.51526965861746</v>
      </c>
      <c r="K1569" s="30">
        <f t="shared" si="189"/>
        <v>8118.6417712566372</v>
      </c>
    </row>
    <row r="1570" spans="1:11" x14ac:dyDescent="0.25">
      <c r="A1570" s="29">
        <v>1520</v>
      </c>
      <c r="B1570" s="99">
        <f t="shared" si="190"/>
        <v>0</v>
      </c>
      <c r="C1570" s="75">
        <f t="shared" si="194"/>
        <v>104.50616427295054</v>
      </c>
      <c r="D1570" s="100">
        <f t="shared" si="191"/>
        <v>445.77777777777789</v>
      </c>
      <c r="E1570">
        <f t="shared" si="187"/>
        <v>0</v>
      </c>
      <c r="G1570">
        <v>1520</v>
      </c>
      <c r="H1570" s="15">
        <f t="shared" si="192"/>
        <v>3.3332641781299799E-2</v>
      </c>
      <c r="I1570">
        <f t="shared" si="193"/>
        <v>155.17177978051623</v>
      </c>
      <c r="J1570">
        <f t="shared" si="188"/>
        <v>493.52942283052232</v>
      </c>
      <c r="K1570" s="30">
        <f t="shared" si="189"/>
        <v>8119.1071950919641</v>
      </c>
    </row>
    <row r="1571" spans="1:11" x14ac:dyDescent="0.25">
      <c r="A1571" s="29">
        <v>1521</v>
      </c>
      <c r="B1571" s="99">
        <f t="shared" si="190"/>
        <v>0</v>
      </c>
      <c r="C1571" s="75">
        <f t="shared" si="194"/>
        <v>104.50616427295054</v>
      </c>
      <c r="D1571" s="100">
        <f t="shared" si="191"/>
        <v>445.77777777777789</v>
      </c>
      <c r="E1571">
        <f t="shared" si="187"/>
        <v>0</v>
      </c>
      <c r="G1571">
        <v>1521</v>
      </c>
      <c r="H1571" s="15">
        <f t="shared" si="192"/>
        <v>3.3332641781299799E-2</v>
      </c>
      <c r="I1571">
        <f t="shared" si="193"/>
        <v>155.20511242229753</v>
      </c>
      <c r="J1571">
        <f t="shared" si="188"/>
        <v>493.54356180135937</v>
      </c>
      <c r="K1571" s="30">
        <f t="shared" si="189"/>
        <v>8119.5721651216991</v>
      </c>
    </row>
    <row r="1572" spans="1:11" x14ac:dyDescent="0.25">
      <c r="A1572" s="29">
        <v>1522</v>
      </c>
      <c r="B1572" s="99">
        <f t="shared" si="190"/>
        <v>0</v>
      </c>
      <c r="C1572" s="75">
        <f t="shared" si="194"/>
        <v>104.50616427295054</v>
      </c>
      <c r="D1572" s="100">
        <f t="shared" si="191"/>
        <v>445.77777777777789</v>
      </c>
      <c r="E1572">
        <f t="shared" si="187"/>
        <v>0</v>
      </c>
      <c r="G1572">
        <v>1522</v>
      </c>
      <c r="H1572" s="15">
        <f t="shared" si="192"/>
        <v>3.3332641781299799E-2</v>
      </c>
      <c r="I1572">
        <f t="shared" si="193"/>
        <v>155.23844506407883</v>
      </c>
      <c r="J1572">
        <f t="shared" si="188"/>
        <v>493.55768657765077</v>
      </c>
      <c r="K1572" s="30">
        <f t="shared" si="189"/>
        <v>8120.0366815201387</v>
      </c>
    </row>
    <row r="1573" spans="1:11" x14ac:dyDescent="0.25">
      <c r="A1573" s="29">
        <v>1523</v>
      </c>
      <c r="B1573" s="99">
        <f t="shared" si="190"/>
        <v>0</v>
      </c>
      <c r="C1573" s="75">
        <f t="shared" si="194"/>
        <v>104.50616427295054</v>
      </c>
      <c r="D1573" s="100">
        <f t="shared" si="191"/>
        <v>445.77777777777789</v>
      </c>
      <c r="E1573">
        <f t="shared" si="187"/>
        <v>0</v>
      </c>
      <c r="G1573">
        <v>1523</v>
      </c>
      <c r="H1573" s="15">
        <f t="shared" si="192"/>
        <v>3.3332641781299799E-2</v>
      </c>
      <c r="I1573">
        <f t="shared" si="193"/>
        <v>155.27177770586013</v>
      </c>
      <c r="J1573">
        <f t="shared" si="188"/>
        <v>493.57179716590798</v>
      </c>
      <c r="K1573" s="30">
        <f t="shared" si="189"/>
        <v>8120.5007444613038</v>
      </c>
    </row>
    <row r="1574" spans="1:11" x14ac:dyDescent="0.25">
      <c r="A1574" s="29">
        <v>1524</v>
      </c>
      <c r="B1574" s="99">
        <f t="shared" si="190"/>
        <v>0</v>
      </c>
      <c r="C1574" s="75">
        <f t="shared" si="194"/>
        <v>104.50616427295054</v>
      </c>
      <c r="D1574" s="100">
        <f t="shared" si="191"/>
        <v>445.77777777777789</v>
      </c>
      <c r="E1574">
        <f t="shared" si="187"/>
        <v>0</v>
      </c>
      <c r="G1574">
        <v>1524</v>
      </c>
      <c r="H1574" s="15">
        <f t="shared" si="192"/>
        <v>3.3332641781299799E-2</v>
      </c>
      <c r="I1574">
        <f t="shared" si="193"/>
        <v>155.30511034764143</v>
      </c>
      <c r="J1574">
        <f t="shared" si="188"/>
        <v>493.58589357263207</v>
      </c>
      <c r="K1574" s="30">
        <f t="shared" si="189"/>
        <v>8120.9643541189289</v>
      </c>
    </row>
    <row r="1575" spans="1:11" x14ac:dyDescent="0.25">
      <c r="A1575" s="29">
        <v>1525</v>
      </c>
      <c r="B1575" s="99">
        <f t="shared" si="190"/>
        <v>0</v>
      </c>
      <c r="C1575" s="75">
        <f t="shared" si="194"/>
        <v>104.50616427295054</v>
      </c>
      <c r="D1575" s="100">
        <f t="shared" si="191"/>
        <v>445.77777777777789</v>
      </c>
      <c r="E1575">
        <f t="shared" si="187"/>
        <v>0</v>
      </c>
      <c r="G1575">
        <v>1525</v>
      </c>
      <c r="H1575" s="15">
        <f t="shared" si="192"/>
        <v>3.3332641781299799E-2</v>
      </c>
      <c r="I1575">
        <f t="shared" si="193"/>
        <v>155.33844298942273</v>
      </c>
      <c r="J1575">
        <f t="shared" si="188"/>
        <v>493.5999758043136</v>
      </c>
      <c r="K1575" s="30">
        <f t="shared" si="189"/>
        <v>8121.4275106664745</v>
      </c>
    </row>
    <row r="1576" spans="1:11" x14ac:dyDescent="0.25">
      <c r="A1576" s="29">
        <v>1526</v>
      </c>
      <c r="B1576" s="99">
        <f t="shared" si="190"/>
        <v>0</v>
      </c>
      <c r="C1576" s="75">
        <f t="shared" si="194"/>
        <v>104.50616427295054</v>
      </c>
      <c r="D1576" s="100">
        <f t="shared" si="191"/>
        <v>445.77777777777789</v>
      </c>
      <c r="E1576">
        <f t="shared" si="187"/>
        <v>0</v>
      </c>
      <c r="G1576">
        <v>1526</v>
      </c>
      <c r="H1576" s="15">
        <f t="shared" si="192"/>
        <v>3.3332641781299799E-2</v>
      </c>
      <c r="I1576">
        <f t="shared" si="193"/>
        <v>155.37177563120403</v>
      </c>
      <c r="J1576">
        <f t="shared" si="188"/>
        <v>493.61404386743266</v>
      </c>
      <c r="K1576" s="30">
        <f t="shared" si="189"/>
        <v>8121.8902142771149</v>
      </c>
    </row>
    <row r="1577" spans="1:11" x14ac:dyDescent="0.25">
      <c r="A1577" s="29">
        <v>1527</v>
      </c>
      <c r="B1577" s="99">
        <f t="shared" si="190"/>
        <v>0</v>
      </c>
      <c r="C1577" s="75">
        <f t="shared" si="194"/>
        <v>104.50616427295054</v>
      </c>
      <c r="D1577" s="100">
        <f t="shared" si="191"/>
        <v>445.77777777777789</v>
      </c>
      <c r="E1577">
        <f t="shared" si="187"/>
        <v>0</v>
      </c>
      <c r="G1577">
        <v>1527</v>
      </c>
      <c r="H1577" s="15">
        <f t="shared" si="192"/>
        <v>3.3332641781299799E-2</v>
      </c>
      <c r="I1577">
        <f t="shared" si="193"/>
        <v>155.40510827298533</v>
      </c>
      <c r="J1577">
        <f t="shared" si="188"/>
        <v>493.62809776845876</v>
      </c>
      <c r="K1577" s="30">
        <f t="shared" si="189"/>
        <v>8122.3524651237449</v>
      </c>
    </row>
    <row r="1578" spans="1:11" x14ac:dyDescent="0.25">
      <c r="A1578" s="29">
        <v>1528</v>
      </c>
      <c r="B1578" s="99">
        <f t="shared" si="190"/>
        <v>0</v>
      </c>
      <c r="C1578" s="75">
        <f t="shared" si="194"/>
        <v>104.50616427295054</v>
      </c>
      <c r="D1578" s="100">
        <f t="shared" si="191"/>
        <v>445.77777777777789</v>
      </c>
      <c r="E1578">
        <f t="shared" si="187"/>
        <v>0</v>
      </c>
      <c r="G1578">
        <v>1528</v>
      </c>
      <c r="H1578" s="15">
        <f t="shared" si="192"/>
        <v>3.3332641781299799E-2</v>
      </c>
      <c r="I1578">
        <f t="shared" si="193"/>
        <v>155.43844091476663</v>
      </c>
      <c r="J1578">
        <f t="shared" si="188"/>
        <v>493.64213751385114</v>
      </c>
      <c r="K1578" s="30">
        <f t="shared" si="189"/>
        <v>8122.8142633789867</v>
      </c>
    </row>
    <row r="1579" spans="1:11" x14ac:dyDescent="0.25">
      <c r="A1579" s="29">
        <v>1529</v>
      </c>
      <c r="B1579" s="99">
        <f t="shared" si="190"/>
        <v>0</v>
      </c>
      <c r="C1579" s="75">
        <f t="shared" si="194"/>
        <v>104.50616427295054</v>
      </c>
      <c r="D1579" s="100">
        <f t="shared" si="191"/>
        <v>445.77777777777789</v>
      </c>
      <c r="E1579">
        <f t="shared" si="187"/>
        <v>0</v>
      </c>
      <c r="G1579">
        <v>1529</v>
      </c>
      <c r="H1579" s="15">
        <f t="shared" si="192"/>
        <v>3.3332641781299799E-2</v>
      </c>
      <c r="I1579">
        <f t="shared" si="193"/>
        <v>155.47177355654793</v>
      </c>
      <c r="J1579">
        <f t="shared" si="188"/>
        <v>493.65616311005851</v>
      </c>
      <c r="K1579" s="30">
        <f t="shared" si="189"/>
        <v>8123.2756092151785</v>
      </c>
    </row>
    <row r="1580" spans="1:11" x14ac:dyDescent="0.25">
      <c r="A1580" s="29">
        <v>1530</v>
      </c>
      <c r="B1580" s="99">
        <f t="shared" si="190"/>
        <v>0</v>
      </c>
      <c r="C1580" s="75">
        <f t="shared" si="194"/>
        <v>104.50616427295054</v>
      </c>
      <c r="D1580" s="100">
        <f t="shared" si="191"/>
        <v>445.77777777777789</v>
      </c>
      <c r="E1580">
        <f t="shared" si="187"/>
        <v>0</v>
      </c>
      <c r="G1580">
        <v>1530</v>
      </c>
      <c r="H1580" s="15">
        <f t="shared" si="192"/>
        <v>3.3332641781299799E-2</v>
      </c>
      <c r="I1580">
        <f t="shared" si="193"/>
        <v>155.50510619832923</v>
      </c>
      <c r="J1580">
        <f t="shared" si="188"/>
        <v>493.67017456351914</v>
      </c>
      <c r="K1580" s="30">
        <f t="shared" si="189"/>
        <v>8123.7365028043778</v>
      </c>
    </row>
    <row r="1581" spans="1:11" x14ac:dyDescent="0.25">
      <c r="A1581" s="29">
        <v>1531</v>
      </c>
      <c r="B1581" s="99">
        <f t="shared" si="190"/>
        <v>0</v>
      </c>
      <c r="C1581" s="75">
        <f t="shared" si="194"/>
        <v>104.50616427295054</v>
      </c>
      <c r="D1581" s="100">
        <f t="shared" si="191"/>
        <v>445.77777777777789</v>
      </c>
      <c r="E1581">
        <f t="shared" si="187"/>
        <v>0</v>
      </c>
      <c r="G1581">
        <v>1531</v>
      </c>
      <c r="H1581" s="15">
        <f t="shared" si="192"/>
        <v>3.3332641781299799E-2</v>
      </c>
      <c r="I1581">
        <f t="shared" si="193"/>
        <v>155.53843884011053</v>
      </c>
      <c r="J1581">
        <f t="shared" si="188"/>
        <v>493.68417188066098</v>
      </c>
      <c r="K1581" s="30">
        <f t="shared" si="189"/>
        <v>8124.1969443183707</v>
      </c>
    </row>
    <row r="1582" spans="1:11" x14ac:dyDescent="0.25">
      <c r="A1582" s="29">
        <v>1532</v>
      </c>
      <c r="B1582" s="99">
        <f t="shared" si="190"/>
        <v>0</v>
      </c>
      <c r="C1582" s="75">
        <f t="shared" si="194"/>
        <v>104.50616427295054</v>
      </c>
      <c r="D1582" s="100">
        <f t="shared" si="191"/>
        <v>445.77777777777789</v>
      </c>
      <c r="E1582">
        <f t="shared" si="187"/>
        <v>0</v>
      </c>
      <c r="G1582">
        <v>1532</v>
      </c>
      <c r="H1582" s="15">
        <f t="shared" si="192"/>
        <v>3.3332641781299799E-2</v>
      </c>
      <c r="I1582">
        <f t="shared" si="193"/>
        <v>155.57177148189183</v>
      </c>
      <c r="J1582">
        <f t="shared" si="188"/>
        <v>493.69815506790161</v>
      </c>
      <c r="K1582" s="30">
        <f t="shared" si="189"/>
        <v>8124.6569339286625</v>
      </c>
    </row>
    <row r="1583" spans="1:11" x14ac:dyDescent="0.25">
      <c r="A1583" s="29">
        <v>1533</v>
      </c>
      <c r="B1583" s="99">
        <f t="shared" si="190"/>
        <v>0</v>
      </c>
      <c r="C1583" s="75">
        <f t="shared" si="194"/>
        <v>104.50616427295054</v>
      </c>
      <c r="D1583" s="100">
        <f t="shared" si="191"/>
        <v>445.77777777777789</v>
      </c>
      <c r="E1583">
        <f t="shared" si="187"/>
        <v>0</v>
      </c>
      <c r="G1583">
        <v>1533</v>
      </c>
      <c r="H1583" s="15">
        <f t="shared" si="192"/>
        <v>3.3332641781299799E-2</v>
      </c>
      <c r="I1583">
        <f t="shared" si="193"/>
        <v>155.60510412367313</v>
      </c>
      <c r="J1583">
        <f t="shared" si="188"/>
        <v>493.71212413164818</v>
      </c>
      <c r="K1583" s="30">
        <f t="shared" si="189"/>
        <v>8125.1164718064829</v>
      </c>
    </row>
    <row r="1584" spans="1:11" x14ac:dyDescent="0.25">
      <c r="A1584" s="29">
        <v>1534</v>
      </c>
      <c r="B1584" s="99">
        <f t="shared" si="190"/>
        <v>0</v>
      </c>
      <c r="C1584" s="75">
        <f t="shared" si="194"/>
        <v>104.50616427295054</v>
      </c>
      <c r="D1584" s="100">
        <f t="shared" si="191"/>
        <v>445.77777777777789</v>
      </c>
      <c r="E1584">
        <f t="shared" si="187"/>
        <v>0</v>
      </c>
      <c r="G1584">
        <v>1534</v>
      </c>
      <c r="H1584" s="15">
        <f t="shared" si="192"/>
        <v>3.3332641781299799E-2</v>
      </c>
      <c r="I1584">
        <f t="shared" si="193"/>
        <v>155.63843676545443</v>
      </c>
      <c r="J1584">
        <f t="shared" si="188"/>
        <v>493.72607907829757</v>
      </c>
      <c r="K1584" s="30">
        <f t="shared" si="189"/>
        <v>8125.575558122785</v>
      </c>
    </row>
    <row r="1585" spans="1:11" x14ac:dyDescent="0.25">
      <c r="A1585" s="29">
        <v>1535</v>
      </c>
      <c r="B1585" s="99">
        <f t="shared" si="190"/>
        <v>0</v>
      </c>
      <c r="C1585" s="75">
        <f t="shared" si="194"/>
        <v>104.50616427295054</v>
      </c>
      <c r="D1585" s="100">
        <f t="shared" si="191"/>
        <v>445.77777777777789</v>
      </c>
      <c r="E1585">
        <f t="shared" si="187"/>
        <v>0</v>
      </c>
      <c r="G1585">
        <v>1535</v>
      </c>
      <c r="H1585" s="15">
        <f t="shared" si="192"/>
        <v>3.3332641781299799E-2</v>
      </c>
      <c r="I1585">
        <f t="shared" si="193"/>
        <v>155.67176940723573</v>
      </c>
      <c r="J1585">
        <f t="shared" si="188"/>
        <v>493.74001991423631</v>
      </c>
      <c r="K1585" s="30">
        <f t="shared" si="189"/>
        <v>8126.0341930482455</v>
      </c>
    </row>
    <row r="1586" spans="1:11" x14ac:dyDescent="0.25">
      <c r="A1586" s="29">
        <v>1536</v>
      </c>
      <c r="B1586" s="99">
        <f t="shared" si="190"/>
        <v>0</v>
      </c>
      <c r="C1586" s="75">
        <f t="shared" si="194"/>
        <v>104.50616427295054</v>
      </c>
      <c r="D1586" s="100">
        <f t="shared" si="191"/>
        <v>445.77777777777789</v>
      </c>
      <c r="E1586">
        <f t="shared" si="187"/>
        <v>0</v>
      </c>
      <c r="G1586">
        <v>1536</v>
      </c>
      <c r="H1586" s="15">
        <f t="shared" si="192"/>
        <v>3.3332641781299799E-2</v>
      </c>
      <c r="I1586">
        <f t="shared" si="193"/>
        <v>155.70510204901703</v>
      </c>
      <c r="J1586">
        <f t="shared" si="188"/>
        <v>493.75394664584064</v>
      </c>
      <c r="K1586" s="30">
        <f t="shared" si="189"/>
        <v>8126.4923767532673</v>
      </c>
    </row>
    <row r="1587" spans="1:11" x14ac:dyDescent="0.25">
      <c r="A1587" s="29">
        <v>1537</v>
      </c>
      <c r="B1587" s="99">
        <f t="shared" si="190"/>
        <v>0</v>
      </c>
      <c r="C1587" s="75">
        <f t="shared" si="194"/>
        <v>104.50616427295054</v>
      </c>
      <c r="D1587" s="100">
        <f t="shared" si="191"/>
        <v>445.77777777777789</v>
      </c>
      <c r="E1587">
        <f t="shared" ref="E1587:E1650" si="195">((D1587^2)+(D1587*D1588)+(D1588^2))*B1588/3</f>
        <v>0</v>
      </c>
      <c r="G1587">
        <v>1537</v>
      </c>
      <c r="H1587" s="15">
        <f t="shared" si="192"/>
        <v>3.3332641781299799E-2</v>
      </c>
      <c r="I1587">
        <f t="shared" si="193"/>
        <v>155.73843469079833</v>
      </c>
      <c r="J1587">
        <f t="shared" ref="J1587:J1650" si="196">IF($G$28&lt;$C$14,0,((($C$11^2)-((I1587-$C$13)^2))^0.5)+$C$16)</f>
        <v>493.76785927947651</v>
      </c>
      <c r="K1587" s="30">
        <f t="shared" ref="K1587:K1650" si="197">((J1587^2)+(J1587*J1588)+(J1588^2))*H1588/3</f>
        <v>8126.9501094079742</v>
      </c>
    </row>
    <row r="1588" spans="1:11" x14ac:dyDescent="0.25">
      <c r="A1588" s="29">
        <v>1538</v>
      </c>
      <c r="B1588" s="99">
        <f t="shared" ref="B1588:B1651" si="198">C1588-C1587</f>
        <v>0</v>
      </c>
      <c r="C1588" s="75">
        <f t="shared" si="194"/>
        <v>104.50616427295054</v>
      </c>
      <c r="D1588" s="100">
        <f t="shared" ref="D1588:D1651" si="199">IF($G$28&lt;$C$14,0,((($C$11^2)-((C1588-$C$13)^2))^0.5)+$C$16)</f>
        <v>445.77777777777789</v>
      </c>
      <c r="E1588">
        <f t="shared" si="195"/>
        <v>0</v>
      </c>
      <c r="G1588">
        <v>1538</v>
      </c>
      <c r="H1588" s="15">
        <f t="shared" ref="H1588:H1651" si="200">I1588-I1587</f>
        <v>3.3332641781299799E-2</v>
      </c>
      <c r="I1588">
        <f t="shared" ref="I1588:I1651" si="201">($G$27-$C$14)/2000+I1587</f>
        <v>155.77176733257963</v>
      </c>
      <c r="J1588">
        <f t="shared" si="196"/>
        <v>493.78175782149953</v>
      </c>
      <c r="K1588" s="30">
        <f t="shared" si="197"/>
        <v>8127.4073911822225</v>
      </c>
    </row>
    <row r="1589" spans="1:11" x14ac:dyDescent="0.25">
      <c r="A1589" s="29">
        <v>1539</v>
      </c>
      <c r="B1589" s="99">
        <f t="shared" si="198"/>
        <v>0</v>
      </c>
      <c r="C1589" s="75">
        <f t="shared" si="194"/>
        <v>104.50616427295054</v>
      </c>
      <c r="D1589" s="100">
        <f t="shared" si="199"/>
        <v>445.77777777777789</v>
      </c>
      <c r="E1589">
        <f t="shared" si="195"/>
        <v>0</v>
      </c>
      <c r="G1589">
        <v>1539</v>
      </c>
      <c r="H1589" s="15">
        <f t="shared" si="200"/>
        <v>3.3332641781299799E-2</v>
      </c>
      <c r="I1589">
        <f t="shared" si="201"/>
        <v>155.80509997436093</v>
      </c>
      <c r="J1589">
        <f t="shared" si="196"/>
        <v>493.79564227825523</v>
      </c>
      <c r="K1589" s="30">
        <f t="shared" si="197"/>
        <v>8127.8642222455892</v>
      </c>
    </row>
    <row r="1590" spans="1:11" x14ac:dyDescent="0.25">
      <c r="A1590" s="29">
        <v>1540</v>
      </c>
      <c r="B1590" s="99">
        <f t="shared" si="198"/>
        <v>0</v>
      </c>
      <c r="C1590" s="75">
        <f t="shared" si="194"/>
        <v>104.50616427295054</v>
      </c>
      <c r="D1590" s="100">
        <f t="shared" si="199"/>
        <v>445.77777777777789</v>
      </c>
      <c r="E1590">
        <f t="shared" si="195"/>
        <v>0</v>
      </c>
      <c r="G1590">
        <v>1540</v>
      </c>
      <c r="H1590" s="15">
        <f t="shared" si="200"/>
        <v>3.3332641781299799E-2</v>
      </c>
      <c r="I1590">
        <f t="shared" si="201"/>
        <v>155.83843261614223</v>
      </c>
      <c r="J1590">
        <f t="shared" si="196"/>
        <v>493.80951265607871</v>
      </c>
      <c r="K1590" s="30">
        <f t="shared" si="197"/>
        <v>8128.3206027673777</v>
      </c>
    </row>
    <row r="1591" spans="1:11" x14ac:dyDescent="0.25">
      <c r="A1591" s="29">
        <v>1541</v>
      </c>
      <c r="B1591" s="99">
        <f t="shared" si="198"/>
        <v>0</v>
      </c>
      <c r="C1591" s="75">
        <f t="shared" si="194"/>
        <v>104.50616427295054</v>
      </c>
      <c r="D1591" s="100">
        <f t="shared" si="199"/>
        <v>445.77777777777789</v>
      </c>
      <c r="E1591">
        <f t="shared" si="195"/>
        <v>0</v>
      </c>
      <c r="G1591">
        <v>1541</v>
      </c>
      <c r="H1591" s="15">
        <f t="shared" si="200"/>
        <v>3.3332641781299799E-2</v>
      </c>
      <c r="I1591">
        <f t="shared" si="201"/>
        <v>155.87176525792353</v>
      </c>
      <c r="J1591">
        <f t="shared" si="196"/>
        <v>493.82336896129499</v>
      </c>
      <c r="K1591" s="30">
        <f t="shared" si="197"/>
        <v>8128.7765329166241</v>
      </c>
    </row>
    <row r="1592" spans="1:11" x14ac:dyDescent="0.25">
      <c r="A1592" s="29">
        <v>1542</v>
      </c>
      <c r="B1592" s="99">
        <f t="shared" si="198"/>
        <v>0</v>
      </c>
      <c r="C1592" s="75">
        <f t="shared" si="194"/>
        <v>104.50616427295054</v>
      </c>
      <c r="D1592" s="100">
        <f t="shared" si="199"/>
        <v>445.77777777777789</v>
      </c>
      <c r="E1592">
        <f t="shared" si="195"/>
        <v>0</v>
      </c>
      <c r="G1592">
        <v>1542</v>
      </c>
      <c r="H1592" s="15">
        <f t="shared" si="200"/>
        <v>3.3332641781299799E-2</v>
      </c>
      <c r="I1592">
        <f t="shared" si="201"/>
        <v>155.90509789970483</v>
      </c>
      <c r="J1592">
        <f t="shared" si="196"/>
        <v>493.8372112002188</v>
      </c>
      <c r="K1592" s="30">
        <f t="shared" si="197"/>
        <v>8129.232012862084</v>
      </c>
    </row>
    <row r="1593" spans="1:11" x14ac:dyDescent="0.25">
      <c r="A1593" s="29">
        <v>1543</v>
      </c>
      <c r="B1593" s="99">
        <f t="shared" si="198"/>
        <v>0</v>
      </c>
      <c r="C1593" s="75">
        <f t="shared" si="194"/>
        <v>104.50616427295054</v>
      </c>
      <c r="D1593" s="100">
        <f t="shared" si="199"/>
        <v>445.77777777777789</v>
      </c>
      <c r="E1593">
        <f t="shared" si="195"/>
        <v>0</v>
      </c>
      <c r="G1593">
        <v>1543</v>
      </c>
      <c r="H1593" s="15">
        <f t="shared" si="200"/>
        <v>3.3332641781299799E-2</v>
      </c>
      <c r="I1593">
        <f t="shared" si="201"/>
        <v>155.93843054148613</v>
      </c>
      <c r="J1593">
        <f t="shared" si="196"/>
        <v>493.85103937915483</v>
      </c>
      <c r="K1593" s="30">
        <f t="shared" si="197"/>
        <v>8129.6870427722461</v>
      </c>
    </row>
    <row r="1594" spans="1:11" x14ac:dyDescent="0.25">
      <c r="A1594" s="29">
        <v>1544</v>
      </c>
      <c r="B1594" s="99">
        <f t="shared" si="198"/>
        <v>0</v>
      </c>
      <c r="C1594" s="75">
        <f t="shared" si="194"/>
        <v>104.50616427295054</v>
      </c>
      <c r="D1594" s="100">
        <f t="shared" si="199"/>
        <v>445.77777777777789</v>
      </c>
      <c r="E1594">
        <f t="shared" si="195"/>
        <v>0</v>
      </c>
      <c r="G1594">
        <v>1544</v>
      </c>
      <c r="H1594" s="15">
        <f t="shared" si="200"/>
        <v>3.3332641781299799E-2</v>
      </c>
      <c r="I1594">
        <f t="shared" si="201"/>
        <v>155.97176318326743</v>
      </c>
      <c r="J1594">
        <f t="shared" si="196"/>
        <v>493.86485350439739</v>
      </c>
      <c r="K1594" s="30">
        <f t="shared" si="197"/>
        <v>8130.1416228153275</v>
      </c>
    </row>
    <row r="1595" spans="1:11" x14ac:dyDescent="0.25">
      <c r="A1595" s="29">
        <v>1545</v>
      </c>
      <c r="B1595" s="99">
        <f t="shared" si="198"/>
        <v>0</v>
      </c>
      <c r="C1595" s="75">
        <f t="shared" si="194"/>
        <v>104.50616427295054</v>
      </c>
      <c r="D1595" s="100">
        <f t="shared" si="199"/>
        <v>445.77777777777789</v>
      </c>
      <c r="E1595">
        <f t="shared" si="195"/>
        <v>0</v>
      </c>
      <c r="G1595">
        <v>1545</v>
      </c>
      <c r="H1595" s="15">
        <f t="shared" si="200"/>
        <v>3.3332641781299799E-2</v>
      </c>
      <c r="I1595">
        <f t="shared" si="201"/>
        <v>156.00509582504873</v>
      </c>
      <c r="J1595">
        <f t="shared" si="196"/>
        <v>493.87865358223081</v>
      </c>
      <c r="K1595" s="30">
        <f t="shared" si="197"/>
        <v>8130.5957531592694</v>
      </c>
    </row>
    <row r="1596" spans="1:11" x14ac:dyDescent="0.25">
      <c r="A1596" s="29">
        <v>1546</v>
      </c>
      <c r="B1596" s="99">
        <f t="shared" si="198"/>
        <v>0</v>
      </c>
      <c r="C1596" s="75">
        <f t="shared" si="194"/>
        <v>104.50616427295054</v>
      </c>
      <c r="D1596" s="100">
        <f t="shared" si="199"/>
        <v>445.77777777777789</v>
      </c>
      <c r="E1596">
        <f t="shared" si="195"/>
        <v>0</v>
      </c>
      <c r="G1596">
        <v>1546</v>
      </c>
      <c r="H1596" s="15">
        <f t="shared" si="200"/>
        <v>3.3332641781299799E-2</v>
      </c>
      <c r="I1596">
        <f t="shared" si="201"/>
        <v>156.03842846683003</v>
      </c>
      <c r="J1596">
        <f t="shared" si="196"/>
        <v>493.89243961892925</v>
      </c>
      <c r="K1596" s="30">
        <f t="shared" si="197"/>
        <v>8131.0494339717507</v>
      </c>
    </row>
    <row r="1597" spans="1:11" x14ac:dyDescent="0.25">
      <c r="A1597" s="29">
        <v>1547</v>
      </c>
      <c r="B1597" s="99">
        <f t="shared" si="198"/>
        <v>0</v>
      </c>
      <c r="C1597" s="75">
        <f t="shared" si="194"/>
        <v>104.50616427295054</v>
      </c>
      <c r="D1597" s="100">
        <f t="shared" si="199"/>
        <v>445.77777777777789</v>
      </c>
      <c r="E1597">
        <f t="shared" si="195"/>
        <v>0</v>
      </c>
      <c r="G1597">
        <v>1547</v>
      </c>
      <c r="H1597" s="15">
        <f t="shared" si="200"/>
        <v>3.3332641781299799E-2</v>
      </c>
      <c r="I1597">
        <f t="shared" si="201"/>
        <v>156.07176110861133</v>
      </c>
      <c r="J1597">
        <f t="shared" si="196"/>
        <v>493.90621162075672</v>
      </c>
      <c r="K1597" s="30">
        <f t="shared" si="197"/>
        <v>8131.5026654201683</v>
      </c>
    </row>
    <row r="1598" spans="1:11" x14ac:dyDescent="0.25">
      <c r="A1598" s="29">
        <v>1548</v>
      </c>
      <c r="B1598" s="99">
        <f t="shared" si="198"/>
        <v>0</v>
      </c>
      <c r="C1598" s="75">
        <f t="shared" si="194"/>
        <v>104.50616427295054</v>
      </c>
      <c r="D1598" s="100">
        <f t="shared" si="199"/>
        <v>445.77777777777789</v>
      </c>
      <c r="E1598">
        <f t="shared" si="195"/>
        <v>0</v>
      </c>
      <c r="G1598">
        <v>1548</v>
      </c>
      <c r="H1598" s="15">
        <f t="shared" si="200"/>
        <v>3.3332641781299799E-2</v>
      </c>
      <c r="I1598">
        <f t="shared" si="201"/>
        <v>156.10509375039263</v>
      </c>
      <c r="J1598">
        <f t="shared" si="196"/>
        <v>493.91996959396715</v>
      </c>
      <c r="K1598" s="30">
        <f t="shared" si="197"/>
        <v>8131.9554476716621</v>
      </c>
    </row>
    <row r="1599" spans="1:11" x14ac:dyDescent="0.25">
      <c r="A1599" s="29">
        <v>1549</v>
      </c>
      <c r="B1599" s="99">
        <f t="shared" si="198"/>
        <v>0</v>
      </c>
      <c r="C1599" s="75">
        <f t="shared" si="194"/>
        <v>104.50616427295054</v>
      </c>
      <c r="D1599" s="100">
        <f t="shared" si="199"/>
        <v>445.77777777777789</v>
      </c>
      <c r="E1599">
        <f t="shared" si="195"/>
        <v>0</v>
      </c>
      <c r="G1599">
        <v>1549</v>
      </c>
      <c r="H1599" s="15">
        <f t="shared" si="200"/>
        <v>3.3332641781299799E-2</v>
      </c>
      <c r="I1599">
        <f t="shared" si="201"/>
        <v>156.13842639217393</v>
      </c>
      <c r="J1599">
        <f t="shared" si="196"/>
        <v>493.93371354480439</v>
      </c>
      <c r="K1599" s="30">
        <f t="shared" si="197"/>
        <v>8132.4077808930924</v>
      </c>
    </row>
    <row r="1600" spans="1:11" x14ac:dyDescent="0.25">
      <c r="A1600" s="29">
        <v>1550</v>
      </c>
      <c r="B1600" s="99">
        <f t="shared" si="198"/>
        <v>0</v>
      </c>
      <c r="C1600" s="75">
        <f t="shared" si="194"/>
        <v>104.50616427295054</v>
      </c>
      <c r="D1600" s="100">
        <f t="shared" si="199"/>
        <v>445.77777777777789</v>
      </c>
      <c r="E1600">
        <f t="shared" si="195"/>
        <v>0</v>
      </c>
      <c r="G1600">
        <v>1550</v>
      </c>
      <c r="H1600" s="15">
        <f t="shared" si="200"/>
        <v>3.3332641781299799E-2</v>
      </c>
      <c r="I1600">
        <f t="shared" si="201"/>
        <v>156.17175903395523</v>
      </c>
      <c r="J1600">
        <f t="shared" si="196"/>
        <v>493.94744347950234</v>
      </c>
      <c r="K1600" s="30">
        <f t="shared" si="197"/>
        <v>8132.8596652510569</v>
      </c>
    </row>
    <row r="1601" spans="1:11" x14ac:dyDescent="0.25">
      <c r="A1601" s="29">
        <v>1551</v>
      </c>
      <c r="B1601" s="99">
        <f t="shared" si="198"/>
        <v>0</v>
      </c>
      <c r="C1601" s="75">
        <f t="shared" si="194"/>
        <v>104.50616427295054</v>
      </c>
      <c r="D1601" s="100">
        <f t="shared" si="199"/>
        <v>445.77777777777789</v>
      </c>
      <c r="E1601">
        <f t="shared" si="195"/>
        <v>0</v>
      </c>
      <c r="G1601">
        <v>1551</v>
      </c>
      <c r="H1601" s="15">
        <f t="shared" si="200"/>
        <v>3.3332641781299799E-2</v>
      </c>
      <c r="I1601">
        <f t="shared" si="201"/>
        <v>156.20509167573653</v>
      </c>
      <c r="J1601">
        <f t="shared" si="196"/>
        <v>493.96115940428456</v>
      </c>
      <c r="K1601" s="30">
        <f t="shared" si="197"/>
        <v>8133.3111009118811</v>
      </c>
    </row>
    <row r="1602" spans="1:11" x14ac:dyDescent="0.25">
      <c r="A1602" s="29">
        <v>1552</v>
      </c>
      <c r="B1602" s="99">
        <f t="shared" si="198"/>
        <v>0</v>
      </c>
      <c r="C1602" s="75">
        <f t="shared" si="194"/>
        <v>104.50616427295054</v>
      </c>
      <c r="D1602" s="100">
        <f t="shared" si="199"/>
        <v>445.77777777777789</v>
      </c>
      <c r="E1602">
        <f t="shared" si="195"/>
        <v>0</v>
      </c>
      <c r="G1602">
        <v>1552</v>
      </c>
      <c r="H1602" s="15">
        <f t="shared" si="200"/>
        <v>3.3332641781299799E-2</v>
      </c>
      <c r="I1602">
        <f t="shared" si="201"/>
        <v>156.23842431751783</v>
      </c>
      <c r="J1602">
        <f t="shared" si="196"/>
        <v>493.97486132536494</v>
      </c>
      <c r="K1602" s="30">
        <f t="shared" si="197"/>
        <v>8133.7620880416243</v>
      </c>
    </row>
    <row r="1603" spans="1:11" x14ac:dyDescent="0.25">
      <c r="A1603" s="29">
        <v>1553</v>
      </c>
      <c r="B1603" s="99">
        <f t="shared" si="198"/>
        <v>0</v>
      </c>
      <c r="C1603" s="75">
        <f t="shared" si="194"/>
        <v>104.50616427295054</v>
      </c>
      <c r="D1603" s="100">
        <f t="shared" si="199"/>
        <v>445.77777777777789</v>
      </c>
      <c r="E1603">
        <f t="shared" si="195"/>
        <v>0</v>
      </c>
      <c r="G1603">
        <v>1553</v>
      </c>
      <c r="H1603" s="15">
        <f t="shared" si="200"/>
        <v>3.3332641781299799E-2</v>
      </c>
      <c r="I1603">
        <f t="shared" si="201"/>
        <v>156.27175695929913</v>
      </c>
      <c r="J1603">
        <f t="shared" si="196"/>
        <v>493.98854924894709</v>
      </c>
      <c r="K1603" s="30">
        <f t="shared" si="197"/>
        <v>8134.2126268060792</v>
      </c>
    </row>
    <row r="1604" spans="1:11" x14ac:dyDescent="0.25">
      <c r="A1604" s="29">
        <v>1554</v>
      </c>
      <c r="B1604" s="99">
        <f t="shared" si="198"/>
        <v>0</v>
      </c>
      <c r="C1604" s="75">
        <f t="shared" si="194"/>
        <v>104.50616427295054</v>
      </c>
      <c r="D1604" s="100">
        <f t="shared" si="199"/>
        <v>445.77777777777789</v>
      </c>
      <c r="E1604">
        <f t="shared" si="195"/>
        <v>0</v>
      </c>
      <c r="G1604">
        <v>1554</v>
      </c>
      <c r="H1604" s="15">
        <f t="shared" si="200"/>
        <v>3.3332641781299799E-2</v>
      </c>
      <c r="I1604">
        <f t="shared" si="201"/>
        <v>156.30508960108043</v>
      </c>
      <c r="J1604">
        <f t="shared" si="196"/>
        <v>494.00222318122479</v>
      </c>
      <c r="K1604" s="30">
        <f t="shared" si="197"/>
        <v>8134.6627173707684</v>
      </c>
    </row>
    <row r="1605" spans="1:11" x14ac:dyDescent="0.25">
      <c r="A1605" s="29">
        <v>1555</v>
      </c>
      <c r="B1605" s="99">
        <f t="shared" si="198"/>
        <v>0</v>
      </c>
      <c r="C1605" s="75">
        <f t="shared" si="194"/>
        <v>104.50616427295054</v>
      </c>
      <c r="D1605" s="100">
        <f t="shared" si="199"/>
        <v>445.77777777777789</v>
      </c>
      <c r="E1605">
        <f t="shared" si="195"/>
        <v>0</v>
      </c>
      <c r="G1605">
        <v>1555</v>
      </c>
      <c r="H1605" s="15">
        <f t="shared" si="200"/>
        <v>3.3332641781299799E-2</v>
      </c>
      <c r="I1605">
        <f t="shared" si="201"/>
        <v>156.33842224286172</v>
      </c>
      <c r="J1605">
        <f t="shared" si="196"/>
        <v>494.01588312838169</v>
      </c>
      <c r="K1605" s="30">
        <f t="shared" si="197"/>
        <v>8135.1123599009507</v>
      </c>
    </row>
    <row r="1606" spans="1:11" x14ac:dyDescent="0.25">
      <c r="A1606" s="29">
        <v>1556</v>
      </c>
      <c r="B1606" s="99">
        <f t="shared" si="198"/>
        <v>0</v>
      </c>
      <c r="C1606" s="75">
        <f t="shared" si="194"/>
        <v>104.50616427295054</v>
      </c>
      <c r="D1606" s="100">
        <f t="shared" si="199"/>
        <v>445.77777777777789</v>
      </c>
      <c r="E1606">
        <f t="shared" si="195"/>
        <v>0</v>
      </c>
      <c r="G1606">
        <v>1556</v>
      </c>
      <c r="H1606" s="15">
        <f t="shared" si="200"/>
        <v>3.3332641781299799E-2</v>
      </c>
      <c r="I1606">
        <f t="shared" si="201"/>
        <v>156.37175488464302</v>
      </c>
      <c r="J1606">
        <f t="shared" si="196"/>
        <v>494.0295290965916</v>
      </c>
      <c r="K1606" s="30">
        <f t="shared" si="197"/>
        <v>8135.5615545616138</v>
      </c>
    </row>
    <row r="1607" spans="1:11" x14ac:dyDescent="0.25">
      <c r="A1607" s="29">
        <v>1557</v>
      </c>
      <c r="B1607" s="99">
        <f t="shared" si="198"/>
        <v>0</v>
      </c>
      <c r="C1607" s="75">
        <f t="shared" si="194"/>
        <v>104.50616427295054</v>
      </c>
      <c r="D1607" s="100">
        <f t="shared" si="199"/>
        <v>445.77777777777789</v>
      </c>
      <c r="E1607">
        <f t="shared" si="195"/>
        <v>0</v>
      </c>
      <c r="G1607">
        <v>1557</v>
      </c>
      <c r="H1607" s="15">
        <f t="shared" si="200"/>
        <v>3.3332641781299799E-2</v>
      </c>
      <c r="I1607">
        <f t="shared" si="201"/>
        <v>156.40508752642432</v>
      </c>
      <c r="J1607">
        <f t="shared" si="196"/>
        <v>494.04316109201829</v>
      </c>
      <c r="K1607" s="30">
        <f t="shared" si="197"/>
        <v>8136.0103015174873</v>
      </c>
    </row>
    <row r="1608" spans="1:11" x14ac:dyDescent="0.25">
      <c r="A1608" s="29">
        <v>1558</v>
      </c>
      <c r="B1608" s="99">
        <f t="shared" si="198"/>
        <v>0</v>
      </c>
      <c r="C1608" s="75">
        <f t="shared" si="194"/>
        <v>104.50616427295054</v>
      </c>
      <c r="D1608" s="100">
        <f t="shared" si="199"/>
        <v>445.77777777777789</v>
      </c>
      <c r="E1608">
        <f t="shared" si="195"/>
        <v>0</v>
      </c>
      <c r="G1608">
        <v>1558</v>
      </c>
      <c r="H1608" s="15">
        <f t="shared" si="200"/>
        <v>3.3332641781299799E-2</v>
      </c>
      <c r="I1608">
        <f t="shared" si="201"/>
        <v>156.43842016820562</v>
      </c>
      <c r="J1608">
        <f t="shared" si="196"/>
        <v>494.0567791208158</v>
      </c>
      <c r="K1608" s="30">
        <f t="shared" si="197"/>
        <v>8136.4586009330314</v>
      </c>
    </row>
    <row r="1609" spans="1:11" x14ac:dyDescent="0.25">
      <c r="A1609" s="29">
        <v>1559</v>
      </c>
      <c r="B1609" s="99">
        <f t="shared" si="198"/>
        <v>0</v>
      </c>
      <c r="C1609" s="75">
        <f t="shared" si="194"/>
        <v>104.50616427295054</v>
      </c>
      <c r="D1609" s="100">
        <f t="shared" si="199"/>
        <v>445.77777777777789</v>
      </c>
      <c r="E1609">
        <f t="shared" si="195"/>
        <v>0</v>
      </c>
      <c r="G1609">
        <v>1559</v>
      </c>
      <c r="H1609" s="15">
        <f t="shared" si="200"/>
        <v>3.3332641781299799E-2</v>
      </c>
      <c r="I1609">
        <f t="shared" si="201"/>
        <v>156.47175280998692</v>
      </c>
      <c r="J1609">
        <f t="shared" si="196"/>
        <v>494.07038318912794</v>
      </c>
      <c r="K1609" s="30">
        <f t="shared" si="197"/>
        <v>8136.9064529724383</v>
      </c>
    </row>
    <row r="1610" spans="1:11" x14ac:dyDescent="0.25">
      <c r="A1610" s="29">
        <v>1560</v>
      </c>
      <c r="B1610" s="99">
        <f t="shared" si="198"/>
        <v>0</v>
      </c>
      <c r="C1610" s="75">
        <f t="shared" si="194"/>
        <v>104.50616427295054</v>
      </c>
      <c r="D1610" s="100">
        <f t="shared" si="199"/>
        <v>445.77777777777789</v>
      </c>
      <c r="E1610">
        <f t="shared" si="195"/>
        <v>0</v>
      </c>
      <c r="G1610">
        <v>1560</v>
      </c>
      <c r="H1610" s="15">
        <f t="shared" si="200"/>
        <v>3.3332641781299799E-2</v>
      </c>
      <c r="I1610">
        <f t="shared" si="201"/>
        <v>156.50508545176822</v>
      </c>
      <c r="J1610">
        <f t="shared" si="196"/>
        <v>494.0839733030889</v>
      </c>
      <c r="K1610" s="30">
        <f t="shared" si="197"/>
        <v>8137.3538577996414</v>
      </c>
    </row>
    <row r="1611" spans="1:11" x14ac:dyDescent="0.25">
      <c r="A1611" s="29">
        <v>1561</v>
      </c>
      <c r="B1611" s="99">
        <f t="shared" si="198"/>
        <v>0</v>
      </c>
      <c r="C1611" s="75">
        <f t="shared" si="194"/>
        <v>104.50616427295054</v>
      </c>
      <c r="D1611" s="100">
        <f t="shared" si="199"/>
        <v>445.77777777777789</v>
      </c>
      <c r="E1611">
        <f t="shared" si="195"/>
        <v>0</v>
      </c>
      <c r="G1611">
        <v>1561</v>
      </c>
      <c r="H1611" s="15">
        <f t="shared" si="200"/>
        <v>3.3332641781299799E-2</v>
      </c>
      <c r="I1611">
        <f t="shared" si="201"/>
        <v>156.53841809354952</v>
      </c>
      <c r="J1611">
        <f t="shared" si="196"/>
        <v>494.09754946882282</v>
      </c>
      <c r="K1611" s="30">
        <f t="shared" si="197"/>
        <v>8137.8008155783064</v>
      </c>
    </row>
    <row r="1612" spans="1:11" x14ac:dyDescent="0.25">
      <c r="A1612" s="29">
        <v>1562</v>
      </c>
      <c r="B1612" s="99">
        <f t="shared" si="198"/>
        <v>0</v>
      </c>
      <c r="C1612" s="75">
        <f t="shared" si="194"/>
        <v>104.50616427295054</v>
      </c>
      <c r="D1612" s="100">
        <f t="shared" si="199"/>
        <v>445.77777777777789</v>
      </c>
      <c r="E1612">
        <f t="shared" si="195"/>
        <v>0</v>
      </c>
      <c r="G1612">
        <v>1562</v>
      </c>
      <c r="H1612" s="15">
        <f t="shared" si="200"/>
        <v>3.3332641781299799E-2</v>
      </c>
      <c r="I1612">
        <f t="shared" si="201"/>
        <v>156.57175073533082</v>
      </c>
      <c r="J1612">
        <f t="shared" si="196"/>
        <v>494.11111169244413</v>
      </c>
      <c r="K1612" s="30">
        <f t="shared" si="197"/>
        <v>8138.2473264718365</v>
      </c>
    </row>
    <row r="1613" spans="1:11" x14ac:dyDescent="0.25">
      <c r="A1613" s="29">
        <v>1563</v>
      </c>
      <c r="B1613" s="99">
        <f t="shared" si="198"/>
        <v>0</v>
      </c>
      <c r="C1613" s="75">
        <f t="shared" si="194"/>
        <v>104.50616427295054</v>
      </c>
      <c r="D1613" s="100">
        <f t="shared" si="199"/>
        <v>445.77777777777789</v>
      </c>
      <c r="E1613">
        <f t="shared" si="195"/>
        <v>0</v>
      </c>
      <c r="G1613">
        <v>1563</v>
      </c>
      <c r="H1613" s="15">
        <f t="shared" si="200"/>
        <v>3.3332641781299799E-2</v>
      </c>
      <c r="I1613">
        <f t="shared" si="201"/>
        <v>156.60508337711212</v>
      </c>
      <c r="J1613">
        <f t="shared" si="196"/>
        <v>494.12465998005723</v>
      </c>
      <c r="K1613" s="30">
        <f t="shared" si="197"/>
        <v>8138.6933906433724</v>
      </c>
    </row>
    <row r="1614" spans="1:11" x14ac:dyDescent="0.25">
      <c r="A1614" s="29">
        <v>1564</v>
      </c>
      <c r="B1614" s="99">
        <f t="shared" si="198"/>
        <v>0</v>
      </c>
      <c r="C1614" s="75">
        <f t="shared" si="194"/>
        <v>104.50616427295054</v>
      </c>
      <c r="D1614" s="100">
        <f t="shared" si="199"/>
        <v>445.77777777777789</v>
      </c>
      <c r="E1614">
        <f t="shared" si="195"/>
        <v>0</v>
      </c>
      <c r="G1614">
        <v>1564</v>
      </c>
      <c r="H1614" s="15">
        <f t="shared" si="200"/>
        <v>3.3332641781299799E-2</v>
      </c>
      <c r="I1614">
        <f t="shared" si="201"/>
        <v>156.63841601889342</v>
      </c>
      <c r="J1614">
        <f t="shared" si="196"/>
        <v>494.13819433775683</v>
      </c>
      <c r="K1614" s="30">
        <f t="shared" si="197"/>
        <v>8139.1390082557909</v>
      </c>
    </row>
    <row r="1615" spans="1:11" x14ac:dyDescent="0.25">
      <c r="A1615" s="29">
        <v>1565</v>
      </c>
      <c r="B1615" s="99">
        <f t="shared" si="198"/>
        <v>0</v>
      </c>
      <c r="C1615" s="75">
        <f t="shared" si="194"/>
        <v>104.50616427295054</v>
      </c>
      <c r="D1615" s="100">
        <f t="shared" si="199"/>
        <v>445.77777777777789</v>
      </c>
      <c r="E1615">
        <f t="shared" si="195"/>
        <v>0</v>
      </c>
      <c r="G1615">
        <v>1565</v>
      </c>
      <c r="H1615" s="15">
        <f t="shared" si="200"/>
        <v>3.3332641781299799E-2</v>
      </c>
      <c r="I1615">
        <f t="shared" si="201"/>
        <v>156.67174866067472</v>
      </c>
      <c r="J1615">
        <f t="shared" si="196"/>
        <v>494.15171477162778</v>
      </c>
      <c r="K1615" s="30">
        <f t="shared" si="197"/>
        <v>8139.5841794717053</v>
      </c>
    </row>
    <row r="1616" spans="1:11" x14ac:dyDescent="0.25">
      <c r="A1616" s="29">
        <v>1566</v>
      </c>
      <c r="B1616" s="99">
        <f t="shared" si="198"/>
        <v>0</v>
      </c>
      <c r="C1616" s="75">
        <f t="shared" ref="C1616:C1679" si="202">($C$37-$C$36)/2000+C1615</f>
        <v>104.50616427295054</v>
      </c>
      <c r="D1616" s="100">
        <f t="shared" si="199"/>
        <v>445.77777777777789</v>
      </c>
      <c r="E1616">
        <f t="shared" si="195"/>
        <v>0</v>
      </c>
      <c r="G1616">
        <v>1566</v>
      </c>
      <c r="H1616" s="15">
        <f t="shared" si="200"/>
        <v>3.3332641781299799E-2</v>
      </c>
      <c r="I1616">
        <f t="shared" si="201"/>
        <v>156.70508130245602</v>
      </c>
      <c r="J1616">
        <f t="shared" si="196"/>
        <v>494.16522128774511</v>
      </c>
      <c r="K1616" s="30">
        <f t="shared" si="197"/>
        <v>8140.0289044534729</v>
      </c>
    </row>
    <row r="1617" spans="1:11" x14ac:dyDescent="0.25">
      <c r="A1617" s="29">
        <v>1567</v>
      </c>
      <c r="B1617" s="99">
        <f t="shared" si="198"/>
        <v>0</v>
      </c>
      <c r="C1617" s="75">
        <f t="shared" si="202"/>
        <v>104.50616427295054</v>
      </c>
      <c r="D1617" s="100">
        <f t="shared" si="199"/>
        <v>445.77777777777789</v>
      </c>
      <c r="E1617">
        <f t="shared" si="195"/>
        <v>0</v>
      </c>
      <c r="G1617">
        <v>1567</v>
      </c>
      <c r="H1617" s="15">
        <f t="shared" si="200"/>
        <v>3.3332641781299799E-2</v>
      </c>
      <c r="I1617">
        <f t="shared" si="201"/>
        <v>156.73841394423732</v>
      </c>
      <c r="J1617">
        <f t="shared" si="196"/>
        <v>494.17871389217413</v>
      </c>
      <c r="K1617" s="30">
        <f t="shared" si="197"/>
        <v>8140.473183363184</v>
      </c>
    </row>
    <row r="1618" spans="1:11" x14ac:dyDescent="0.25">
      <c r="A1618" s="29">
        <v>1568</v>
      </c>
      <c r="B1618" s="99">
        <f t="shared" si="198"/>
        <v>0</v>
      </c>
      <c r="C1618" s="75">
        <f t="shared" si="202"/>
        <v>104.50616427295054</v>
      </c>
      <c r="D1618" s="100">
        <f t="shared" si="199"/>
        <v>445.77777777777789</v>
      </c>
      <c r="E1618">
        <f t="shared" si="195"/>
        <v>0</v>
      </c>
      <c r="G1618">
        <v>1568</v>
      </c>
      <c r="H1618" s="15">
        <f t="shared" si="200"/>
        <v>3.3332641781299799E-2</v>
      </c>
      <c r="I1618">
        <f t="shared" si="201"/>
        <v>156.77174658601862</v>
      </c>
      <c r="J1618">
        <f t="shared" si="196"/>
        <v>494.19219259097036</v>
      </c>
      <c r="K1618" s="30">
        <f t="shared" si="197"/>
        <v>8140.9170163626659</v>
      </c>
    </row>
    <row r="1619" spans="1:11" x14ac:dyDescent="0.25">
      <c r="A1619" s="29">
        <v>1569</v>
      </c>
      <c r="B1619" s="99">
        <f t="shared" si="198"/>
        <v>0</v>
      </c>
      <c r="C1619" s="75">
        <f t="shared" si="202"/>
        <v>104.50616427295054</v>
      </c>
      <c r="D1619" s="100">
        <f t="shared" si="199"/>
        <v>445.77777777777789</v>
      </c>
      <c r="E1619">
        <f t="shared" si="195"/>
        <v>0</v>
      </c>
      <c r="G1619">
        <v>1569</v>
      </c>
      <c r="H1619" s="15">
        <f t="shared" si="200"/>
        <v>3.3332641781299799E-2</v>
      </c>
      <c r="I1619">
        <f t="shared" si="201"/>
        <v>156.80507922779992</v>
      </c>
      <c r="J1619">
        <f t="shared" si="196"/>
        <v>494.20565739017945</v>
      </c>
      <c r="K1619" s="30">
        <f t="shared" si="197"/>
        <v>8141.3604036134939</v>
      </c>
    </row>
    <row r="1620" spans="1:11" x14ac:dyDescent="0.25">
      <c r="A1620" s="29">
        <v>1570</v>
      </c>
      <c r="B1620" s="99">
        <f t="shared" si="198"/>
        <v>0</v>
      </c>
      <c r="C1620" s="75">
        <f t="shared" si="202"/>
        <v>104.50616427295054</v>
      </c>
      <c r="D1620" s="100">
        <f t="shared" si="199"/>
        <v>445.77777777777789</v>
      </c>
      <c r="E1620">
        <f t="shared" si="195"/>
        <v>0</v>
      </c>
      <c r="G1620">
        <v>1570</v>
      </c>
      <c r="H1620" s="15">
        <f t="shared" si="200"/>
        <v>3.3332641781299799E-2</v>
      </c>
      <c r="I1620">
        <f t="shared" si="201"/>
        <v>156.83841186958122</v>
      </c>
      <c r="J1620">
        <f t="shared" si="196"/>
        <v>494.21910829583754</v>
      </c>
      <c r="K1620" s="30">
        <f t="shared" si="197"/>
        <v>8141.8033452769751</v>
      </c>
    </row>
    <row r="1621" spans="1:11" x14ac:dyDescent="0.25">
      <c r="A1621" s="29">
        <v>1571</v>
      </c>
      <c r="B1621" s="99">
        <f t="shared" si="198"/>
        <v>0</v>
      </c>
      <c r="C1621" s="75">
        <f t="shared" si="202"/>
        <v>104.50616427295054</v>
      </c>
      <c r="D1621" s="100">
        <f t="shared" si="199"/>
        <v>445.77777777777789</v>
      </c>
      <c r="E1621">
        <f t="shared" si="195"/>
        <v>0</v>
      </c>
      <c r="G1621">
        <v>1571</v>
      </c>
      <c r="H1621" s="15">
        <f t="shared" si="200"/>
        <v>3.3332641781299799E-2</v>
      </c>
      <c r="I1621">
        <f t="shared" si="201"/>
        <v>156.87174451136252</v>
      </c>
      <c r="J1621">
        <f t="shared" si="196"/>
        <v>494.23254531397089</v>
      </c>
      <c r="K1621" s="30">
        <f t="shared" si="197"/>
        <v>8142.2458415141627</v>
      </c>
    </row>
    <row r="1622" spans="1:11" x14ac:dyDescent="0.25">
      <c r="A1622" s="29">
        <v>1572</v>
      </c>
      <c r="B1622" s="99">
        <f t="shared" si="198"/>
        <v>0</v>
      </c>
      <c r="C1622" s="75">
        <f t="shared" si="202"/>
        <v>104.50616427295054</v>
      </c>
      <c r="D1622" s="100">
        <f t="shared" si="199"/>
        <v>445.77777777777789</v>
      </c>
      <c r="E1622">
        <f t="shared" si="195"/>
        <v>0</v>
      </c>
      <c r="G1622">
        <v>1572</v>
      </c>
      <c r="H1622" s="15">
        <f t="shared" si="200"/>
        <v>3.3332641781299799E-2</v>
      </c>
      <c r="I1622">
        <f t="shared" si="201"/>
        <v>156.90507715314382</v>
      </c>
      <c r="J1622">
        <f t="shared" si="196"/>
        <v>494.24596845059614</v>
      </c>
      <c r="K1622" s="30">
        <f t="shared" si="197"/>
        <v>8142.6878924858456</v>
      </c>
    </row>
    <row r="1623" spans="1:11" x14ac:dyDescent="0.25">
      <c r="A1623" s="29">
        <v>1573</v>
      </c>
      <c r="B1623" s="99">
        <f t="shared" si="198"/>
        <v>0</v>
      </c>
      <c r="C1623" s="75">
        <f t="shared" si="202"/>
        <v>104.50616427295054</v>
      </c>
      <c r="D1623" s="100">
        <f t="shared" si="199"/>
        <v>445.77777777777789</v>
      </c>
      <c r="E1623">
        <f t="shared" si="195"/>
        <v>0</v>
      </c>
      <c r="G1623">
        <v>1573</v>
      </c>
      <c r="H1623" s="15">
        <f t="shared" si="200"/>
        <v>3.3332641781299799E-2</v>
      </c>
      <c r="I1623">
        <f t="shared" si="201"/>
        <v>156.93840979492512</v>
      </c>
      <c r="J1623">
        <f t="shared" si="196"/>
        <v>494.25937771172011</v>
      </c>
      <c r="K1623" s="30">
        <f t="shared" si="197"/>
        <v>8143.1294983525549</v>
      </c>
    </row>
    <row r="1624" spans="1:11" x14ac:dyDescent="0.25">
      <c r="A1624" s="29">
        <v>1574</v>
      </c>
      <c r="B1624" s="99">
        <f t="shared" si="198"/>
        <v>0</v>
      </c>
      <c r="C1624" s="75">
        <f t="shared" si="202"/>
        <v>104.50616427295054</v>
      </c>
      <c r="D1624" s="100">
        <f t="shared" si="199"/>
        <v>445.77777777777789</v>
      </c>
      <c r="E1624">
        <f t="shared" si="195"/>
        <v>0</v>
      </c>
      <c r="G1624">
        <v>1574</v>
      </c>
      <c r="H1624" s="15">
        <f t="shared" si="200"/>
        <v>3.3332641781299799E-2</v>
      </c>
      <c r="I1624">
        <f t="shared" si="201"/>
        <v>156.97174243670642</v>
      </c>
      <c r="J1624">
        <f t="shared" si="196"/>
        <v>494.27277310334011</v>
      </c>
      <c r="K1624" s="30">
        <f t="shared" si="197"/>
        <v>8143.5706592745673</v>
      </c>
    </row>
    <row r="1625" spans="1:11" x14ac:dyDescent="0.25">
      <c r="A1625" s="29">
        <v>1575</v>
      </c>
      <c r="B1625" s="99">
        <f t="shared" si="198"/>
        <v>0</v>
      </c>
      <c r="C1625" s="75">
        <f t="shared" si="202"/>
        <v>104.50616427295054</v>
      </c>
      <c r="D1625" s="100">
        <f t="shared" si="199"/>
        <v>445.77777777777789</v>
      </c>
      <c r="E1625">
        <f t="shared" si="195"/>
        <v>0</v>
      </c>
      <c r="G1625">
        <v>1575</v>
      </c>
      <c r="H1625" s="15">
        <f t="shared" si="200"/>
        <v>3.3332641781299799E-2</v>
      </c>
      <c r="I1625">
        <f t="shared" si="201"/>
        <v>157.00507507848772</v>
      </c>
      <c r="J1625">
        <f t="shared" si="196"/>
        <v>494.28615463144376</v>
      </c>
      <c r="K1625" s="30">
        <f t="shared" si="197"/>
        <v>8144.0113754118984</v>
      </c>
    </row>
    <row r="1626" spans="1:11" x14ac:dyDescent="0.25">
      <c r="A1626" s="29">
        <v>1576</v>
      </c>
      <c r="B1626" s="99">
        <f t="shared" si="198"/>
        <v>0</v>
      </c>
      <c r="C1626" s="75">
        <f t="shared" si="202"/>
        <v>104.50616427295054</v>
      </c>
      <c r="D1626" s="100">
        <f t="shared" si="199"/>
        <v>445.77777777777789</v>
      </c>
      <c r="E1626">
        <f t="shared" si="195"/>
        <v>0</v>
      </c>
      <c r="G1626">
        <v>1576</v>
      </c>
      <c r="H1626" s="15">
        <f t="shared" si="200"/>
        <v>3.3332641781299799E-2</v>
      </c>
      <c r="I1626">
        <f t="shared" si="201"/>
        <v>157.03840772026902</v>
      </c>
      <c r="J1626">
        <f t="shared" si="196"/>
        <v>494.299522302009</v>
      </c>
      <c r="K1626" s="30">
        <f t="shared" si="197"/>
        <v>8144.4516469243063</v>
      </c>
    </row>
    <row r="1627" spans="1:11" x14ac:dyDescent="0.25">
      <c r="A1627" s="29">
        <v>1577</v>
      </c>
      <c r="B1627" s="99">
        <f t="shared" si="198"/>
        <v>0</v>
      </c>
      <c r="C1627" s="75">
        <f t="shared" si="202"/>
        <v>104.50616427295054</v>
      </c>
      <c r="D1627" s="100">
        <f t="shared" si="199"/>
        <v>445.77777777777789</v>
      </c>
      <c r="E1627">
        <f t="shared" si="195"/>
        <v>0</v>
      </c>
      <c r="G1627">
        <v>1577</v>
      </c>
      <c r="H1627" s="15">
        <f t="shared" si="200"/>
        <v>3.3332641781299799E-2</v>
      </c>
      <c r="I1627">
        <f t="shared" si="201"/>
        <v>157.07174036205032</v>
      </c>
      <c r="J1627">
        <f t="shared" si="196"/>
        <v>494.31287612100414</v>
      </c>
      <c r="K1627" s="30">
        <f t="shared" si="197"/>
        <v>8144.8914739712927</v>
      </c>
    </row>
    <row r="1628" spans="1:11" x14ac:dyDescent="0.25">
      <c r="A1628" s="29">
        <v>1578</v>
      </c>
      <c r="B1628" s="99">
        <f t="shared" si="198"/>
        <v>0</v>
      </c>
      <c r="C1628" s="75">
        <f t="shared" si="202"/>
        <v>104.50616427295054</v>
      </c>
      <c r="D1628" s="100">
        <f t="shared" si="199"/>
        <v>445.77777777777789</v>
      </c>
      <c r="E1628">
        <f t="shared" si="195"/>
        <v>0</v>
      </c>
      <c r="G1628">
        <v>1578</v>
      </c>
      <c r="H1628" s="15">
        <f t="shared" si="200"/>
        <v>3.3332641781299799E-2</v>
      </c>
      <c r="I1628">
        <f t="shared" si="201"/>
        <v>157.10507300383162</v>
      </c>
      <c r="J1628">
        <f t="shared" si="196"/>
        <v>494.32621609438797</v>
      </c>
      <c r="K1628" s="30">
        <f t="shared" si="197"/>
        <v>8145.330856712103</v>
      </c>
    </row>
    <row r="1629" spans="1:11" x14ac:dyDescent="0.25">
      <c r="A1629" s="29">
        <v>1579</v>
      </c>
      <c r="B1629" s="99">
        <f t="shared" si="198"/>
        <v>0</v>
      </c>
      <c r="C1629" s="75">
        <f t="shared" si="202"/>
        <v>104.50616427295054</v>
      </c>
      <c r="D1629" s="100">
        <f t="shared" si="199"/>
        <v>445.77777777777789</v>
      </c>
      <c r="E1629">
        <f t="shared" si="195"/>
        <v>0</v>
      </c>
      <c r="G1629">
        <v>1579</v>
      </c>
      <c r="H1629" s="15">
        <f t="shared" si="200"/>
        <v>3.3332641781299799E-2</v>
      </c>
      <c r="I1629">
        <f t="shared" si="201"/>
        <v>157.13840564561292</v>
      </c>
      <c r="J1629">
        <f t="shared" si="196"/>
        <v>494.33954222810962</v>
      </c>
      <c r="K1629" s="30">
        <f t="shared" si="197"/>
        <v>8145.7697953057241</v>
      </c>
    </row>
    <row r="1630" spans="1:11" x14ac:dyDescent="0.25">
      <c r="A1630" s="29">
        <v>1580</v>
      </c>
      <c r="B1630" s="99">
        <f t="shared" si="198"/>
        <v>0</v>
      </c>
      <c r="C1630" s="75">
        <f t="shared" si="202"/>
        <v>104.50616427295054</v>
      </c>
      <c r="D1630" s="100">
        <f t="shared" si="199"/>
        <v>445.77777777777789</v>
      </c>
      <c r="E1630">
        <f t="shared" si="195"/>
        <v>0</v>
      </c>
      <c r="G1630">
        <v>1580</v>
      </c>
      <c r="H1630" s="15">
        <f t="shared" si="200"/>
        <v>3.3332641781299799E-2</v>
      </c>
      <c r="I1630">
        <f t="shared" si="201"/>
        <v>157.17173828739422</v>
      </c>
      <c r="J1630">
        <f t="shared" si="196"/>
        <v>494.35285452810859</v>
      </c>
      <c r="K1630" s="30">
        <f t="shared" si="197"/>
        <v>8146.2082899108891</v>
      </c>
    </row>
    <row r="1631" spans="1:11" x14ac:dyDescent="0.25">
      <c r="A1631" s="29">
        <v>1581</v>
      </c>
      <c r="B1631" s="99">
        <f t="shared" si="198"/>
        <v>0</v>
      </c>
      <c r="C1631" s="75">
        <f t="shared" si="202"/>
        <v>104.50616427295054</v>
      </c>
      <c r="D1631" s="100">
        <f t="shared" si="199"/>
        <v>445.77777777777789</v>
      </c>
      <c r="E1631">
        <f t="shared" si="195"/>
        <v>0</v>
      </c>
      <c r="G1631">
        <v>1581</v>
      </c>
      <c r="H1631" s="15">
        <f t="shared" si="200"/>
        <v>3.3332641781299799E-2</v>
      </c>
      <c r="I1631">
        <f t="shared" si="201"/>
        <v>157.20507092917552</v>
      </c>
      <c r="J1631">
        <f t="shared" si="196"/>
        <v>494.36615300031497</v>
      </c>
      <c r="K1631" s="30">
        <f t="shared" si="197"/>
        <v>8146.6463406860748</v>
      </c>
    </row>
    <row r="1632" spans="1:11" x14ac:dyDescent="0.25">
      <c r="A1632" s="29">
        <v>1582</v>
      </c>
      <c r="B1632" s="99">
        <f t="shared" si="198"/>
        <v>0</v>
      </c>
      <c r="C1632" s="75">
        <f t="shared" si="202"/>
        <v>104.50616427295054</v>
      </c>
      <c r="D1632" s="100">
        <f t="shared" si="199"/>
        <v>445.77777777777789</v>
      </c>
      <c r="E1632">
        <f t="shared" si="195"/>
        <v>0</v>
      </c>
      <c r="G1632">
        <v>1582</v>
      </c>
      <c r="H1632" s="15">
        <f t="shared" si="200"/>
        <v>3.3332641781299799E-2</v>
      </c>
      <c r="I1632">
        <f t="shared" si="201"/>
        <v>157.23840357095682</v>
      </c>
      <c r="J1632">
        <f t="shared" si="196"/>
        <v>494.37943765064915</v>
      </c>
      <c r="K1632" s="30">
        <f t="shared" si="197"/>
        <v>8147.0839477895024</v>
      </c>
    </row>
    <row r="1633" spans="1:11" x14ac:dyDescent="0.25">
      <c r="A1633" s="29">
        <v>1583</v>
      </c>
      <c r="B1633" s="99">
        <f t="shared" si="198"/>
        <v>0</v>
      </c>
      <c r="C1633" s="75">
        <f t="shared" si="202"/>
        <v>104.50616427295054</v>
      </c>
      <c r="D1633" s="100">
        <f t="shared" si="199"/>
        <v>445.77777777777789</v>
      </c>
      <c r="E1633">
        <f t="shared" si="195"/>
        <v>0</v>
      </c>
      <c r="G1633">
        <v>1583</v>
      </c>
      <c r="H1633" s="15">
        <f t="shared" si="200"/>
        <v>3.3332641781299799E-2</v>
      </c>
      <c r="I1633">
        <f t="shared" si="201"/>
        <v>157.27173621273812</v>
      </c>
      <c r="J1633">
        <f t="shared" si="196"/>
        <v>494.39270848502207</v>
      </c>
      <c r="K1633" s="30">
        <f t="shared" si="197"/>
        <v>8147.5211113791402</v>
      </c>
    </row>
    <row r="1634" spans="1:11" x14ac:dyDescent="0.25">
      <c r="A1634" s="29">
        <v>1584</v>
      </c>
      <c r="B1634" s="99">
        <f t="shared" si="198"/>
        <v>0</v>
      </c>
      <c r="C1634" s="75">
        <f t="shared" si="202"/>
        <v>104.50616427295054</v>
      </c>
      <c r="D1634" s="100">
        <f t="shared" si="199"/>
        <v>445.77777777777789</v>
      </c>
      <c r="E1634">
        <f t="shared" si="195"/>
        <v>0</v>
      </c>
      <c r="G1634">
        <v>1584</v>
      </c>
      <c r="H1634" s="15">
        <f t="shared" si="200"/>
        <v>3.3332641781299799E-2</v>
      </c>
      <c r="I1634">
        <f t="shared" si="201"/>
        <v>157.30506885451942</v>
      </c>
      <c r="J1634">
        <f t="shared" si="196"/>
        <v>494.40596550933526</v>
      </c>
      <c r="K1634" s="30">
        <f t="shared" si="197"/>
        <v>8147.9578316127008</v>
      </c>
    </row>
    <row r="1635" spans="1:11" x14ac:dyDescent="0.25">
      <c r="A1635" s="29">
        <v>1585</v>
      </c>
      <c r="B1635" s="99">
        <f t="shared" si="198"/>
        <v>0</v>
      </c>
      <c r="C1635" s="75">
        <f t="shared" si="202"/>
        <v>104.50616427295054</v>
      </c>
      <c r="D1635" s="100">
        <f t="shared" si="199"/>
        <v>445.77777777777789</v>
      </c>
      <c r="E1635">
        <f t="shared" si="195"/>
        <v>0</v>
      </c>
      <c r="G1635">
        <v>1585</v>
      </c>
      <c r="H1635" s="15">
        <f t="shared" si="200"/>
        <v>3.3332641781299799E-2</v>
      </c>
      <c r="I1635">
        <f t="shared" si="201"/>
        <v>157.33840149630072</v>
      </c>
      <c r="J1635">
        <f t="shared" si="196"/>
        <v>494.41920872948049</v>
      </c>
      <c r="K1635" s="30">
        <f t="shared" si="197"/>
        <v>8148.3941086476443</v>
      </c>
    </row>
    <row r="1636" spans="1:11" x14ac:dyDescent="0.25">
      <c r="A1636" s="29">
        <v>1586</v>
      </c>
      <c r="B1636" s="99">
        <f t="shared" si="198"/>
        <v>0</v>
      </c>
      <c r="C1636" s="75">
        <f t="shared" si="202"/>
        <v>104.50616427295054</v>
      </c>
      <c r="D1636" s="100">
        <f t="shared" si="199"/>
        <v>445.77777777777789</v>
      </c>
      <c r="E1636">
        <f t="shared" si="195"/>
        <v>0</v>
      </c>
      <c r="G1636">
        <v>1586</v>
      </c>
      <c r="H1636" s="15">
        <f t="shared" si="200"/>
        <v>3.3332641781299799E-2</v>
      </c>
      <c r="I1636">
        <f t="shared" si="201"/>
        <v>157.37173413808202</v>
      </c>
      <c r="J1636">
        <f t="shared" si="196"/>
        <v>494.43243815134036</v>
      </c>
      <c r="K1636" s="30">
        <f t="shared" si="197"/>
        <v>8148.8299426411786</v>
      </c>
    </row>
    <row r="1637" spans="1:11" x14ac:dyDescent="0.25">
      <c r="A1637" s="29">
        <v>1587</v>
      </c>
      <c r="B1637" s="99">
        <f t="shared" si="198"/>
        <v>0</v>
      </c>
      <c r="C1637" s="75">
        <f t="shared" si="202"/>
        <v>104.50616427295054</v>
      </c>
      <c r="D1637" s="100">
        <f t="shared" si="199"/>
        <v>445.77777777777789</v>
      </c>
      <c r="E1637">
        <f t="shared" si="195"/>
        <v>0</v>
      </c>
      <c r="G1637">
        <v>1587</v>
      </c>
      <c r="H1637" s="15">
        <f t="shared" si="200"/>
        <v>3.3332641781299799E-2</v>
      </c>
      <c r="I1637">
        <f t="shared" si="201"/>
        <v>157.40506677986332</v>
      </c>
      <c r="J1637">
        <f t="shared" si="196"/>
        <v>494.44565378078778</v>
      </c>
      <c r="K1637" s="30">
        <f t="shared" si="197"/>
        <v>8149.2653337502516</v>
      </c>
    </row>
    <row r="1638" spans="1:11" x14ac:dyDescent="0.25">
      <c r="A1638" s="29">
        <v>1588</v>
      </c>
      <c r="B1638" s="99">
        <f t="shared" si="198"/>
        <v>0</v>
      </c>
      <c r="C1638" s="75">
        <f t="shared" si="202"/>
        <v>104.50616427295054</v>
      </c>
      <c r="D1638" s="100">
        <f t="shared" si="199"/>
        <v>445.77777777777789</v>
      </c>
      <c r="E1638">
        <f t="shared" si="195"/>
        <v>0</v>
      </c>
      <c r="G1638">
        <v>1588</v>
      </c>
      <c r="H1638" s="15">
        <f t="shared" si="200"/>
        <v>3.3332641781299799E-2</v>
      </c>
      <c r="I1638">
        <f t="shared" si="201"/>
        <v>157.43839942164462</v>
      </c>
      <c r="J1638">
        <f t="shared" si="196"/>
        <v>494.45885562368625</v>
      </c>
      <c r="K1638" s="30">
        <f t="shared" si="197"/>
        <v>8149.7002821315682</v>
      </c>
    </row>
    <row r="1639" spans="1:11" x14ac:dyDescent="0.25">
      <c r="A1639" s="29">
        <v>1589</v>
      </c>
      <c r="B1639" s="99">
        <f t="shared" si="198"/>
        <v>0</v>
      </c>
      <c r="C1639" s="75">
        <f t="shared" si="202"/>
        <v>104.50616427295054</v>
      </c>
      <c r="D1639" s="100">
        <f t="shared" si="199"/>
        <v>445.77777777777789</v>
      </c>
      <c r="E1639">
        <f t="shared" si="195"/>
        <v>0</v>
      </c>
      <c r="G1639">
        <v>1589</v>
      </c>
      <c r="H1639" s="15">
        <f t="shared" si="200"/>
        <v>3.3332641781299799E-2</v>
      </c>
      <c r="I1639">
        <f t="shared" si="201"/>
        <v>157.47173206342592</v>
      </c>
      <c r="J1639">
        <f t="shared" si="196"/>
        <v>494.4720436858899</v>
      </c>
      <c r="K1639" s="30">
        <f t="shared" si="197"/>
        <v>8150.1347879415744</v>
      </c>
    </row>
    <row r="1640" spans="1:11" x14ac:dyDescent="0.25">
      <c r="A1640" s="29">
        <v>1590</v>
      </c>
      <c r="B1640" s="99">
        <f t="shared" si="198"/>
        <v>0</v>
      </c>
      <c r="C1640" s="75">
        <f t="shared" si="202"/>
        <v>104.50616427295054</v>
      </c>
      <c r="D1640" s="100">
        <f t="shared" si="199"/>
        <v>445.77777777777789</v>
      </c>
      <c r="E1640">
        <f t="shared" si="195"/>
        <v>0</v>
      </c>
      <c r="G1640">
        <v>1590</v>
      </c>
      <c r="H1640" s="15">
        <f t="shared" si="200"/>
        <v>3.3332641781299799E-2</v>
      </c>
      <c r="I1640">
        <f t="shared" si="201"/>
        <v>157.50506470520722</v>
      </c>
      <c r="J1640">
        <f t="shared" si="196"/>
        <v>494.48521797324344</v>
      </c>
      <c r="K1640" s="30">
        <f t="shared" si="197"/>
        <v>8150.5688513364694</v>
      </c>
    </row>
    <row r="1641" spans="1:11" x14ac:dyDescent="0.25">
      <c r="A1641" s="29">
        <v>1591</v>
      </c>
      <c r="B1641" s="99">
        <f t="shared" si="198"/>
        <v>0</v>
      </c>
      <c r="C1641" s="75">
        <f t="shared" si="202"/>
        <v>104.50616427295054</v>
      </c>
      <c r="D1641" s="100">
        <f t="shared" si="199"/>
        <v>445.77777777777789</v>
      </c>
      <c r="E1641">
        <f t="shared" si="195"/>
        <v>0</v>
      </c>
      <c r="G1641">
        <v>1591</v>
      </c>
      <c r="H1641" s="15">
        <f t="shared" si="200"/>
        <v>3.3332641781299799E-2</v>
      </c>
      <c r="I1641">
        <f t="shared" si="201"/>
        <v>157.53839734698852</v>
      </c>
      <c r="J1641">
        <f t="shared" si="196"/>
        <v>494.49837849158212</v>
      </c>
      <c r="K1641" s="30">
        <f t="shared" si="197"/>
        <v>8151.0024724721961</v>
      </c>
    </row>
    <row r="1642" spans="1:11" x14ac:dyDescent="0.25">
      <c r="A1642" s="29">
        <v>1592</v>
      </c>
      <c r="B1642" s="99">
        <f t="shared" si="198"/>
        <v>0</v>
      </c>
      <c r="C1642" s="75">
        <f t="shared" si="202"/>
        <v>104.50616427295054</v>
      </c>
      <c r="D1642" s="100">
        <f t="shared" si="199"/>
        <v>445.77777777777789</v>
      </c>
      <c r="E1642">
        <f t="shared" si="195"/>
        <v>0</v>
      </c>
      <c r="G1642">
        <v>1592</v>
      </c>
      <c r="H1642" s="15">
        <f t="shared" si="200"/>
        <v>3.3332641781299799E-2</v>
      </c>
      <c r="I1642">
        <f t="shared" si="201"/>
        <v>157.57172998876982</v>
      </c>
      <c r="J1642">
        <f t="shared" si="196"/>
        <v>494.51152524673176</v>
      </c>
      <c r="K1642" s="30">
        <f t="shared" si="197"/>
        <v>8151.4356515044483</v>
      </c>
    </row>
    <row r="1643" spans="1:11" x14ac:dyDescent="0.25">
      <c r="A1643" s="29">
        <v>1593</v>
      </c>
      <c r="B1643" s="99">
        <f t="shared" si="198"/>
        <v>0</v>
      </c>
      <c r="C1643" s="75">
        <f t="shared" si="202"/>
        <v>104.50616427295054</v>
      </c>
      <c r="D1643" s="100">
        <f t="shared" si="199"/>
        <v>445.77777777777789</v>
      </c>
      <c r="E1643">
        <f t="shared" si="195"/>
        <v>0</v>
      </c>
      <c r="G1643">
        <v>1593</v>
      </c>
      <c r="H1643" s="15">
        <f t="shared" si="200"/>
        <v>3.3332641781299799E-2</v>
      </c>
      <c r="I1643">
        <f t="shared" si="201"/>
        <v>157.60506263055112</v>
      </c>
      <c r="J1643">
        <f t="shared" si="196"/>
        <v>494.52465824450894</v>
      </c>
      <c r="K1643" s="30">
        <f t="shared" si="197"/>
        <v>8151.868388588674</v>
      </c>
    </row>
    <row r="1644" spans="1:11" x14ac:dyDescent="0.25">
      <c r="A1644" s="29">
        <v>1594</v>
      </c>
      <c r="B1644" s="99">
        <f t="shared" si="198"/>
        <v>0</v>
      </c>
      <c r="C1644" s="75">
        <f t="shared" si="202"/>
        <v>104.50616427295054</v>
      </c>
      <c r="D1644" s="100">
        <f t="shared" si="199"/>
        <v>445.77777777777789</v>
      </c>
      <c r="E1644">
        <f t="shared" si="195"/>
        <v>0</v>
      </c>
      <c r="G1644">
        <v>1594</v>
      </c>
      <c r="H1644" s="15">
        <f t="shared" si="200"/>
        <v>3.3332641781299799E-2</v>
      </c>
      <c r="I1644">
        <f t="shared" si="201"/>
        <v>157.63839527233242</v>
      </c>
      <c r="J1644">
        <f t="shared" si="196"/>
        <v>494.53777749072088</v>
      </c>
      <c r="K1644" s="30">
        <f t="shared" si="197"/>
        <v>8152.3006838800648</v>
      </c>
    </row>
    <row r="1645" spans="1:11" x14ac:dyDescent="0.25">
      <c r="A1645" s="29">
        <v>1595</v>
      </c>
      <c r="B1645" s="99">
        <f t="shared" si="198"/>
        <v>0</v>
      </c>
      <c r="C1645" s="75">
        <f t="shared" si="202"/>
        <v>104.50616427295054</v>
      </c>
      <c r="D1645" s="100">
        <f t="shared" si="199"/>
        <v>445.77777777777789</v>
      </c>
      <c r="E1645">
        <f t="shared" si="195"/>
        <v>0</v>
      </c>
      <c r="G1645">
        <v>1595</v>
      </c>
      <c r="H1645" s="15">
        <f t="shared" si="200"/>
        <v>3.3332641781299799E-2</v>
      </c>
      <c r="I1645">
        <f t="shared" si="201"/>
        <v>157.67172791411372</v>
      </c>
      <c r="J1645">
        <f t="shared" si="196"/>
        <v>494.55088299116522</v>
      </c>
      <c r="K1645" s="30">
        <f t="shared" si="197"/>
        <v>8152.7325375335604</v>
      </c>
    </row>
    <row r="1646" spans="1:11" x14ac:dyDescent="0.25">
      <c r="A1646" s="29">
        <v>1596</v>
      </c>
      <c r="B1646" s="99">
        <f t="shared" si="198"/>
        <v>0</v>
      </c>
      <c r="C1646" s="75">
        <f t="shared" si="202"/>
        <v>104.50616427295054</v>
      </c>
      <c r="D1646" s="100">
        <f t="shared" si="199"/>
        <v>445.77777777777789</v>
      </c>
      <c r="E1646">
        <f t="shared" si="195"/>
        <v>0</v>
      </c>
      <c r="G1646">
        <v>1596</v>
      </c>
      <c r="H1646" s="15">
        <f t="shared" si="200"/>
        <v>3.3332641781299799E-2</v>
      </c>
      <c r="I1646">
        <f t="shared" si="201"/>
        <v>157.70506055589502</v>
      </c>
      <c r="J1646">
        <f t="shared" si="196"/>
        <v>494.56397475163055</v>
      </c>
      <c r="K1646" s="30">
        <f t="shared" si="197"/>
        <v>8153.1639497038632</v>
      </c>
    </row>
    <row r="1647" spans="1:11" x14ac:dyDescent="0.25">
      <c r="A1647" s="29">
        <v>1597</v>
      </c>
      <c r="B1647" s="99">
        <f t="shared" si="198"/>
        <v>0</v>
      </c>
      <c r="C1647" s="75">
        <f t="shared" si="202"/>
        <v>104.50616427295054</v>
      </c>
      <c r="D1647" s="100">
        <f t="shared" si="199"/>
        <v>445.77777777777789</v>
      </c>
      <c r="E1647">
        <f t="shared" si="195"/>
        <v>0</v>
      </c>
      <c r="G1647">
        <v>1597</v>
      </c>
      <c r="H1647" s="15">
        <f t="shared" si="200"/>
        <v>3.3332641781299799E-2</v>
      </c>
      <c r="I1647">
        <f t="shared" si="201"/>
        <v>157.73839319767632</v>
      </c>
      <c r="J1647">
        <f t="shared" si="196"/>
        <v>494.57705277789603</v>
      </c>
      <c r="K1647" s="30">
        <f t="shared" si="197"/>
        <v>8153.5949205454135</v>
      </c>
    </row>
    <row r="1648" spans="1:11" x14ac:dyDescent="0.25">
      <c r="A1648" s="29">
        <v>1598</v>
      </c>
      <c r="B1648" s="99">
        <f t="shared" si="198"/>
        <v>0</v>
      </c>
      <c r="C1648" s="75">
        <f t="shared" si="202"/>
        <v>104.50616427295054</v>
      </c>
      <c r="D1648" s="100">
        <f t="shared" si="199"/>
        <v>445.77777777777789</v>
      </c>
      <c r="E1648">
        <f t="shared" si="195"/>
        <v>0</v>
      </c>
      <c r="G1648">
        <v>1598</v>
      </c>
      <c r="H1648" s="15">
        <f t="shared" si="200"/>
        <v>3.3332641781299799E-2</v>
      </c>
      <c r="I1648">
        <f t="shared" si="201"/>
        <v>157.77172583945762</v>
      </c>
      <c r="J1648">
        <f t="shared" si="196"/>
        <v>494.59011707573148</v>
      </c>
      <c r="K1648" s="30">
        <f t="shared" si="197"/>
        <v>8154.0254502124117</v>
      </c>
    </row>
    <row r="1649" spans="1:11" x14ac:dyDescent="0.25">
      <c r="A1649" s="29">
        <v>1599</v>
      </c>
      <c r="B1649" s="99">
        <f t="shared" si="198"/>
        <v>0</v>
      </c>
      <c r="C1649" s="75">
        <f t="shared" si="202"/>
        <v>104.50616427295054</v>
      </c>
      <c r="D1649" s="100">
        <f t="shared" si="199"/>
        <v>445.77777777777789</v>
      </c>
      <c r="E1649">
        <f t="shared" si="195"/>
        <v>0</v>
      </c>
      <c r="G1649">
        <v>1599</v>
      </c>
      <c r="H1649" s="15">
        <f t="shared" si="200"/>
        <v>3.3332641781299799E-2</v>
      </c>
      <c r="I1649">
        <f t="shared" si="201"/>
        <v>157.80505848123892</v>
      </c>
      <c r="J1649">
        <f t="shared" si="196"/>
        <v>494.60316765089755</v>
      </c>
      <c r="K1649" s="30">
        <f t="shared" si="197"/>
        <v>8154.4555388588051</v>
      </c>
    </row>
    <row r="1650" spans="1:11" x14ac:dyDescent="0.25">
      <c r="A1650" s="29">
        <v>1600</v>
      </c>
      <c r="B1650" s="99">
        <f t="shared" si="198"/>
        <v>0</v>
      </c>
      <c r="C1650" s="75">
        <f t="shared" si="202"/>
        <v>104.50616427295054</v>
      </c>
      <c r="D1650" s="100">
        <f t="shared" si="199"/>
        <v>445.77777777777789</v>
      </c>
      <c r="E1650">
        <f t="shared" si="195"/>
        <v>0</v>
      </c>
      <c r="G1650">
        <v>1600</v>
      </c>
      <c r="H1650" s="15">
        <f t="shared" si="200"/>
        <v>3.3332641781299799E-2</v>
      </c>
      <c r="I1650">
        <f t="shared" si="201"/>
        <v>157.83839112302022</v>
      </c>
      <c r="J1650">
        <f t="shared" si="196"/>
        <v>494.61620450914552</v>
      </c>
      <c r="K1650" s="30">
        <f t="shared" si="197"/>
        <v>8154.8851866382965</v>
      </c>
    </row>
    <row r="1651" spans="1:11" x14ac:dyDescent="0.25">
      <c r="A1651" s="29">
        <v>1601</v>
      </c>
      <c r="B1651" s="99">
        <f t="shared" si="198"/>
        <v>0</v>
      </c>
      <c r="C1651" s="75">
        <f t="shared" si="202"/>
        <v>104.50616427295054</v>
      </c>
      <c r="D1651" s="100">
        <f t="shared" si="199"/>
        <v>445.77777777777789</v>
      </c>
      <c r="E1651">
        <f t="shared" ref="E1651:E1714" si="203">((D1651^2)+(D1651*D1652)+(D1652^2))*B1652/3</f>
        <v>0</v>
      </c>
      <c r="G1651">
        <v>1601</v>
      </c>
      <c r="H1651" s="15">
        <f t="shared" si="200"/>
        <v>3.3332641781299799E-2</v>
      </c>
      <c r="I1651">
        <f t="shared" si="201"/>
        <v>157.87172376480152</v>
      </c>
      <c r="J1651">
        <f t="shared" ref="J1651:J1714" si="204">IF($G$28&lt;$C$14,0,((($C$11^2)-((I1651-$C$13)^2))^0.5)+$C$16)</f>
        <v>494.62922765621744</v>
      </c>
      <c r="K1651" s="30">
        <f t="shared" ref="K1651:K1714" si="205">((J1651^2)+(J1651*J1652)+(J1652^2))*H1652/3</f>
        <v>8155.3143937043396</v>
      </c>
    </row>
    <row r="1652" spans="1:11" x14ac:dyDescent="0.25">
      <c r="A1652" s="29">
        <v>1602</v>
      </c>
      <c r="B1652" s="99">
        <f t="shared" ref="B1652:B1715" si="206">C1652-C1651</f>
        <v>0</v>
      </c>
      <c r="C1652" s="75">
        <f t="shared" si="202"/>
        <v>104.50616427295054</v>
      </c>
      <c r="D1652" s="100">
        <f t="shared" ref="D1652:D1715" si="207">IF($G$28&lt;$C$14,0,((($C$11^2)-((C1652-$C$13)^2))^0.5)+$C$16)</f>
        <v>445.77777777777789</v>
      </c>
      <c r="E1652">
        <f t="shared" si="203"/>
        <v>0</v>
      </c>
      <c r="G1652">
        <v>1602</v>
      </c>
      <c r="H1652" s="15">
        <f t="shared" ref="H1652:H1715" si="208">I1652-I1651</f>
        <v>3.3332641781299799E-2</v>
      </c>
      <c r="I1652">
        <f t="shared" ref="I1652:I1715" si="209">($G$27-$C$14)/2000+I1651</f>
        <v>157.90505640658282</v>
      </c>
      <c r="J1652">
        <f t="shared" si="204"/>
        <v>494.64223709784613</v>
      </c>
      <c r="K1652" s="30">
        <f t="shared" si="205"/>
        <v>8155.7431602101424</v>
      </c>
    </row>
    <row r="1653" spans="1:11" x14ac:dyDescent="0.25">
      <c r="A1653" s="29">
        <v>1603</v>
      </c>
      <c r="B1653" s="99">
        <f t="shared" si="206"/>
        <v>0</v>
      </c>
      <c r="C1653" s="75">
        <f t="shared" si="202"/>
        <v>104.50616427295054</v>
      </c>
      <c r="D1653" s="100">
        <f t="shared" si="207"/>
        <v>445.77777777777789</v>
      </c>
      <c r="E1653">
        <f t="shared" si="203"/>
        <v>0</v>
      </c>
      <c r="G1653">
        <v>1603</v>
      </c>
      <c r="H1653" s="15">
        <f t="shared" si="208"/>
        <v>3.3332641781299799E-2</v>
      </c>
      <c r="I1653">
        <f t="shared" si="209"/>
        <v>157.93838904836412</v>
      </c>
      <c r="J1653">
        <f t="shared" si="204"/>
        <v>494.65523283975523</v>
      </c>
      <c r="K1653" s="30">
        <f t="shared" si="205"/>
        <v>8156.1714863086645</v>
      </c>
    </row>
    <row r="1654" spans="1:11" x14ac:dyDescent="0.25">
      <c r="A1654" s="29">
        <v>1604</v>
      </c>
      <c r="B1654" s="99">
        <f t="shared" si="206"/>
        <v>0</v>
      </c>
      <c r="C1654" s="75">
        <f t="shared" si="202"/>
        <v>104.50616427295054</v>
      </c>
      <c r="D1654" s="100">
        <f t="shared" si="207"/>
        <v>445.77777777777789</v>
      </c>
      <c r="E1654">
        <f t="shared" si="203"/>
        <v>0</v>
      </c>
      <c r="G1654">
        <v>1604</v>
      </c>
      <c r="H1654" s="15">
        <f t="shared" si="208"/>
        <v>3.3332641781299799E-2</v>
      </c>
      <c r="I1654">
        <f t="shared" si="209"/>
        <v>157.97172169014542</v>
      </c>
      <c r="J1654">
        <f t="shared" si="204"/>
        <v>494.66821488765913</v>
      </c>
      <c r="K1654" s="30">
        <f t="shared" si="205"/>
        <v>8156.5993721526238</v>
      </c>
    </row>
    <row r="1655" spans="1:11" x14ac:dyDescent="0.25">
      <c r="A1655" s="29">
        <v>1605</v>
      </c>
      <c r="B1655" s="99">
        <f t="shared" si="206"/>
        <v>0</v>
      </c>
      <c r="C1655" s="75">
        <f t="shared" si="202"/>
        <v>104.50616427295054</v>
      </c>
      <c r="D1655" s="100">
        <f t="shared" si="207"/>
        <v>445.77777777777789</v>
      </c>
      <c r="E1655">
        <f t="shared" si="203"/>
        <v>0</v>
      </c>
      <c r="G1655">
        <v>1605</v>
      </c>
      <c r="H1655" s="15">
        <f t="shared" si="208"/>
        <v>3.3332641781299799E-2</v>
      </c>
      <c r="I1655">
        <f t="shared" si="209"/>
        <v>158.00505433192671</v>
      </c>
      <c r="J1655">
        <f t="shared" si="204"/>
        <v>494.68118324726299</v>
      </c>
      <c r="K1655" s="30">
        <f t="shared" si="205"/>
        <v>8157.0268178944852</v>
      </c>
    </row>
    <row r="1656" spans="1:11" x14ac:dyDescent="0.25">
      <c r="A1656" s="29">
        <v>1606</v>
      </c>
      <c r="B1656" s="99">
        <f t="shared" si="206"/>
        <v>0</v>
      </c>
      <c r="C1656" s="75">
        <f t="shared" si="202"/>
        <v>104.50616427295054</v>
      </c>
      <c r="D1656" s="100">
        <f t="shared" si="207"/>
        <v>445.77777777777789</v>
      </c>
      <c r="E1656">
        <f t="shared" si="203"/>
        <v>0</v>
      </c>
      <c r="G1656">
        <v>1606</v>
      </c>
      <c r="H1656" s="15">
        <f t="shared" si="208"/>
        <v>3.3332641781299799E-2</v>
      </c>
      <c r="I1656">
        <f t="shared" si="209"/>
        <v>158.03838697370801</v>
      </c>
      <c r="J1656">
        <f t="shared" si="204"/>
        <v>494.69413792426286</v>
      </c>
      <c r="K1656" s="30">
        <f t="shared" si="205"/>
        <v>8157.4538236864764</v>
      </c>
    </row>
    <row r="1657" spans="1:11" x14ac:dyDescent="0.25">
      <c r="A1657" s="29">
        <v>1607</v>
      </c>
      <c r="B1657" s="99">
        <f t="shared" si="206"/>
        <v>0</v>
      </c>
      <c r="C1657" s="75">
        <f t="shared" si="202"/>
        <v>104.50616427295054</v>
      </c>
      <c r="D1657" s="100">
        <f t="shared" si="207"/>
        <v>445.77777777777789</v>
      </c>
      <c r="E1657">
        <f t="shared" si="203"/>
        <v>0</v>
      </c>
      <c r="G1657">
        <v>1607</v>
      </c>
      <c r="H1657" s="15">
        <f t="shared" si="208"/>
        <v>3.3332641781299799E-2</v>
      </c>
      <c r="I1657">
        <f t="shared" si="209"/>
        <v>158.07171961548931</v>
      </c>
      <c r="J1657">
        <f t="shared" si="204"/>
        <v>494.70707892434564</v>
      </c>
      <c r="K1657" s="30">
        <f t="shared" si="205"/>
        <v>8157.8803896805757</v>
      </c>
    </row>
    <row r="1658" spans="1:11" x14ac:dyDescent="0.25">
      <c r="A1658" s="29">
        <v>1608</v>
      </c>
      <c r="B1658" s="99">
        <f t="shared" si="206"/>
        <v>0</v>
      </c>
      <c r="C1658" s="75">
        <f t="shared" si="202"/>
        <v>104.50616427295054</v>
      </c>
      <c r="D1658" s="100">
        <f t="shared" si="207"/>
        <v>445.77777777777789</v>
      </c>
      <c r="E1658">
        <f t="shared" si="203"/>
        <v>0</v>
      </c>
      <c r="G1658">
        <v>1608</v>
      </c>
      <c r="H1658" s="15">
        <f t="shared" si="208"/>
        <v>3.3332641781299799E-2</v>
      </c>
      <c r="I1658">
        <f t="shared" si="209"/>
        <v>158.10505225727061</v>
      </c>
      <c r="J1658">
        <f t="shared" si="204"/>
        <v>494.7200062531889</v>
      </c>
      <c r="K1658" s="30">
        <f t="shared" si="205"/>
        <v>8158.306516028515</v>
      </c>
    </row>
    <row r="1659" spans="1:11" x14ac:dyDescent="0.25">
      <c r="A1659" s="29">
        <v>1609</v>
      </c>
      <c r="B1659" s="99">
        <f t="shared" si="206"/>
        <v>0</v>
      </c>
      <c r="C1659" s="75">
        <f t="shared" si="202"/>
        <v>104.50616427295054</v>
      </c>
      <c r="D1659" s="100">
        <f t="shared" si="207"/>
        <v>445.77777777777789</v>
      </c>
      <c r="E1659">
        <f t="shared" si="203"/>
        <v>0</v>
      </c>
      <c r="G1659">
        <v>1609</v>
      </c>
      <c r="H1659" s="15">
        <f t="shared" si="208"/>
        <v>3.3332641781299799E-2</v>
      </c>
      <c r="I1659">
        <f t="shared" si="209"/>
        <v>158.13838489905191</v>
      </c>
      <c r="J1659">
        <f t="shared" si="204"/>
        <v>494.73291991646136</v>
      </c>
      <c r="K1659" s="30">
        <f t="shared" si="205"/>
        <v>8158.7322028817844</v>
      </c>
    </row>
    <row r="1660" spans="1:11" x14ac:dyDescent="0.25">
      <c r="A1660" s="29">
        <v>1610</v>
      </c>
      <c r="B1660" s="99">
        <f t="shared" si="206"/>
        <v>0</v>
      </c>
      <c r="C1660" s="75">
        <f t="shared" si="202"/>
        <v>104.50616427295054</v>
      </c>
      <c r="D1660" s="100">
        <f t="shared" si="207"/>
        <v>445.77777777777789</v>
      </c>
      <c r="E1660">
        <f t="shared" si="203"/>
        <v>0</v>
      </c>
      <c r="G1660">
        <v>1610</v>
      </c>
      <c r="H1660" s="15">
        <f t="shared" si="208"/>
        <v>3.3332641781299799E-2</v>
      </c>
      <c r="I1660">
        <f t="shared" si="209"/>
        <v>158.17171754083321</v>
      </c>
      <c r="J1660">
        <f t="shared" si="204"/>
        <v>494.74581991982234</v>
      </c>
      <c r="K1660" s="30">
        <f t="shared" si="205"/>
        <v>8159.1574503916336</v>
      </c>
    </row>
    <row r="1661" spans="1:11" x14ac:dyDescent="0.25">
      <c r="A1661" s="29">
        <v>1611</v>
      </c>
      <c r="B1661" s="99">
        <f t="shared" si="206"/>
        <v>0</v>
      </c>
      <c r="C1661" s="75">
        <f t="shared" si="202"/>
        <v>104.50616427295054</v>
      </c>
      <c r="D1661" s="100">
        <f t="shared" si="207"/>
        <v>445.77777777777789</v>
      </c>
      <c r="E1661">
        <f t="shared" si="203"/>
        <v>0</v>
      </c>
      <c r="G1661">
        <v>1611</v>
      </c>
      <c r="H1661" s="15">
        <f t="shared" si="208"/>
        <v>3.3332641781299799E-2</v>
      </c>
      <c r="I1661">
        <f t="shared" si="209"/>
        <v>158.20505018261451</v>
      </c>
      <c r="J1661">
        <f t="shared" si="204"/>
        <v>494.75870626892225</v>
      </c>
      <c r="K1661" s="30">
        <f t="shared" si="205"/>
        <v>8159.5822587090634</v>
      </c>
    </row>
    <row r="1662" spans="1:11" x14ac:dyDescent="0.25">
      <c r="A1662" s="29">
        <v>1612</v>
      </c>
      <c r="B1662" s="99">
        <f t="shared" si="206"/>
        <v>0</v>
      </c>
      <c r="C1662" s="75">
        <f t="shared" si="202"/>
        <v>104.50616427295054</v>
      </c>
      <c r="D1662" s="100">
        <f t="shared" si="207"/>
        <v>445.77777777777789</v>
      </c>
      <c r="E1662">
        <f t="shared" si="203"/>
        <v>0</v>
      </c>
      <c r="G1662">
        <v>1612</v>
      </c>
      <c r="H1662" s="15">
        <f t="shared" si="208"/>
        <v>3.3332641781299799E-2</v>
      </c>
      <c r="I1662">
        <f t="shared" si="209"/>
        <v>158.23838282439581</v>
      </c>
      <c r="J1662">
        <f t="shared" si="204"/>
        <v>494.77157896940236</v>
      </c>
      <c r="K1662" s="30">
        <f t="shared" si="205"/>
        <v>8160.0066279848352</v>
      </c>
    </row>
    <row r="1663" spans="1:11" x14ac:dyDescent="0.25">
      <c r="A1663" s="29">
        <v>1613</v>
      </c>
      <c r="B1663" s="99">
        <f t="shared" si="206"/>
        <v>0</v>
      </c>
      <c r="C1663" s="75">
        <f t="shared" si="202"/>
        <v>104.50616427295054</v>
      </c>
      <c r="D1663" s="100">
        <f t="shared" si="207"/>
        <v>445.77777777777789</v>
      </c>
      <c r="E1663">
        <f t="shared" si="203"/>
        <v>0</v>
      </c>
      <c r="G1663">
        <v>1613</v>
      </c>
      <c r="H1663" s="15">
        <f t="shared" si="208"/>
        <v>3.3332641781299799E-2</v>
      </c>
      <c r="I1663">
        <f t="shared" si="209"/>
        <v>158.27171546617711</v>
      </c>
      <c r="J1663">
        <f t="shared" si="204"/>
        <v>494.7844380268948</v>
      </c>
      <c r="K1663" s="30">
        <f t="shared" si="205"/>
        <v>8160.430558369465</v>
      </c>
    </row>
    <row r="1664" spans="1:11" x14ac:dyDescent="0.25">
      <c r="A1664" s="29">
        <v>1614</v>
      </c>
      <c r="B1664" s="99">
        <f t="shared" si="206"/>
        <v>0</v>
      </c>
      <c r="C1664" s="75">
        <f t="shared" si="202"/>
        <v>104.50616427295054</v>
      </c>
      <c r="D1664" s="100">
        <f t="shared" si="207"/>
        <v>445.77777777777789</v>
      </c>
      <c r="E1664">
        <f t="shared" si="203"/>
        <v>0</v>
      </c>
      <c r="G1664">
        <v>1614</v>
      </c>
      <c r="H1664" s="15">
        <f t="shared" si="208"/>
        <v>3.3332641781299799E-2</v>
      </c>
      <c r="I1664">
        <f t="shared" si="209"/>
        <v>158.30504810795841</v>
      </c>
      <c r="J1664">
        <f t="shared" si="204"/>
        <v>494.79728344702266</v>
      </c>
      <c r="K1664" s="30">
        <f t="shared" si="205"/>
        <v>8160.8540500132285</v>
      </c>
    </row>
    <row r="1665" spans="1:11" x14ac:dyDescent="0.25">
      <c r="A1665" s="29">
        <v>1615</v>
      </c>
      <c r="B1665" s="99">
        <f t="shared" si="206"/>
        <v>0</v>
      </c>
      <c r="C1665" s="75">
        <f t="shared" si="202"/>
        <v>104.50616427295054</v>
      </c>
      <c r="D1665" s="100">
        <f t="shared" si="207"/>
        <v>445.77777777777789</v>
      </c>
      <c r="E1665">
        <f t="shared" si="203"/>
        <v>0</v>
      </c>
      <c r="G1665">
        <v>1615</v>
      </c>
      <c r="H1665" s="15">
        <f t="shared" si="208"/>
        <v>3.3332641781299799E-2</v>
      </c>
      <c r="I1665">
        <f t="shared" si="209"/>
        <v>158.33838074973971</v>
      </c>
      <c r="J1665">
        <f t="shared" si="204"/>
        <v>494.81011523540008</v>
      </c>
      <c r="K1665" s="30">
        <f t="shared" si="205"/>
        <v>8161.2771030661606</v>
      </c>
    </row>
    <row r="1666" spans="1:11" x14ac:dyDescent="0.25">
      <c r="A1666" s="29">
        <v>1616</v>
      </c>
      <c r="B1666" s="99">
        <f t="shared" si="206"/>
        <v>0</v>
      </c>
      <c r="C1666" s="75">
        <f t="shared" si="202"/>
        <v>104.50616427295054</v>
      </c>
      <c r="D1666" s="100">
        <f t="shared" si="207"/>
        <v>445.77777777777789</v>
      </c>
      <c r="E1666">
        <f t="shared" si="203"/>
        <v>0</v>
      </c>
      <c r="G1666">
        <v>1616</v>
      </c>
      <c r="H1666" s="15">
        <f t="shared" si="208"/>
        <v>3.3332641781299799E-2</v>
      </c>
      <c r="I1666">
        <f t="shared" si="209"/>
        <v>158.37171339152101</v>
      </c>
      <c r="J1666">
        <f t="shared" si="204"/>
        <v>494.82293339763203</v>
      </c>
      <c r="K1666" s="30">
        <f t="shared" si="205"/>
        <v>8161.6997176780524</v>
      </c>
    </row>
    <row r="1667" spans="1:11" x14ac:dyDescent="0.25">
      <c r="A1667" s="29">
        <v>1617</v>
      </c>
      <c r="B1667" s="99">
        <f t="shared" si="206"/>
        <v>0</v>
      </c>
      <c r="C1667" s="75">
        <f t="shared" si="202"/>
        <v>104.50616427295054</v>
      </c>
      <c r="D1667" s="100">
        <f t="shared" si="207"/>
        <v>445.77777777777789</v>
      </c>
      <c r="E1667">
        <f t="shared" si="203"/>
        <v>0</v>
      </c>
      <c r="G1667">
        <v>1617</v>
      </c>
      <c r="H1667" s="15">
        <f t="shared" si="208"/>
        <v>3.3332641781299799E-2</v>
      </c>
      <c r="I1667">
        <f t="shared" si="209"/>
        <v>158.40504603330231</v>
      </c>
      <c r="J1667">
        <f t="shared" si="204"/>
        <v>494.83573793931458</v>
      </c>
      <c r="K1667" s="30">
        <f t="shared" si="205"/>
        <v>8162.1218939984547</v>
      </c>
    </row>
    <row r="1668" spans="1:11" x14ac:dyDescent="0.25">
      <c r="A1668" s="29">
        <v>1618</v>
      </c>
      <c r="B1668" s="99">
        <f t="shared" si="206"/>
        <v>0</v>
      </c>
      <c r="C1668" s="75">
        <f t="shared" si="202"/>
        <v>104.50616427295054</v>
      </c>
      <c r="D1668" s="100">
        <f t="shared" si="207"/>
        <v>445.77777777777789</v>
      </c>
      <c r="E1668">
        <f t="shared" si="203"/>
        <v>0</v>
      </c>
      <c r="G1668">
        <v>1618</v>
      </c>
      <c r="H1668" s="15">
        <f t="shared" si="208"/>
        <v>3.3332641781299799E-2</v>
      </c>
      <c r="I1668">
        <f t="shared" si="209"/>
        <v>158.43837867508361</v>
      </c>
      <c r="J1668">
        <f t="shared" si="204"/>
        <v>494.84852886603466</v>
      </c>
      <c r="K1668" s="30">
        <f t="shared" si="205"/>
        <v>8162.5436321766792</v>
      </c>
    </row>
    <row r="1669" spans="1:11" x14ac:dyDescent="0.25">
      <c r="A1669" s="29">
        <v>1619</v>
      </c>
      <c r="B1669" s="99">
        <f t="shared" si="206"/>
        <v>0</v>
      </c>
      <c r="C1669" s="75">
        <f t="shared" si="202"/>
        <v>104.50616427295054</v>
      </c>
      <c r="D1669" s="100">
        <f t="shared" si="207"/>
        <v>445.77777777777789</v>
      </c>
      <c r="E1669">
        <f t="shared" si="203"/>
        <v>0</v>
      </c>
      <c r="G1669">
        <v>1619</v>
      </c>
      <c r="H1669" s="15">
        <f t="shared" si="208"/>
        <v>3.3332641781299799E-2</v>
      </c>
      <c r="I1669">
        <f t="shared" si="209"/>
        <v>158.47171131686491</v>
      </c>
      <c r="J1669">
        <f t="shared" si="204"/>
        <v>494.86130618337029</v>
      </c>
      <c r="K1669" s="30">
        <f t="shared" si="205"/>
        <v>8162.964932361795</v>
      </c>
    </row>
    <row r="1670" spans="1:11" x14ac:dyDescent="0.25">
      <c r="A1670" s="29">
        <v>1620</v>
      </c>
      <c r="B1670" s="99">
        <f t="shared" si="206"/>
        <v>0</v>
      </c>
      <c r="C1670" s="75">
        <f t="shared" si="202"/>
        <v>104.50616427295054</v>
      </c>
      <c r="D1670" s="100">
        <f t="shared" si="207"/>
        <v>445.77777777777789</v>
      </c>
      <c r="E1670">
        <f t="shared" si="203"/>
        <v>0</v>
      </c>
      <c r="G1670">
        <v>1620</v>
      </c>
      <c r="H1670" s="15">
        <f t="shared" si="208"/>
        <v>3.3332641781299799E-2</v>
      </c>
      <c r="I1670">
        <f t="shared" si="209"/>
        <v>158.50504395864621</v>
      </c>
      <c r="J1670">
        <f t="shared" si="204"/>
        <v>494.87406989689055</v>
      </c>
      <c r="K1670" s="30">
        <f t="shared" si="205"/>
        <v>8163.3857947026308</v>
      </c>
    </row>
    <row r="1671" spans="1:11" x14ac:dyDescent="0.25">
      <c r="A1671" s="29">
        <v>1621</v>
      </c>
      <c r="B1671" s="99">
        <f t="shared" si="206"/>
        <v>0</v>
      </c>
      <c r="C1671" s="75">
        <f t="shared" si="202"/>
        <v>104.50616427295054</v>
      </c>
      <c r="D1671" s="100">
        <f t="shared" si="207"/>
        <v>445.77777777777789</v>
      </c>
      <c r="E1671">
        <f t="shared" si="203"/>
        <v>0</v>
      </c>
      <c r="G1671">
        <v>1621</v>
      </c>
      <c r="H1671" s="15">
        <f t="shared" si="208"/>
        <v>3.3332641781299799E-2</v>
      </c>
      <c r="I1671">
        <f t="shared" si="209"/>
        <v>158.53837660042751</v>
      </c>
      <c r="J1671">
        <f t="shared" si="204"/>
        <v>494.88682001215545</v>
      </c>
      <c r="K1671" s="30">
        <f t="shared" si="205"/>
        <v>8163.8062193477808</v>
      </c>
    </row>
    <row r="1672" spans="1:11" x14ac:dyDescent="0.25">
      <c r="A1672" s="29">
        <v>1622</v>
      </c>
      <c r="B1672" s="99">
        <f t="shared" si="206"/>
        <v>0</v>
      </c>
      <c r="C1672" s="75">
        <f t="shared" si="202"/>
        <v>104.50616427295054</v>
      </c>
      <c r="D1672" s="100">
        <f t="shared" si="207"/>
        <v>445.77777777777789</v>
      </c>
      <c r="E1672">
        <f t="shared" si="203"/>
        <v>0</v>
      </c>
      <c r="G1672">
        <v>1622</v>
      </c>
      <c r="H1672" s="15">
        <f t="shared" si="208"/>
        <v>3.3332641781299799E-2</v>
      </c>
      <c r="I1672">
        <f t="shared" si="209"/>
        <v>158.57170924220881</v>
      </c>
      <c r="J1672">
        <f t="shared" si="204"/>
        <v>494.89955653471623</v>
      </c>
      <c r="K1672" s="30">
        <f t="shared" si="205"/>
        <v>8164.2262064455945</v>
      </c>
    </row>
    <row r="1673" spans="1:11" x14ac:dyDescent="0.25">
      <c r="A1673" s="29">
        <v>1623</v>
      </c>
      <c r="B1673" s="99">
        <f t="shared" si="206"/>
        <v>0</v>
      </c>
      <c r="C1673" s="75">
        <f t="shared" si="202"/>
        <v>104.50616427295054</v>
      </c>
      <c r="D1673" s="100">
        <f t="shared" si="207"/>
        <v>445.77777777777789</v>
      </c>
      <c r="E1673">
        <f t="shared" si="203"/>
        <v>0</v>
      </c>
      <c r="G1673">
        <v>1623</v>
      </c>
      <c r="H1673" s="15">
        <f t="shared" si="208"/>
        <v>3.3332641781299799E-2</v>
      </c>
      <c r="I1673">
        <f t="shared" si="209"/>
        <v>158.60504188399011</v>
      </c>
      <c r="J1673">
        <f t="shared" si="204"/>
        <v>494.91227947011498</v>
      </c>
      <c r="K1673" s="30">
        <f t="shared" si="205"/>
        <v>8164.645756144183</v>
      </c>
    </row>
    <row r="1674" spans="1:11" x14ac:dyDescent="0.25">
      <c r="A1674" s="29">
        <v>1624</v>
      </c>
      <c r="B1674" s="99">
        <f t="shared" si="206"/>
        <v>0</v>
      </c>
      <c r="C1674" s="75">
        <f t="shared" si="202"/>
        <v>104.50616427295054</v>
      </c>
      <c r="D1674" s="100">
        <f t="shared" si="207"/>
        <v>445.77777777777789</v>
      </c>
      <c r="E1674">
        <f t="shared" si="203"/>
        <v>0</v>
      </c>
      <c r="G1674">
        <v>1624</v>
      </c>
      <c r="H1674" s="15">
        <f t="shared" si="208"/>
        <v>3.3332641781299799E-2</v>
      </c>
      <c r="I1674">
        <f t="shared" si="209"/>
        <v>158.63837452577141</v>
      </c>
      <c r="J1674">
        <f t="shared" si="204"/>
        <v>494.92498882388497</v>
      </c>
      <c r="K1674" s="30">
        <f t="shared" si="205"/>
        <v>8165.0648685914248</v>
      </c>
    </row>
    <row r="1675" spans="1:11" x14ac:dyDescent="0.25">
      <c r="A1675" s="29">
        <v>1625</v>
      </c>
      <c r="B1675" s="99">
        <f t="shared" si="206"/>
        <v>0</v>
      </c>
      <c r="C1675" s="75">
        <f t="shared" si="202"/>
        <v>104.50616427295054</v>
      </c>
      <c r="D1675" s="100">
        <f t="shared" si="207"/>
        <v>445.77777777777789</v>
      </c>
      <c r="E1675">
        <f t="shared" si="203"/>
        <v>0</v>
      </c>
      <c r="G1675">
        <v>1625</v>
      </c>
      <c r="H1675" s="15">
        <f t="shared" si="208"/>
        <v>3.3332641781299799E-2</v>
      </c>
      <c r="I1675">
        <f t="shared" si="209"/>
        <v>158.67170716755271</v>
      </c>
      <c r="J1675">
        <f t="shared" si="204"/>
        <v>494.93768460155059</v>
      </c>
      <c r="K1675" s="30">
        <f t="shared" si="205"/>
        <v>8165.4835439349526</v>
      </c>
    </row>
    <row r="1676" spans="1:11" x14ac:dyDescent="0.25">
      <c r="A1676" s="29">
        <v>1626</v>
      </c>
      <c r="B1676" s="99">
        <f t="shared" si="206"/>
        <v>0</v>
      </c>
      <c r="C1676" s="75">
        <f t="shared" si="202"/>
        <v>104.50616427295054</v>
      </c>
      <c r="D1676" s="100">
        <f t="shared" si="207"/>
        <v>445.77777777777789</v>
      </c>
      <c r="E1676">
        <f t="shared" si="203"/>
        <v>0</v>
      </c>
      <c r="G1676">
        <v>1626</v>
      </c>
      <c r="H1676" s="15">
        <f t="shared" si="208"/>
        <v>3.3332641781299799E-2</v>
      </c>
      <c r="I1676">
        <f t="shared" si="209"/>
        <v>158.70503980933401</v>
      </c>
      <c r="J1676">
        <f t="shared" si="204"/>
        <v>494.95036680862739</v>
      </c>
      <c r="K1676" s="30">
        <f t="shared" si="205"/>
        <v>8165.9017823221666</v>
      </c>
    </row>
    <row r="1677" spans="1:11" x14ac:dyDescent="0.25">
      <c r="A1677" s="29">
        <v>1627</v>
      </c>
      <c r="B1677" s="99">
        <f t="shared" si="206"/>
        <v>0</v>
      </c>
      <c r="C1677" s="75">
        <f t="shared" si="202"/>
        <v>104.50616427295054</v>
      </c>
      <c r="D1677" s="100">
        <f t="shared" si="207"/>
        <v>445.77777777777789</v>
      </c>
      <c r="E1677">
        <f t="shared" si="203"/>
        <v>0</v>
      </c>
      <c r="G1677">
        <v>1627</v>
      </c>
      <c r="H1677" s="15">
        <f t="shared" si="208"/>
        <v>3.3332641781299799E-2</v>
      </c>
      <c r="I1677">
        <f t="shared" si="209"/>
        <v>158.73837245111531</v>
      </c>
      <c r="J1677">
        <f t="shared" si="204"/>
        <v>494.96303545062182</v>
      </c>
      <c r="K1677" s="30">
        <f t="shared" si="205"/>
        <v>8166.3195839002292</v>
      </c>
    </row>
    <row r="1678" spans="1:11" x14ac:dyDescent="0.25">
      <c r="A1678" s="29">
        <v>1628</v>
      </c>
      <c r="B1678" s="99">
        <f t="shared" si="206"/>
        <v>0</v>
      </c>
      <c r="C1678" s="75">
        <f t="shared" si="202"/>
        <v>104.50616427295054</v>
      </c>
      <c r="D1678" s="100">
        <f t="shared" si="207"/>
        <v>445.77777777777789</v>
      </c>
      <c r="E1678">
        <f t="shared" si="203"/>
        <v>0</v>
      </c>
      <c r="G1678">
        <v>1628</v>
      </c>
      <c r="H1678" s="15">
        <f t="shared" si="208"/>
        <v>3.3332641781299799E-2</v>
      </c>
      <c r="I1678">
        <f t="shared" si="209"/>
        <v>158.77170509289661</v>
      </c>
      <c r="J1678">
        <f t="shared" si="204"/>
        <v>494.9756905330317</v>
      </c>
      <c r="K1678" s="30">
        <f t="shared" si="205"/>
        <v>8166.7369488160621</v>
      </c>
    </row>
    <row r="1679" spans="1:11" x14ac:dyDescent="0.25">
      <c r="A1679" s="29">
        <v>1629</v>
      </c>
      <c r="B1679" s="99">
        <f t="shared" si="206"/>
        <v>0</v>
      </c>
      <c r="C1679" s="75">
        <f t="shared" si="202"/>
        <v>104.50616427295054</v>
      </c>
      <c r="D1679" s="100">
        <f t="shared" si="207"/>
        <v>445.77777777777789</v>
      </c>
      <c r="E1679">
        <f t="shared" si="203"/>
        <v>0</v>
      </c>
      <c r="G1679">
        <v>1629</v>
      </c>
      <c r="H1679" s="15">
        <f t="shared" si="208"/>
        <v>3.3332641781299799E-2</v>
      </c>
      <c r="I1679">
        <f t="shared" si="209"/>
        <v>158.80503773467791</v>
      </c>
      <c r="J1679">
        <f t="shared" si="204"/>
        <v>494.98833206134589</v>
      </c>
      <c r="K1679" s="30">
        <f t="shared" si="205"/>
        <v>8167.1538772163576</v>
      </c>
    </row>
    <row r="1680" spans="1:11" x14ac:dyDescent="0.25">
      <c r="A1680" s="29">
        <v>1630</v>
      </c>
      <c r="B1680" s="99">
        <f t="shared" si="206"/>
        <v>0</v>
      </c>
      <c r="C1680" s="75">
        <f t="shared" ref="C1680:C1743" si="210">($C$37-$C$36)/2000+C1679</f>
        <v>104.50616427295054</v>
      </c>
      <c r="D1680" s="100">
        <f t="shared" si="207"/>
        <v>445.77777777777789</v>
      </c>
      <c r="E1680">
        <f t="shared" si="203"/>
        <v>0</v>
      </c>
      <c r="G1680">
        <v>1630</v>
      </c>
      <c r="H1680" s="15">
        <f t="shared" si="208"/>
        <v>3.3332641781299799E-2</v>
      </c>
      <c r="I1680">
        <f t="shared" si="209"/>
        <v>158.83837037645921</v>
      </c>
      <c r="J1680">
        <f t="shared" si="204"/>
        <v>495.00096004104444</v>
      </c>
      <c r="K1680" s="30">
        <f t="shared" si="205"/>
        <v>8167.5703692475627</v>
      </c>
    </row>
    <row r="1681" spans="1:11" x14ac:dyDescent="0.25">
      <c r="A1681" s="29">
        <v>1631</v>
      </c>
      <c r="B1681" s="99">
        <f t="shared" si="206"/>
        <v>0</v>
      </c>
      <c r="C1681" s="75">
        <f t="shared" si="210"/>
        <v>104.50616427295054</v>
      </c>
      <c r="D1681" s="100">
        <f t="shared" si="207"/>
        <v>445.77777777777789</v>
      </c>
      <c r="E1681">
        <f t="shared" si="203"/>
        <v>0</v>
      </c>
      <c r="G1681">
        <v>1631</v>
      </c>
      <c r="H1681" s="15">
        <f t="shared" si="208"/>
        <v>3.3332641781299799E-2</v>
      </c>
      <c r="I1681">
        <f t="shared" si="209"/>
        <v>158.87170301824051</v>
      </c>
      <c r="J1681">
        <f t="shared" si="204"/>
        <v>495.01357447759858</v>
      </c>
      <c r="K1681" s="30">
        <f t="shared" si="205"/>
        <v>8167.9864250558976</v>
      </c>
    </row>
    <row r="1682" spans="1:11" x14ac:dyDescent="0.25">
      <c r="A1682" s="29">
        <v>1632</v>
      </c>
      <c r="B1682" s="99">
        <f t="shared" si="206"/>
        <v>0</v>
      </c>
      <c r="C1682" s="75">
        <f t="shared" si="210"/>
        <v>104.50616427295054</v>
      </c>
      <c r="D1682" s="100">
        <f t="shared" si="207"/>
        <v>445.77777777777789</v>
      </c>
      <c r="E1682">
        <f t="shared" si="203"/>
        <v>0</v>
      </c>
      <c r="G1682">
        <v>1632</v>
      </c>
      <c r="H1682" s="15">
        <f t="shared" si="208"/>
        <v>3.3332641781299799E-2</v>
      </c>
      <c r="I1682">
        <f t="shared" si="209"/>
        <v>158.90503566002181</v>
      </c>
      <c r="J1682">
        <f t="shared" si="204"/>
        <v>495.02617537647075</v>
      </c>
      <c r="K1682" s="30">
        <f t="shared" si="205"/>
        <v>8168.4020447873418</v>
      </c>
    </row>
    <row r="1683" spans="1:11" x14ac:dyDescent="0.25">
      <c r="A1683" s="29">
        <v>1633</v>
      </c>
      <c r="B1683" s="99">
        <f t="shared" si="206"/>
        <v>0</v>
      </c>
      <c r="C1683" s="75">
        <f t="shared" si="210"/>
        <v>104.50616427295054</v>
      </c>
      <c r="D1683" s="100">
        <f t="shared" si="207"/>
        <v>445.77777777777789</v>
      </c>
      <c r="E1683">
        <f t="shared" si="203"/>
        <v>0</v>
      </c>
      <c r="G1683">
        <v>1633</v>
      </c>
      <c r="H1683" s="15">
        <f t="shared" si="208"/>
        <v>3.3332641781299799E-2</v>
      </c>
      <c r="I1683">
        <f t="shared" si="209"/>
        <v>158.93836830180311</v>
      </c>
      <c r="J1683">
        <f t="shared" si="204"/>
        <v>495.03876274311449</v>
      </c>
      <c r="K1683" s="30">
        <f t="shared" si="205"/>
        <v>8168.817228587639</v>
      </c>
    </row>
    <row r="1684" spans="1:11" x14ac:dyDescent="0.25">
      <c r="A1684" s="29">
        <v>1634</v>
      </c>
      <c r="B1684" s="99">
        <f t="shared" si="206"/>
        <v>0</v>
      </c>
      <c r="C1684" s="75">
        <f t="shared" si="210"/>
        <v>104.50616427295054</v>
      </c>
      <c r="D1684" s="100">
        <f t="shared" si="207"/>
        <v>445.77777777777789</v>
      </c>
      <c r="E1684">
        <f t="shared" si="203"/>
        <v>0</v>
      </c>
      <c r="G1684">
        <v>1634</v>
      </c>
      <c r="H1684" s="15">
        <f t="shared" si="208"/>
        <v>3.3332641781299799E-2</v>
      </c>
      <c r="I1684">
        <f t="shared" si="209"/>
        <v>158.97170094358441</v>
      </c>
      <c r="J1684">
        <f t="shared" si="204"/>
        <v>495.05133658297467</v>
      </c>
      <c r="K1684" s="30">
        <f t="shared" si="205"/>
        <v>8169.2319766023038</v>
      </c>
    </row>
    <row r="1685" spans="1:11" x14ac:dyDescent="0.25">
      <c r="A1685" s="29">
        <v>1635</v>
      </c>
      <c r="B1685" s="99">
        <f t="shared" si="206"/>
        <v>0</v>
      </c>
      <c r="C1685" s="75">
        <f t="shared" si="210"/>
        <v>104.50616427295054</v>
      </c>
      <c r="D1685" s="100">
        <f t="shared" si="207"/>
        <v>445.77777777777789</v>
      </c>
      <c r="E1685">
        <f t="shared" si="203"/>
        <v>0</v>
      </c>
      <c r="G1685">
        <v>1635</v>
      </c>
      <c r="H1685" s="15">
        <f t="shared" si="208"/>
        <v>3.3332641781299799E-2</v>
      </c>
      <c r="I1685">
        <f t="shared" si="209"/>
        <v>159.00503358536571</v>
      </c>
      <c r="J1685">
        <f t="shared" si="204"/>
        <v>495.0638969014874</v>
      </c>
      <c r="K1685" s="30">
        <f t="shared" si="205"/>
        <v>8169.646288976608</v>
      </c>
    </row>
    <row r="1686" spans="1:11" x14ac:dyDescent="0.25">
      <c r="A1686" s="29">
        <v>1636</v>
      </c>
      <c r="B1686" s="99">
        <f t="shared" si="206"/>
        <v>0</v>
      </c>
      <c r="C1686" s="75">
        <f t="shared" si="210"/>
        <v>104.50616427295054</v>
      </c>
      <c r="D1686" s="100">
        <f t="shared" si="207"/>
        <v>445.77777777777789</v>
      </c>
      <c r="E1686">
        <f t="shared" si="203"/>
        <v>0</v>
      </c>
      <c r="G1686">
        <v>1636</v>
      </c>
      <c r="H1686" s="15">
        <f t="shared" si="208"/>
        <v>3.3332641781299799E-2</v>
      </c>
      <c r="I1686">
        <f t="shared" si="209"/>
        <v>159.03836622714701</v>
      </c>
      <c r="J1686">
        <f t="shared" si="204"/>
        <v>495.07644370407991</v>
      </c>
      <c r="K1686" s="30">
        <f t="shared" si="205"/>
        <v>8170.0601658555997</v>
      </c>
    </row>
    <row r="1687" spans="1:11" x14ac:dyDescent="0.25">
      <c r="A1687" s="29">
        <v>1637</v>
      </c>
      <c r="B1687" s="99">
        <f t="shared" si="206"/>
        <v>0</v>
      </c>
      <c r="C1687" s="75">
        <f t="shared" si="210"/>
        <v>104.50616427295054</v>
      </c>
      <c r="D1687" s="100">
        <f t="shared" si="207"/>
        <v>445.77777777777789</v>
      </c>
      <c r="E1687">
        <f t="shared" si="203"/>
        <v>0</v>
      </c>
      <c r="G1687">
        <v>1637</v>
      </c>
      <c r="H1687" s="15">
        <f t="shared" si="208"/>
        <v>3.3332641781299799E-2</v>
      </c>
      <c r="I1687">
        <f t="shared" si="209"/>
        <v>159.07169886892831</v>
      </c>
      <c r="J1687">
        <f t="shared" si="204"/>
        <v>495.08897699617091</v>
      </c>
      <c r="K1687" s="30">
        <f t="shared" si="205"/>
        <v>8170.4736073840841</v>
      </c>
    </row>
    <row r="1688" spans="1:11" x14ac:dyDescent="0.25">
      <c r="A1688" s="29">
        <v>1638</v>
      </c>
      <c r="B1688" s="99">
        <f t="shared" si="206"/>
        <v>0</v>
      </c>
      <c r="C1688" s="75">
        <f t="shared" si="210"/>
        <v>104.50616427295054</v>
      </c>
      <c r="D1688" s="100">
        <f t="shared" si="207"/>
        <v>445.77777777777789</v>
      </c>
      <c r="E1688">
        <f t="shared" si="203"/>
        <v>0</v>
      </c>
      <c r="G1688">
        <v>1638</v>
      </c>
      <c r="H1688" s="15">
        <f t="shared" si="208"/>
        <v>3.3332641781299799E-2</v>
      </c>
      <c r="I1688">
        <f t="shared" si="209"/>
        <v>159.10503151070961</v>
      </c>
      <c r="J1688">
        <f t="shared" si="204"/>
        <v>495.10149678317015</v>
      </c>
      <c r="K1688" s="30">
        <f t="shared" si="205"/>
        <v>8170.8866137066407</v>
      </c>
    </row>
    <row r="1689" spans="1:11" x14ac:dyDescent="0.25">
      <c r="A1689" s="29">
        <v>1639</v>
      </c>
      <c r="B1689" s="99">
        <f t="shared" si="206"/>
        <v>0</v>
      </c>
      <c r="C1689" s="75">
        <f t="shared" si="210"/>
        <v>104.50616427295054</v>
      </c>
      <c r="D1689" s="100">
        <f t="shared" si="207"/>
        <v>445.77777777777789</v>
      </c>
      <c r="E1689">
        <f t="shared" si="203"/>
        <v>0</v>
      </c>
      <c r="G1689">
        <v>1639</v>
      </c>
      <c r="H1689" s="15">
        <f t="shared" si="208"/>
        <v>3.3332641781299799E-2</v>
      </c>
      <c r="I1689">
        <f t="shared" si="209"/>
        <v>159.13836415249091</v>
      </c>
      <c r="J1689">
        <f t="shared" si="204"/>
        <v>495.11400307047882</v>
      </c>
      <c r="K1689" s="30">
        <f t="shared" si="205"/>
        <v>8171.2991849676109</v>
      </c>
    </row>
    <row r="1690" spans="1:11" x14ac:dyDescent="0.25">
      <c r="A1690" s="29">
        <v>1640</v>
      </c>
      <c r="B1690" s="99">
        <f t="shared" si="206"/>
        <v>0</v>
      </c>
      <c r="C1690" s="75">
        <f t="shared" si="210"/>
        <v>104.50616427295054</v>
      </c>
      <c r="D1690" s="100">
        <f t="shared" si="207"/>
        <v>445.77777777777789</v>
      </c>
      <c r="E1690">
        <f t="shared" si="203"/>
        <v>0</v>
      </c>
      <c r="G1690">
        <v>1640</v>
      </c>
      <c r="H1690" s="15">
        <f t="shared" si="208"/>
        <v>3.3332641781299799E-2</v>
      </c>
      <c r="I1690">
        <f t="shared" si="209"/>
        <v>159.17169679427221</v>
      </c>
      <c r="J1690">
        <f t="shared" si="204"/>
        <v>495.12649586348937</v>
      </c>
      <c r="K1690" s="30">
        <f t="shared" si="205"/>
        <v>8171.7113213111043</v>
      </c>
    </row>
    <row r="1691" spans="1:11" x14ac:dyDescent="0.25">
      <c r="A1691" s="29">
        <v>1641</v>
      </c>
      <c r="B1691" s="99">
        <f t="shared" si="206"/>
        <v>0</v>
      </c>
      <c r="C1691" s="75">
        <f t="shared" si="210"/>
        <v>104.50616427295054</v>
      </c>
      <c r="D1691" s="100">
        <f t="shared" si="207"/>
        <v>445.77777777777789</v>
      </c>
      <c r="E1691">
        <f t="shared" si="203"/>
        <v>0</v>
      </c>
      <c r="G1691">
        <v>1641</v>
      </c>
      <c r="H1691" s="15">
        <f t="shared" si="208"/>
        <v>3.3332641781299799E-2</v>
      </c>
      <c r="I1691">
        <f t="shared" si="209"/>
        <v>159.20502943605351</v>
      </c>
      <c r="J1691">
        <f t="shared" si="204"/>
        <v>495.13897516758544</v>
      </c>
      <c r="K1691" s="30">
        <f t="shared" si="205"/>
        <v>8172.1230228810009</v>
      </c>
    </row>
    <row r="1692" spans="1:11" x14ac:dyDescent="0.25">
      <c r="A1692" s="29">
        <v>1642</v>
      </c>
      <c r="B1692" s="99">
        <f t="shared" si="206"/>
        <v>0</v>
      </c>
      <c r="C1692" s="75">
        <f t="shared" si="210"/>
        <v>104.50616427295054</v>
      </c>
      <c r="D1692" s="100">
        <f t="shared" si="207"/>
        <v>445.77777777777789</v>
      </c>
      <c r="E1692">
        <f t="shared" si="203"/>
        <v>0</v>
      </c>
      <c r="G1692">
        <v>1642</v>
      </c>
      <c r="H1692" s="15">
        <f t="shared" si="208"/>
        <v>3.3332641781299799E-2</v>
      </c>
      <c r="I1692">
        <f t="shared" si="209"/>
        <v>159.23836207783481</v>
      </c>
      <c r="J1692">
        <f t="shared" si="204"/>
        <v>495.15144098814221</v>
      </c>
      <c r="K1692" s="30">
        <f t="shared" si="205"/>
        <v>8172.5342898209456</v>
      </c>
    </row>
    <row r="1693" spans="1:11" x14ac:dyDescent="0.25">
      <c r="A1693" s="29">
        <v>1643</v>
      </c>
      <c r="B1693" s="99">
        <f t="shared" si="206"/>
        <v>0</v>
      </c>
      <c r="C1693" s="75">
        <f t="shared" si="210"/>
        <v>104.50616427295054</v>
      </c>
      <c r="D1693" s="100">
        <f t="shared" si="207"/>
        <v>445.77777777777789</v>
      </c>
      <c r="E1693">
        <f t="shared" si="203"/>
        <v>0</v>
      </c>
      <c r="G1693">
        <v>1643</v>
      </c>
      <c r="H1693" s="15">
        <f t="shared" si="208"/>
        <v>3.3332641781299799E-2</v>
      </c>
      <c r="I1693">
        <f t="shared" si="209"/>
        <v>159.27169471961611</v>
      </c>
      <c r="J1693">
        <f t="shared" si="204"/>
        <v>495.16389333052615</v>
      </c>
      <c r="K1693" s="30">
        <f t="shared" si="205"/>
        <v>8172.9451222743564</v>
      </c>
    </row>
    <row r="1694" spans="1:11" x14ac:dyDescent="0.25">
      <c r="A1694" s="29">
        <v>1644</v>
      </c>
      <c r="B1694" s="99">
        <f t="shared" si="206"/>
        <v>0</v>
      </c>
      <c r="C1694" s="75">
        <f t="shared" si="210"/>
        <v>104.50616427295054</v>
      </c>
      <c r="D1694" s="100">
        <f t="shared" si="207"/>
        <v>445.77777777777789</v>
      </c>
      <c r="E1694">
        <f t="shared" si="203"/>
        <v>0</v>
      </c>
      <c r="G1694">
        <v>1644</v>
      </c>
      <c r="H1694" s="15">
        <f t="shared" si="208"/>
        <v>3.3332641781299799E-2</v>
      </c>
      <c r="I1694">
        <f t="shared" si="209"/>
        <v>159.30502736139741</v>
      </c>
      <c r="J1694">
        <f t="shared" si="204"/>
        <v>495.17633220009498</v>
      </c>
      <c r="K1694" s="30">
        <f t="shared" si="205"/>
        <v>8173.355520384418</v>
      </c>
    </row>
    <row r="1695" spans="1:11" x14ac:dyDescent="0.25">
      <c r="A1695" s="29">
        <v>1645</v>
      </c>
      <c r="B1695" s="99">
        <f t="shared" si="206"/>
        <v>0</v>
      </c>
      <c r="C1695" s="75">
        <f t="shared" si="210"/>
        <v>104.50616427295054</v>
      </c>
      <c r="D1695" s="100">
        <f t="shared" si="207"/>
        <v>445.77777777777789</v>
      </c>
      <c r="E1695">
        <f t="shared" si="203"/>
        <v>0</v>
      </c>
      <c r="G1695">
        <v>1645</v>
      </c>
      <c r="H1695" s="15">
        <f t="shared" si="208"/>
        <v>3.3332641781299799E-2</v>
      </c>
      <c r="I1695">
        <f t="shared" si="209"/>
        <v>159.33836000317871</v>
      </c>
      <c r="J1695">
        <f t="shared" si="204"/>
        <v>495.18875760219782</v>
      </c>
      <c r="K1695" s="30">
        <f t="shared" si="205"/>
        <v>8173.7654842940792</v>
      </c>
    </row>
    <row r="1696" spans="1:11" x14ac:dyDescent="0.25">
      <c r="A1696" s="29">
        <v>1646</v>
      </c>
      <c r="B1696" s="99">
        <f t="shared" si="206"/>
        <v>0</v>
      </c>
      <c r="C1696" s="75">
        <f t="shared" si="210"/>
        <v>104.50616427295054</v>
      </c>
      <c r="D1696" s="100">
        <f t="shared" si="207"/>
        <v>445.77777777777789</v>
      </c>
      <c r="E1696">
        <f t="shared" si="203"/>
        <v>0</v>
      </c>
      <c r="G1696">
        <v>1646</v>
      </c>
      <c r="H1696" s="15">
        <f t="shared" si="208"/>
        <v>3.3332641781299799E-2</v>
      </c>
      <c r="I1696">
        <f t="shared" si="209"/>
        <v>159.37169264496001</v>
      </c>
      <c r="J1696">
        <f t="shared" si="204"/>
        <v>495.20116954217525</v>
      </c>
      <c r="K1696" s="30">
        <f t="shared" si="205"/>
        <v>8174.1750141460689</v>
      </c>
    </row>
    <row r="1697" spans="1:11" x14ac:dyDescent="0.25">
      <c r="A1697" s="29">
        <v>1647</v>
      </c>
      <c r="B1697" s="99">
        <f t="shared" si="206"/>
        <v>0</v>
      </c>
      <c r="C1697" s="75">
        <f t="shared" si="210"/>
        <v>104.50616427295054</v>
      </c>
      <c r="D1697" s="100">
        <f t="shared" si="207"/>
        <v>445.77777777777789</v>
      </c>
      <c r="E1697">
        <f t="shared" si="203"/>
        <v>0</v>
      </c>
      <c r="G1697">
        <v>1647</v>
      </c>
      <c r="H1697" s="15">
        <f t="shared" si="208"/>
        <v>3.3332641781299799E-2</v>
      </c>
      <c r="I1697">
        <f t="shared" si="209"/>
        <v>159.40502528674131</v>
      </c>
      <c r="J1697">
        <f t="shared" si="204"/>
        <v>495.21356802535917</v>
      </c>
      <c r="K1697" s="30">
        <f t="shared" si="205"/>
        <v>8174.5841100828775</v>
      </c>
    </row>
    <row r="1698" spans="1:11" x14ac:dyDescent="0.25">
      <c r="A1698" s="29">
        <v>1648</v>
      </c>
      <c r="B1698" s="99">
        <f t="shared" si="206"/>
        <v>0</v>
      </c>
      <c r="C1698" s="75">
        <f t="shared" si="210"/>
        <v>104.50616427295054</v>
      </c>
      <c r="D1698" s="100">
        <f t="shared" si="207"/>
        <v>445.77777777777789</v>
      </c>
      <c r="E1698">
        <f t="shared" si="203"/>
        <v>0</v>
      </c>
      <c r="G1698">
        <v>1648</v>
      </c>
      <c r="H1698" s="15">
        <f t="shared" si="208"/>
        <v>3.3332641781299799E-2</v>
      </c>
      <c r="I1698">
        <f t="shared" si="209"/>
        <v>159.43835792852261</v>
      </c>
      <c r="J1698">
        <f t="shared" si="204"/>
        <v>495.2259530570729</v>
      </c>
      <c r="K1698" s="30">
        <f t="shared" si="205"/>
        <v>8174.9927722467701</v>
      </c>
    </row>
    <row r="1699" spans="1:11" x14ac:dyDescent="0.25">
      <c r="A1699" s="29">
        <v>1649</v>
      </c>
      <c r="B1699" s="99">
        <f t="shared" si="206"/>
        <v>0</v>
      </c>
      <c r="C1699" s="75">
        <f t="shared" si="210"/>
        <v>104.50616427295054</v>
      </c>
      <c r="D1699" s="100">
        <f t="shared" si="207"/>
        <v>445.77777777777789</v>
      </c>
      <c r="E1699">
        <f t="shared" si="203"/>
        <v>0</v>
      </c>
      <c r="G1699">
        <v>1649</v>
      </c>
      <c r="H1699" s="15">
        <f t="shared" si="208"/>
        <v>3.3332641781299799E-2</v>
      </c>
      <c r="I1699">
        <f t="shared" si="209"/>
        <v>159.47169057030391</v>
      </c>
      <c r="J1699">
        <f t="shared" si="204"/>
        <v>495.23832464263126</v>
      </c>
      <c r="K1699" s="30">
        <f t="shared" si="205"/>
        <v>8175.4010007797806</v>
      </c>
    </row>
    <row r="1700" spans="1:11" x14ac:dyDescent="0.25">
      <c r="A1700" s="29">
        <v>1650</v>
      </c>
      <c r="B1700" s="99">
        <f t="shared" si="206"/>
        <v>0</v>
      </c>
      <c r="C1700" s="75">
        <f t="shared" si="210"/>
        <v>104.50616427295054</v>
      </c>
      <c r="D1700" s="100">
        <f t="shared" si="207"/>
        <v>445.77777777777789</v>
      </c>
      <c r="E1700">
        <f t="shared" si="203"/>
        <v>0</v>
      </c>
      <c r="G1700">
        <v>1650</v>
      </c>
      <c r="H1700" s="15">
        <f t="shared" si="208"/>
        <v>3.3332641781299799E-2</v>
      </c>
      <c r="I1700">
        <f t="shared" si="209"/>
        <v>159.50502321208521</v>
      </c>
      <c r="J1700">
        <f t="shared" si="204"/>
        <v>495.25068278734034</v>
      </c>
      <c r="K1700" s="30">
        <f t="shared" si="205"/>
        <v>8175.808795823712</v>
      </c>
    </row>
    <row r="1701" spans="1:11" x14ac:dyDescent="0.25">
      <c r="A1701" s="29">
        <v>1651</v>
      </c>
      <c r="B1701" s="99">
        <f t="shared" si="206"/>
        <v>0</v>
      </c>
      <c r="C1701" s="75">
        <f t="shared" si="210"/>
        <v>104.50616427295054</v>
      </c>
      <c r="D1701" s="100">
        <f t="shared" si="207"/>
        <v>445.77777777777789</v>
      </c>
      <c r="E1701">
        <f t="shared" si="203"/>
        <v>0</v>
      </c>
      <c r="G1701">
        <v>1651</v>
      </c>
      <c r="H1701" s="15">
        <f t="shared" si="208"/>
        <v>3.3332641781299799E-2</v>
      </c>
      <c r="I1701">
        <f t="shared" si="209"/>
        <v>159.53835585386651</v>
      </c>
      <c r="J1701">
        <f t="shared" si="204"/>
        <v>495.26302749649784</v>
      </c>
      <c r="K1701" s="30">
        <f t="shared" si="205"/>
        <v>8176.2161575201453</v>
      </c>
    </row>
    <row r="1702" spans="1:11" x14ac:dyDescent="0.25">
      <c r="A1702" s="29">
        <v>1652</v>
      </c>
      <c r="B1702" s="99">
        <f t="shared" si="206"/>
        <v>0</v>
      </c>
      <c r="C1702" s="75">
        <f t="shared" si="210"/>
        <v>104.50616427295054</v>
      </c>
      <c r="D1702" s="100">
        <f t="shared" si="207"/>
        <v>445.77777777777789</v>
      </c>
      <c r="E1702">
        <f t="shared" si="203"/>
        <v>0</v>
      </c>
      <c r="G1702">
        <v>1652</v>
      </c>
      <c r="H1702" s="15">
        <f t="shared" si="208"/>
        <v>3.3332641781299799E-2</v>
      </c>
      <c r="I1702">
        <f t="shared" si="209"/>
        <v>159.57168849564781</v>
      </c>
      <c r="J1702">
        <f t="shared" si="204"/>
        <v>495.27535877539287</v>
      </c>
      <c r="K1702" s="30">
        <f t="shared" si="205"/>
        <v>8176.6230860104288</v>
      </c>
    </row>
    <row r="1703" spans="1:11" x14ac:dyDescent="0.25">
      <c r="A1703" s="29">
        <v>1653</v>
      </c>
      <c r="B1703" s="99">
        <f t="shared" si="206"/>
        <v>0</v>
      </c>
      <c r="C1703" s="75">
        <f t="shared" si="210"/>
        <v>104.50616427295054</v>
      </c>
      <c r="D1703" s="100">
        <f t="shared" si="207"/>
        <v>445.77777777777789</v>
      </c>
      <c r="E1703">
        <f t="shared" si="203"/>
        <v>0</v>
      </c>
      <c r="G1703">
        <v>1653</v>
      </c>
      <c r="H1703" s="15">
        <f t="shared" si="208"/>
        <v>3.3332641781299799E-2</v>
      </c>
      <c r="I1703">
        <f t="shared" si="209"/>
        <v>159.60502113742911</v>
      </c>
      <c r="J1703">
        <f t="shared" si="204"/>
        <v>495.28767662930596</v>
      </c>
      <c r="K1703" s="30">
        <f t="shared" si="205"/>
        <v>8177.0295814356832</v>
      </c>
    </row>
    <row r="1704" spans="1:11" x14ac:dyDescent="0.25">
      <c r="A1704" s="29">
        <v>1654</v>
      </c>
      <c r="B1704" s="99">
        <f t="shared" si="206"/>
        <v>0</v>
      </c>
      <c r="C1704" s="75">
        <f t="shared" si="210"/>
        <v>104.50616427295054</v>
      </c>
      <c r="D1704" s="100">
        <f t="shared" si="207"/>
        <v>445.77777777777789</v>
      </c>
      <c r="E1704">
        <f t="shared" si="203"/>
        <v>0</v>
      </c>
      <c r="G1704">
        <v>1654</v>
      </c>
      <c r="H1704" s="15">
        <f t="shared" si="208"/>
        <v>3.3332641781299799E-2</v>
      </c>
      <c r="I1704">
        <f t="shared" si="209"/>
        <v>159.63835377921041</v>
      </c>
      <c r="J1704">
        <f t="shared" si="204"/>
        <v>495.29998106350922</v>
      </c>
      <c r="K1704" s="30">
        <f t="shared" si="205"/>
        <v>8177.4356439367984</v>
      </c>
    </row>
    <row r="1705" spans="1:11" x14ac:dyDescent="0.25">
      <c r="A1705" s="29">
        <v>1655</v>
      </c>
      <c r="B1705" s="99">
        <f t="shared" si="206"/>
        <v>0</v>
      </c>
      <c r="C1705" s="75">
        <f t="shared" si="210"/>
        <v>104.50616427295054</v>
      </c>
      <c r="D1705" s="100">
        <f t="shared" si="207"/>
        <v>445.77777777777789</v>
      </c>
      <c r="E1705">
        <f t="shared" si="203"/>
        <v>0</v>
      </c>
      <c r="G1705">
        <v>1655</v>
      </c>
      <c r="H1705" s="15">
        <f t="shared" si="208"/>
        <v>3.3332641781299799E-2</v>
      </c>
      <c r="I1705">
        <f t="shared" si="209"/>
        <v>159.6716864209917</v>
      </c>
      <c r="J1705">
        <f t="shared" si="204"/>
        <v>495.31227208326618</v>
      </c>
      <c r="K1705" s="30">
        <f t="shared" si="205"/>
        <v>8177.841273654446</v>
      </c>
    </row>
    <row r="1706" spans="1:11" x14ac:dyDescent="0.25">
      <c r="A1706" s="29">
        <v>1656</v>
      </c>
      <c r="B1706" s="99">
        <f t="shared" si="206"/>
        <v>0</v>
      </c>
      <c r="C1706" s="75">
        <f t="shared" si="210"/>
        <v>104.50616427295054</v>
      </c>
      <c r="D1706" s="100">
        <f t="shared" si="207"/>
        <v>445.77777777777789</v>
      </c>
      <c r="E1706">
        <f t="shared" si="203"/>
        <v>0</v>
      </c>
      <c r="G1706">
        <v>1656</v>
      </c>
      <c r="H1706" s="15">
        <f t="shared" si="208"/>
        <v>3.3332641781299799E-2</v>
      </c>
      <c r="I1706">
        <f t="shared" si="209"/>
        <v>159.705019062773</v>
      </c>
      <c r="J1706">
        <f t="shared" si="204"/>
        <v>495.32454969383195</v>
      </c>
      <c r="K1706" s="30">
        <f t="shared" si="205"/>
        <v>8178.2464707290637</v>
      </c>
    </row>
    <row r="1707" spans="1:11" x14ac:dyDescent="0.25">
      <c r="A1707" s="29">
        <v>1657</v>
      </c>
      <c r="B1707" s="99">
        <f t="shared" si="206"/>
        <v>0</v>
      </c>
      <c r="C1707" s="75">
        <f t="shared" si="210"/>
        <v>104.50616427295054</v>
      </c>
      <c r="D1707" s="100">
        <f t="shared" si="207"/>
        <v>445.77777777777789</v>
      </c>
      <c r="E1707">
        <f t="shared" si="203"/>
        <v>0</v>
      </c>
      <c r="G1707">
        <v>1657</v>
      </c>
      <c r="H1707" s="15">
        <f t="shared" si="208"/>
        <v>3.3332641781299799E-2</v>
      </c>
      <c r="I1707">
        <f t="shared" si="209"/>
        <v>159.7383517045543</v>
      </c>
      <c r="J1707">
        <f t="shared" si="204"/>
        <v>495.33681390045308</v>
      </c>
      <c r="K1707" s="30">
        <f t="shared" si="205"/>
        <v>8178.6512353008629</v>
      </c>
    </row>
    <row r="1708" spans="1:11" x14ac:dyDescent="0.25">
      <c r="A1708" s="29">
        <v>1658</v>
      </c>
      <c r="B1708" s="99">
        <f t="shared" si="206"/>
        <v>0</v>
      </c>
      <c r="C1708" s="75">
        <f t="shared" si="210"/>
        <v>104.50616427295054</v>
      </c>
      <c r="D1708" s="100">
        <f t="shared" si="207"/>
        <v>445.77777777777789</v>
      </c>
      <c r="E1708">
        <f t="shared" si="203"/>
        <v>0</v>
      </c>
      <c r="G1708">
        <v>1658</v>
      </c>
      <c r="H1708" s="15">
        <f t="shared" si="208"/>
        <v>3.3332641781299799E-2</v>
      </c>
      <c r="I1708">
        <f t="shared" si="209"/>
        <v>159.7716843463356</v>
      </c>
      <c r="J1708">
        <f t="shared" si="204"/>
        <v>495.34906470836773</v>
      </c>
      <c r="K1708" s="30">
        <f t="shared" si="205"/>
        <v>8179.0555675098321</v>
      </c>
    </row>
    <row r="1709" spans="1:11" x14ac:dyDescent="0.25">
      <c r="A1709" s="29">
        <v>1659</v>
      </c>
      <c r="B1709" s="99">
        <f t="shared" si="206"/>
        <v>0</v>
      </c>
      <c r="C1709" s="75">
        <f t="shared" si="210"/>
        <v>104.50616427295054</v>
      </c>
      <c r="D1709" s="100">
        <f t="shared" si="207"/>
        <v>445.77777777777789</v>
      </c>
      <c r="E1709">
        <f t="shared" si="203"/>
        <v>0</v>
      </c>
      <c r="G1709">
        <v>1659</v>
      </c>
      <c r="H1709" s="15">
        <f t="shared" si="208"/>
        <v>3.3332641781299799E-2</v>
      </c>
      <c r="I1709">
        <f t="shared" si="209"/>
        <v>159.8050169881169</v>
      </c>
      <c r="J1709">
        <f t="shared" si="204"/>
        <v>495.36130212280563</v>
      </c>
      <c r="K1709" s="30">
        <f t="shared" si="205"/>
        <v>8179.4594674957307</v>
      </c>
    </row>
    <row r="1710" spans="1:11" x14ac:dyDescent="0.25">
      <c r="A1710" s="29">
        <v>1660</v>
      </c>
      <c r="B1710" s="99">
        <f t="shared" si="206"/>
        <v>0</v>
      </c>
      <c r="C1710" s="75">
        <f t="shared" si="210"/>
        <v>104.50616427295054</v>
      </c>
      <c r="D1710" s="100">
        <f t="shared" si="207"/>
        <v>445.77777777777789</v>
      </c>
      <c r="E1710">
        <f t="shared" si="203"/>
        <v>0</v>
      </c>
      <c r="G1710">
        <v>1660</v>
      </c>
      <c r="H1710" s="15">
        <f t="shared" si="208"/>
        <v>3.3332641781299799E-2</v>
      </c>
      <c r="I1710">
        <f t="shared" si="209"/>
        <v>159.8383496298982</v>
      </c>
      <c r="J1710">
        <f t="shared" si="204"/>
        <v>495.37352614898799</v>
      </c>
      <c r="K1710" s="30">
        <f t="shared" si="205"/>
        <v>8179.8629353980978</v>
      </c>
    </row>
    <row r="1711" spans="1:11" x14ac:dyDescent="0.25">
      <c r="A1711" s="29">
        <v>1661</v>
      </c>
      <c r="B1711" s="99">
        <f t="shared" si="206"/>
        <v>0</v>
      </c>
      <c r="C1711" s="75">
        <f t="shared" si="210"/>
        <v>104.50616427295054</v>
      </c>
      <c r="D1711" s="100">
        <f t="shared" si="207"/>
        <v>445.77777777777789</v>
      </c>
      <c r="E1711">
        <f t="shared" si="203"/>
        <v>0</v>
      </c>
      <c r="G1711">
        <v>1661</v>
      </c>
      <c r="H1711" s="15">
        <f t="shared" si="208"/>
        <v>3.3332641781299799E-2</v>
      </c>
      <c r="I1711">
        <f t="shared" si="209"/>
        <v>159.8716822716795</v>
      </c>
      <c r="J1711">
        <f t="shared" si="204"/>
        <v>495.38573679212766</v>
      </c>
      <c r="K1711" s="30">
        <f t="shared" si="205"/>
        <v>8180.2659713562416</v>
      </c>
    </row>
    <row r="1712" spans="1:11" x14ac:dyDescent="0.25">
      <c r="A1712" s="29">
        <v>1662</v>
      </c>
      <c r="B1712" s="99">
        <f t="shared" si="206"/>
        <v>0</v>
      </c>
      <c r="C1712" s="75">
        <f t="shared" si="210"/>
        <v>104.50616427295054</v>
      </c>
      <c r="D1712" s="100">
        <f t="shared" si="207"/>
        <v>445.77777777777789</v>
      </c>
      <c r="E1712">
        <f t="shared" si="203"/>
        <v>0</v>
      </c>
      <c r="G1712">
        <v>1662</v>
      </c>
      <c r="H1712" s="15">
        <f t="shared" si="208"/>
        <v>3.3332641781299799E-2</v>
      </c>
      <c r="I1712">
        <f t="shared" si="209"/>
        <v>159.9050149134608</v>
      </c>
      <c r="J1712">
        <f t="shared" si="204"/>
        <v>495.39793405742915</v>
      </c>
      <c r="K1712" s="30">
        <f t="shared" si="205"/>
        <v>8180.6685755092512</v>
      </c>
    </row>
    <row r="1713" spans="1:11" x14ac:dyDescent="0.25">
      <c r="A1713" s="29">
        <v>1663</v>
      </c>
      <c r="B1713" s="99">
        <f t="shared" si="206"/>
        <v>0</v>
      </c>
      <c r="C1713" s="75">
        <f t="shared" si="210"/>
        <v>104.50616427295054</v>
      </c>
      <c r="D1713" s="100">
        <f t="shared" si="207"/>
        <v>445.77777777777789</v>
      </c>
      <c r="E1713">
        <f t="shared" si="203"/>
        <v>0</v>
      </c>
      <c r="G1713">
        <v>1663</v>
      </c>
      <c r="H1713" s="15">
        <f t="shared" si="208"/>
        <v>3.3332641781299799E-2</v>
      </c>
      <c r="I1713">
        <f t="shared" si="209"/>
        <v>159.9383475552421</v>
      </c>
      <c r="J1713">
        <f t="shared" si="204"/>
        <v>495.41011795008842</v>
      </c>
      <c r="K1713" s="30">
        <f t="shared" si="205"/>
        <v>8181.0707479959829</v>
      </c>
    </row>
    <row r="1714" spans="1:11" x14ac:dyDescent="0.25">
      <c r="A1714" s="29">
        <v>1664</v>
      </c>
      <c r="B1714" s="99">
        <f t="shared" si="206"/>
        <v>0</v>
      </c>
      <c r="C1714" s="75">
        <f t="shared" si="210"/>
        <v>104.50616427295054</v>
      </c>
      <c r="D1714" s="100">
        <f t="shared" si="207"/>
        <v>445.77777777777789</v>
      </c>
      <c r="E1714">
        <f t="shared" si="203"/>
        <v>0</v>
      </c>
      <c r="G1714">
        <v>1664</v>
      </c>
      <c r="H1714" s="15">
        <f t="shared" si="208"/>
        <v>3.3332641781299799E-2</v>
      </c>
      <c r="I1714">
        <f t="shared" si="209"/>
        <v>159.9716801970234</v>
      </c>
      <c r="J1714">
        <f t="shared" si="204"/>
        <v>495.4222884752931</v>
      </c>
      <c r="K1714" s="30">
        <f t="shared" si="205"/>
        <v>8181.4724889550789</v>
      </c>
    </row>
    <row r="1715" spans="1:11" x14ac:dyDescent="0.25">
      <c r="A1715" s="29">
        <v>1665</v>
      </c>
      <c r="B1715" s="99">
        <f t="shared" si="206"/>
        <v>0</v>
      </c>
      <c r="C1715" s="75">
        <f t="shared" si="210"/>
        <v>104.50616427295054</v>
      </c>
      <c r="D1715" s="100">
        <f t="shared" si="207"/>
        <v>445.77777777777789</v>
      </c>
      <c r="E1715">
        <f t="shared" ref="E1715:E1778" si="211">((D1715^2)+(D1715*D1716)+(D1716^2))*B1716/3</f>
        <v>0</v>
      </c>
      <c r="G1715">
        <v>1665</v>
      </c>
      <c r="H1715" s="15">
        <f t="shared" si="208"/>
        <v>3.3332641781299799E-2</v>
      </c>
      <c r="I1715">
        <f t="shared" si="209"/>
        <v>160.0050128388047</v>
      </c>
      <c r="J1715">
        <f t="shared" ref="J1715:J1778" si="212">IF($G$28&lt;$C$14,0,((($C$11^2)-((I1715-$C$13)^2))^0.5)+$C$16)</f>
        <v>495.43444563822254</v>
      </c>
      <c r="K1715" s="30">
        <f t="shared" ref="K1715:K1778" si="213">((J1715^2)+(J1715*J1716)+(J1716^2))*H1716/3</f>
        <v>8181.8737985249509</v>
      </c>
    </row>
    <row r="1716" spans="1:11" x14ac:dyDescent="0.25">
      <c r="A1716" s="29">
        <v>1666</v>
      </c>
      <c r="B1716" s="99">
        <f t="shared" ref="B1716:B1779" si="214">C1716-C1715</f>
        <v>0</v>
      </c>
      <c r="C1716" s="75">
        <f t="shared" si="210"/>
        <v>104.50616427295054</v>
      </c>
      <c r="D1716" s="100">
        <f t="shared" ref="D1716:D1779" si="215">IF($G$28&lt;$C$14,0,((($C$11^2)-((C1716-$C$13)^2))^0.5)+$C$16)</f>
        <v>445.77777777777789</v>
      </c>
      <c r="E1716">
        <f t="shared" si="211"/>
        <v>0</v>
      </c>
      <c r="G1716">
        <v>1666</v>
      </c>
      <c r="H1716" s="15">
        <f t="shared" ref="H1716:H1779" si="216">I1716-I1715</f>
        <v>3.3332641781299799E-2</v>
      </c>
      <c r="I1716">
        <f t="shared" ref="I1716:I1779" si="217">($G$27-$C$14)/2000+I1715</f>
        <v>160.038345480586</v>
      </c>
      <c r="J1716">
        <f t="shared" si="212"/>
        <v>495.44658944404762</v>
      </c>
      <c r="K1716" s="30">
        <f t="shared" si="213"/>
        <v>8182.2746768437928</v>
      </c>
    </row>
    <row r="1717" spans="1:11" x14ac:dyDescent="0.25">
      <c r="A1717" s="29">
        <v>1667</v>
      </c>
      <c r="B1717" s="99">
        <f t="shared" si="214"/>
        <v>0</v>
      </c>
      <c r="C1717" s="75">
        <f t="shared" si="210"/>
        <v>104.50616427295054</v>
      </c>
      <c r="D1717" s="100">
        <f t="shared" si="215"/>
        <v>445.77777777777789</v>
      </c>
      <c r="E1717">
        <f t="shared" si="211"/>
        <v>0</v>
      </c>
      <c r="G1717">
        <v>1667</v>
      </c>
      <c r="H1717" s="15">
        <f t="shared" si="216"/>
        <v>3.3332641781299799E-2</v>
      </c>
      <c r="I1717">
        <f t="shared" si="217"/>
        <v>160.0716781223673</v>
      </c>
      <c r="J1717">
        <f t="shared" si="212"/>
        <v>495.45871989793096</v>
      </c>
      <c r="K1717" s="30">
        <f t="shared" si="213"/>
        <v>8182.6751240495678</v>
      </c>
    </row>
    <row r="1718" spans="1:11" x14ac:dyDescent="0.25">
      <c r="A1718" s="29">
        <v>1668</v>
      </c>
      <c r="B1718" s="99">
        <f t="shared" si="214"/>
        <v>0</v>
      </c>
      <c r="C1718" s="75">
        <f t="shared" si="210"/>
        <v>104.50616427295054</v>
      </c>
      <c r="D1718" s="100">
        <f t="shared" si="215"/>
        <v>445.77777777777789</v>
      </c>
      <c r="E1718">
        <f t="shared" si="211"/>
        <v>0</v>
      </c>
      <c r="G1718">
        <v>1668</v>
      </c>
      <c r="H1718" s="15">
        <f t="shared" si="216"/>
        <v>3.3332641781299799E-2</v>
      </c>
      <c r="I1718">
        <f t="shared" si="217"/>
        <v>160.1050107641486</v>
      </c>
      <c r="J1718">
        <f t="shared" si="212"/>
        <v>495.47083700502674</v>
      </c>
      <c r="K1718" s="30">
        <f t="shared" si="213"/>
        <v>8183.0751402800206</v>
      </c>
    </row>
    <row r="1719" spans="1:11" x14ac:dyDescent="0.25">
      <c r="A1719" s="29">
        <v>1669</v>
      </c>
      <c r="B1719" s="99">
        <f t="shared" si="214"/>
        <v>0</v>
      </c>
      <c r="C1719" s="75">
        <f t="shared" si="210"/>
        <v>104.50616427295054</v>
      </c>
      <c r="D1719" s="100">
        <f t="shared" si="215"/>
        <v>445.77777777777789</v>
      </c>
      <c r="E1719">
        <f t="shared" si="211"/>
        <v>0</v>
      </c>
      <c r="G1719">
        <v>1669</v>
      </c>
      <c r="H1719" s="15">
        <f t="shared" si="216"/>
        <v>3.3332641781299799E-2</v>
      </c>
      <c r="I1719">
        <f t="shared" si="217"/>
        <v>160.1383434059299</v>
      </c>
      <c r="J1719">
        <f t="shared" si="212"/>
        <v>495.48294077048098</v>
      </c>
      <c r="K1719" s="30">
        <f t="shared" si="213"/>
        <v>8183.4747256726796</v>
      </c>
    </row>
    <row r="1720" spans="1:11" x14ac:dyDescent="0.25">
      <c r="A1720" s="29">
        <v>1670</v>
      </c>
      <c r="B1720" s="99">
        <f t="shared" si="214"/>
        <v>0</v>
      </c>
      <c r="C1720" s="75">
        <f t="shared" si="210"/>
        <v>104.50616427295054</v>
      </c>
      <c r="D1720" s="100">
        <f t="shared" si="215"/>
        <v>445.77777777777789</v>
      </c>
      <c r="E1720">
        <f t="shared" si="211"/>
        <v>0</v>
      </c>
      <c r="G1720">
        <v>1670</v>
      </c>
      <c r="H1720" s="15">
        <f t="shared" si="216"/>
        <v>3.3332641781299799E-2</v>
      </c>
      <c r="I1720">
        <f t="shared" si="217"/>
        <v>160.1716760477112</v>
      </c>
      <c r="J1720">
        <f t="shared" si="212"/>
        <v>495.49503119943125</v>
      </c>
      <c r="K1720" s="30">
        <f t="shared" si="213"/>
        <v>8183.8738803648403</v>
      </c>
    </row>
    <row r="1721" spans="1:11" x14ac:dyDescent="0.25">
      <c r="A1721" s="29">
        <v>1671</v>
      </c>
      <c r="B1721" s="99">
        <f t="shared" si="214"/>
        <v>0</v>
      </c>
      <c r="C1721" s="75">
        <f t="shared" si="210"/>
        <v>104.50616427295054</v>
      </c>
      <c r="D1721" s="100">
        <f t="shared" si="215"/>
        <v>445.77777777777789</v>
      </c>
      <c r="E1721">
        <f t="shared" si="211"/>
        <v>0</v>
      </c>
      <c r="G1721">
        <v>1671</v>
      </c>
      <c r="H1721" s="15">
        <f t="shared" si="216"/>
        <v>3.3332641781299799E-2</v>
      </c>
      <c r="I1721">
        <f t="shared" si="217"/>
        <v>160.2050086894925</v>
      </c>
      <c r="J1721">
        <f t="shared" si="212"/>
        <v>495.50710829700688</v>
      </c>
      <c r="K1721" s="30">
        <f t="shared" si="213"/>
        <v>8184.2726044935807</v>
      </c>
    </row>
    <row r="1722" spans="1:11" x14ac:dyDescent="0.25">
      <c r="A1722" s="29">
        <v>1672</v>
      </c>
      <c r="B1722" s="99">
        <f t="shared" si="214"/>
        <v>0</v>
      </c>
      <c r="C1722" s="75">
        <f t="shared" si="210"/>
        <v>104.50616427295054</v>
      </c>
      <c r="D1722" s="100">
        <f t="shared" si="215"/>
        <v>445.77777777777789</v>
      </c>
      <c r="E1722">
        <f t="shared" si="211"/>
        <v>0</v>
      </c>
      <c r="G1722">
        <v>1672</v>
      </c>
      <c r="H1722" s="15">
        <f t="shared" si="216"/>
        <v>3.3332641781299799E-2</v>
      </c>
      <c r="I1722">
        <f t="shared" si="217"/>
        <v>160.2383413312738</v>
      </c>
      <c r="J1722">
        <f t="shared" si="212"/>
        <v>495.51917206832888</v>
      </c>
      <c r="K1722" s="30">
        <f t="shared" si="213"/>
        <v>8184.6708981957599</v>
      </c>
    </row>
    <row r="1723" spans="1:11" x14ac:dyDescent="0.25">
      <c r="A1723" s="29">
        <v>1673</v>
      </c>
      <c r="B1723" s="99">
        <f t="shared" si="214"/>
        <v>0</v>
      </c>
      <c r="C1723" s="75">
        <f t="shared" si="210"/>
        <v>104.50616427295054</v>
      </c>
      <c r="D1723" s="100">
        <f t="shared" si="215"/>
        <v>445.77777777777789</v>
      </c>
      <c r="E1723">
        <f t="shared" si="211"/>
        <v>0</v>
      </c>
      <c r="G1723">
        <v>1673</v>
      </c>
      <c r="H1723" s="15">
        <f t="shared" si="216"/>
        <v>3.3332641781299799E-2</v>
      </c>
      <c r="I1723">
        <f t="shared" si="217"/>
        <v>160.2716739730551</v>
      </c>
      <c r="J1723">
        <f t="shared" si="212"/>
        <v>495.53122251851011</v>
      </c>
      <c r="K1723" s="30">
        <f t="shared" si="213"/>
        <v>8185.0687616080149</v>
      </c>
    </row>
    <row r="1724" spans="1:11" x14ac:dyDescent="0.25">
      <c r="A1724" s="29">
        <v>1674</v>
      </c>
      <c r="B1724" s="99">
        <f t="shared" si="214"/>
        <v>0</v>
      </c>
      <c r="C1724" s="75">
        <f t="shared" si="210"/>
        <v>104.50616427295054</v>
      </c>
      <c r="D1724" s="100">
        <f t="shared" si="215"/>
        <v>445.77777777777789</v>
      </c>
      <c r="E1724">
        <f t="shared" si="211"/>
        <v>0</v>
      </c>
      <c r="G1724">
        <v>1674</v>
      </c>
      <c r="H1724" s="15">
        <f t="shared" si="216"/>
        <v>3.3332641781299799E-2</v>
      </c>
      <c r="I1724">
        <f t="shared" si="217"/>
        <v>160.3050066148364</v>
      </c>
      <c r="J1724">
        <f t="shared" si="212"/>
        <v>495.54325965265508</v>
      </c>
      <c r="K1724" s="30">
        <f t="shared" si="213"/>
        <v>8185.4661948667635</v>
      </c>
    </row>
    <row r="1725" spans="1:11" x14ac:dyDescent="0.25">
      <c r="A1725" s="29">
        <v>1675</v>
      </c>
      <c r="B1725" s="99">
        <f t="shared" si="214"/>
        <v>0</v>
      </c>
      <c r="C1725" s="75">
        <f t="shared" si="210"/>
        <v>104.50616427295054</v>
      </c>
      <c r="D1725" s="100">
        <f t="shared" si="215"/>
        <v>445.77777777777789</v>
      </c>
      <c r="E1725">
        <f t="shared" si="211"/>
        <v>0</v>
      </c>
      <c r="G1725">
        <v>1675</v>
      </c>
      <c r="H1725" s="15">
        <f t="shared" si="216"/>
        <v>3.3332641781299799E-2</v>
      </c>
      <c r="I1725">
        <f t="shared" si="217"/>
        <v>160.3383392566177</v>
      </c>
      <c r="J1725">
        <f t="shared" si="212"/>
        <v>495.55528347585999</v>
      </c>
      <c r="K1725" s="30">
        <f t="shared" si="213"/>
        <v>8185.863198108199</v>
      </c>
    </row>
    <row r="1726" spans="1:11" x14ac:dyDescent="0.25">
      <c r="A1726" s="29">
        <v>1676</v>
      </c>
      <c r="B1726" s="99">
        <f t="shared" si="214"/>
        <v>0</v>
      </c>
      <c r="C1726" s="75">
        <f t="shared" si="210"/>
        <v>104.50616427295054</v>
      </c>
      <c r="D1726" s="100">
        <f t="shared" si="215"/>
        <v>445.77777777777789</v>
      </c>
      <c r="E1726">
        <f t="shared" si="211"/>
        <v>0</v>
      </c>
      <c r="G1726">
        <v>1676</v>
      </c>
      <c r="H1726" s="15">
        <f t="shared" si="216"/>
        <v>3.3332641781299799E-2</v>
      </c>
      <c r="I1726">
        <f t="shared" si="217"/>
        <v>160.371671898399</v>
      </c>
      <c r="J1726">
        <f t="shared" si="212"/>
        <v>495.56729399321296</v>
      </c>
      <c r="K1726" s="30">
        <f t="shared" si="213"/>
        <v>8186.2597714682961</v>
      </c>
    </row>
    <row r="1727" spans="1:11" x14ac:dyDescent="0.25">
      <c r="A1727" s="29">
        <v>1677</v>
      </c>
      <c r="B1727" s="99">
        <f t="shared" si="214"/>
        <v>0</v>
      </c>
      <c r="C1727" s="75">
        <f t="shared" si="210"/>
        <v>104.50616427295054</v>
      </c>
      <c r="D1727" s="100">
        <f t="shared" si="215"/>
        <v>445.77777777777789</v>
      </c>
      <c r="E1727">
        <f t="shared" si="211"/>
        <v>0</v>
      </c>
      <c r="G1727">
        <v>1677</v>
      </c>
      <c r="H1727" s="15">
        <f t="shared" si="216"/>
        <v>3.3332641781299799E-2</v>
      </c>
      <c r="I1727">
        <f t="shared" si="217"/>
        <v>160.4050045401803</v>
      </c>
      <c r="J1727">
        <f t="shared" si="212"/>
        <v>495.57929120979378</v>
      </c>
      <c r="K1727" s="30">
        <f t="shared" si="213"/>
        <v>8186.6559150828107</v>
      </c>
    </row>
    <row r="1728" spans="1:11" x14ac:dyDescent="0.25">
      <c r="A1728" s="29">
        <v>1678</v>
      </c>
      <c r="B1728" s="99">
        <f t="shared" si="214"/>
        <v>0</v>
      </c>
      <c r="C1728" s="75">
        <f t="shared" si="210"/>
        <v>104.50616427295054</v>
      </c>
      <c r="D1728" s="100">
        <f t="shared" si="215"/>
        <v>445.77777777777789</v>
      </c>
      <c r="E1728">
        <f t="shared" si="211"/>
        <v>0</v>
      </c>
      <c r="G1728">
        <v>1678</v>
      </c>
      <c r="H1728" s="15">
        <f t="shared" si="216"/>
        <v>3.3332641781299799E-2</v>
      </c>
      <c r="I1728">
        <f t="shared" si="217"/>
        <v>160.4383371819616</v>
      </c>
      <c r="J1728">
        <f t="shared" si="212"/>
        <v>495.59127513067409</v>
      </c>
      <c r="K1728" s="30">
        <f t="shared" si="213"/>
        <v>8187.0516290872802</v>
      </c>
    </row>
    <row r="1729" spans="1:11" x14ac:dyDescent="0.25">
      <c r="A1729" s="29">
        <v>1679</v>
      </c>
      <c r="B1729" s="99">
        <f t="shared" si="214"/>
        <v>0</v>
      </c>
      <c r="C1729" s="75">
        <f t="shared" si="210"/>
        <v>104.50616427295054</v>
      </c>
      <c r="D1729" s="100">
        <f t="shared" si="215"/>
        <v>445.77777777777789</v>
      </c>
      <c r="E1729">
        <f t="shared" si="211"/>
        <v>0</v>
      </c>
      <c r="G1729">
        <v>1679</v>
      </c>
      <c r="H1729" s="15">
        <f t="shared" si="216"/>
        <v>3.3332641781299799E-2</v>
      </c>
      <c r="I1729">
        <f t="shared" si="217"/>
        <v>160.4716698237429</v>
      </c>
      <c r="J1729">
        <f t="shared" si="212"/>
        <v>495.60324576091728</v>
      </c>
      <c r="K1729" s="30">
        <f t="shared" si="213"/>
        <v>8187.4469136170237</v>
      </c>
    </row>
    <row r="1730" spans="1:11" x14ac:dyDescent="0.25">
      <c r="A1730" s="29">
        <v>1680</v>
      </c>
      <c r="B1730" s="99">
        <f t="shared" si="214"/>
        <v>0</v>
      </c>
      <c r="C1730" s="75">
        <f t="shared" si="210"/>
        <v>104.50616427295054</v>
      </c>
      <c r="D1730" s="100">
        <f t="shared" si="215"/>
        <v>445.77777777777789</v>
      </c>
      <c r="E1730">
        <f t="shared" si="211"/>
        <v>0</v>
      </c>
      <c r="G1730">
        <v>1680</v>
      </c>
      <c r="H1730" s="15">
        <f t="shared" si="216"/>
        <v>3.3332641781299799E-2</v>
      </c>
      <c r="I1730">
        <f t="shared" si="217"/>
        <v>160.5050024655242</v>
      </c>
      <c r="J1730">
        <f t="shared" si="212"/>
        <v>495.6152031055787</v>
      </c>
      <c r="K1730" s="30">
        <f t="shared" si="213"/>
        <v>8187.8417688071386</v>
      </c>
    </row>
    <row r="1731" spans="1:11" x14ac:dyDescent="0.25">
      <c r="A1731" s="29">
        <v>1681</v>
      </c>
      <c r="B1731" s="99">
        <f t="shared" si="214"/>
        <v>0</v>
      </c>
      <c r="C1731" s="75">
        <f t="shared" si="210"/>
        <v>104.50616427295054</v>
      </c>
      <c r="D1731" s="100">
        <f t="shared" si="215"/>
        <v>445.77777777777789</v>
      </c>
      <c r="E1731">
        <f t="shared" si="211"/>
        <v>0</v>
      </c>
      <c r="G1731">
        <v>1681</v>
      </c>
      <c r="H1731" s="15">
        <f t="shared" si="216"/>
        <v>3.3332641781299799E-2</v>
      </c>
      <c r="I1731">
        <f t="shared" si="217"/>
        <v>160.5383351073055</v>
      </c>
      <c r="J1731">
        <f t="shared" si="212"/>
        <v>495.62714716970527</v>
      </c>
      <c r="K1731" s="30">
        <f t="shared" si="213"/>
        <v>8188.2361947925046</v>
      </c>
    </row>
    <row r="1732" spans="1:11" x14ac:dyDescent="0.25">
      <c r="A1732" s="29">
        <v>1682</v>
      </c>
      <c r="B1732" s="99">
        <f t="shared" si="214"/>
        <v>0</v>
      </c>
      <c r="C1732" s="75">
        <f t="shared" si="210"/>
        <v>104.50616427295054</v>
      </c>
      <c r="D1732" s="100">
        <f t="shared" si="215"/>
        <v>445.77777777777789</v>
      </c>
      <c r="E1732">
        <f t="shared" si="211"/>
        <v>0</v>
      </c>
      <c r="G1732">
        <v>1682</v>
      </c>
      <c r="H1732" s="15">
        <f t="shared" si="216"/>
        <v>3.3332641781299799E-2</v>
      </c>
      <c r="I1732">
        <f t="shared" si="217"/>
        <v>160.5716677490868</v>
      </c>
      <c r="J1732">
        <f t="shared" si="212"/>
        <v>495.63907795833603</v>
      </c>
      <c r="K1732" s="30">
        <f t="shared" si="213"/>
        <v>8188.6301917077872</v>
      </c>
    </row>
    <row r="1733" spans="1:11" x14ac:dyDescent="0.25">
      <c r="A1733" s="29">
        <v>1683</v>
      </c>
      <c r="B1733" s="99">
        <f t="shared" si="214"/>
        <v>0</v>
      </c>
      <c r="C1733" s="75">
        <f t="shared" si="210"/>
        <v>104.50616427295054</v>
      </c>
      <c r="D1733" s="100">
        <f t="shared" si="215"/>
        <v>445.77777777777789</v>
      </c>
      <c r="E1733">
        <f t="shared" si="211"/>
        <v>0</v>
      </c>
      <c r="G1733">
        <v>1683</v>
      </c>
      <c r="H1733" s="15">
        <f t="shared" si="216"/>
        <v>3.3332641781299799E-2</v>
      </c>
      <c r="I1733">
        <f t="shared" si="217"/>
        <v>160.6050003908681</v>
      </c>
      <c r="J1733">
        <f t="shared" si="212"/>
        <v>495.65099547650175</v>
      </c>
      <c r="K1733" s="30">
        <f t="shared" si="213"/>
        <v>8189.0237596874276</v>
      </c>
    </row>
    <row r="1734" spans="1:11" x14ac:dyDescent="0.25">
      <c r="A1734" s="29">
        <v>1684</v>
      </c>
      <c r="B1734" s="99">
        <f t="shared" si="214"/>
        <v>0</v>
      </c>
      <c r="C1734" s="75">
        <f t="shared" si="210"/>
        <v>104.50616427295054</v>
      </c>
      <c r="D1734" s="100">
        <f t="shared" si="215"/>
        <v>445.77777777777789</v>
      </c>
      <c r="E1734">
        <f t="shared" si="211"/>
        <v>0</v>
      </c>
      <c r="G1734">
        <v>1684</v>
      </c>
      <c r="H1734" s="15">
        <f t="shared" si="216"/>
        <v>3.3332641781299799E-2</v>
      </c>
      <c r="I1734">
        <f t="shared" si="217"/>
        <v>160.6383330326494</v>
      </c>
      <c r="J1734">
        <f t="shared" si="212"/>
        <v>495.66289972922493</v>
      </c>
      <c r="K1734" s="30">
        <f t="shared" si="213"/>
        <v>8189.4168988656556</v>
      </c>
    </row>
    <row r="1735" spans="1:11" x14ac:dyDescent="0.25">
      <c r="A1735" s="29">
        <v>1685</v>
      </c>
      <c r="B1735" s="99">
        <f t="shared" si="214"/>
        <v>0</v>
      </c>
      <c r="C1735" s="75">
        <f t="shared" si="210"/>
        <v>104.50616427295054</v>
      </c>
      <c r="D1735" s="100">
        <f t="shared" si="215"/>
        <v>445.77777777777789</v>
      </c>
      <c r="E1735">
        <f t="shared" si="211"/>
        <v>0</v>
      </c>
      <c r="G1735">
        <v>1685</v>
      </c>
      <c r="H1735" s="15">
        <f t="shared" si="216"/>
        <v>3.3332641781299799E-2</v>
      </c>
      <c r="I1735">
        <f t="shared" si="217"/>
        <v>160.6716656744307</v>
      </c>
      <c r="J1735">
        <f t="shared" si="212"/>
        <v>495.67479072152025</v>
      </c>
      <c r="K1735" s="30">
        <f t="shared" si="213"/>
        <v>8189.8096093764789</v>
      </c>
    </row>
    <row r="1736" spans="1:11" x14ac:dyDescent="0.25">
      <c r="A1736" s="29">
        <v>1686</v>
      </c>
      <c r="B1736" s="99">
        <f t="shared" si="214"/>
        <v>0</v>
      </c>
      <c r="C1736" s="75">
        <f t="shared" si="210"/>
        <v>104.50616427295054</v>
      </c>
      <c r="D1736" s="100">
        <f t="shared" si="215"/>
        <v>445.77777777777789</v>
      </c>
      <c r="E1736">
        <f t="shared" si="211"/>
        <v>0</v>
      </c>
      <c r="G1736">
        <v>1686</v>
      </c>
      <c r="H1736" s="15">
        <f t="shared" si="216"/>
        <v>3.3332641781299799E-2</v>
      </c>
      <c r="I1736">
        <f t="shared" si="217"/>
        <v>160.704998316212</v>
      </c>
      <c r="J1736">
        <f t="shared" si="212"/>
        <v>495.68666845839402</v>
      </c>
      <c r="K1736" s="30">
        <f t="shared" si="213"/>
        <v>8190.2018913536931</v>
      </c>
    </row>
    <row r="1737" spans="1:11" x14ac:dyDescent="0.25">
      <c r="A1737" s="29">
        <v>1687</v>
      </c>
      <c r="B1737" s="99">
        <f t="shared" si="214"/>
        <v>0</v>
      </c>
      <c r="C1737" s="75">
        <f t="shared" si="210"/>
        <v>104.50616427295054</v>
      </c>
      <c r="D1737" s="100">
        <f t="shared" si="215"/>
        <v>445.77777777777789</v>
      </c>
      <c r="E1737">
        <f t="shared" si="211"/>
        <v>0</v>
      </c>
      <c r="G1737">
        <v>1687</v>
      </c>
      <c r="H1737" s="15">
        <f t="shared" si="216"/>
        <v>3.3332641781299799E-2</v>
      </c>
      <c r="I1737">
        <f t="shared" si="217"/>
        <v>160.7383309579933</v>
      </c>
      <c r="J1737">
        <f t="shared" si="212"/>
        <v>495.6985329448446</v>
      </c>
      <c r="K1737" s="30">
        <f t="shared" si="213"/>
        <v>8190.5937449308776</v>
      </c>
    </row>
    <row r="1738" spans="1:11" x14ac:dyDescent="0.25">
      <c r="A1738" s="29">
        <v>1688</v>
      </c>
      <c r="B1738" s="99">
        <f t="shared" si="214"/>
        <v>0</v>
      </c>
      <c r="C1738" s="75">
        <f t="shared" si="210"/>
        <v>104.50616427295054</v>
      </c>
      <c r="D1738" s="100">
        <f t="shared" si="215"/>
        <v>445.77777777777789</v>
      </c>
      <c r="E1738">
        <f t="shared" si="211"/>
        <v>0</v>
      </c>
      <c r="G1738">
        <v>1688</v>
      </c>
      <c r="H1738" s="15">
        <f t="shared" si="216"/>
        <v>3.3332641781299799E-2</v>
      </c>
      <c r="I1738">
        <f t="shared" si="217"/>
        <v>160.7716635997746</v>
      </c>
      <c r="J1738">
        <f t="shared" si="212"/>
        <v>495.71038418586221</v>
      </c>
      <c r="K1738" s="30">
        <f t="shared" si="213"/>
        <v>8190.9851702413916</v>
      </c>
    </row>
    <row r="1739" spans="1:11" x14ac:dyDescent="0.25">
      <c r="A1739" s="29">
        <v>1689</v>
      </c>
      <c r="B1739" s="99">
        <f t="shared" si="214"/>
        <v>0</v>
      </c>
      <c r="C1739" s="75">
        <f t="shared" si="210"/>
        <v>104.50616427295054</v>
      </c>
      <c r="D1739" s="100">
        <f t="shared" si="215"/>
        <v>445.77777777777789</v>
      </c>
      <c r="E1739">
        <f t="shared" si="211"/>
        <v>0</v>
      </c>
      <c r="G1739">
        <v>1689</v>
      </c>
      <c r="H1739" s="15">
        <f t="shared" si="216"/>
        <v>3.3332641781299799E-2</v>
      </c>
      <c r="I1739">
        <f t="shared" si="217"/>
        <v>160.8049962415559</v>
      </c>
      <c r="J1739">
        <f t="shared" si="212"/>
        <v>495.72222218642901</v>
      </c>
      <c r="K1739" s="30">
        <f t="shared" si="213"/>
        <v>8191.3761674183779</v>
      </c>
    </row>
    <row r="1740" spans="1:11" x14ac:dyDescent="0.25">
      <c r="A1740" s="29">
        <v>1690</v>
      </c>
      <c r="B1740" s="99">
        <f t="shared" si="214"/>
        <v>0</v>
      </c>
      <c r="C1740" s="75">
        <f t="shared" si="210"/>
        <v>104.50616427295054</v>
      </c>
      <c r="D1740" s="100">
        <f t="shared" si="215"/>
        <v>445.77777777777789</v>
      </c>
      <c r="E1740">
        <f t="shared" si="211"/>
        <v>0</v>
      </c>
      <c r="G1740">
        <v>1690</v>
      </c>
      <c r="H1740" s="15">
        <f t="shared" si="216"/>
        <v>3.3332641781299799E-2</v>
      </c>
      <c r="I1740">
        <f t="shared" si="217"/>
        <v>160.8383288833372</v>
      </c>
      <c r="J1740">
        <f t="shared" si="212"/>
        <v>495.73404695151908</v>
      </c>
      <c r="K1740" s="30">
        <f t="shared" si="213"/>
        <v>8191.7667365947746</v>
      </c>
    </row>
    <row r="1741" spans="1:11" x14ac:dyDescent="0.25">
      <c r="A1741" s="29">
        <v>1691</v>
      </c>
      <c r="B1741" s="99">
        <f t="shared" si="214"/>
        <v>0</v>
      </c>
      <c r="C1741" s="75">
        <f t="shared" si="210"/>
        <v>104.50616427295054</v>
      </c>
      <c r="D1741" s="100">
        <f t="shared" si="215"/>
        <v>445.77777777777789</v>
      </c>
      <c r="E1741">
        <f t="shared" si="211"/>
        <v>0</v>
      </c>
      <c r="G1741">
        <v>1691</v>
      </c>
      <c r="H1741" s="15">
        <f t="shared" si="216"/>
        <v>3.3332641781299799E-2</v>
      </c>
      <c r="I1741">
        <f t="shared" si="217"/>
        <v>160.8716615251185</v>
      </c>
      <c r="J1741">
        <f t="shared" si="212"/>
        <v>495.74585848609848</v>
      </c>
      <c r="K1741" s="30">
        <f t="shared" si="213"/>
        <v>8192.1568779032878</v>
      </c>
    </row>
    <row r="1742" spans="1:11" x14ac:dyDescent="0.25">
      <c r="A1742" s="29">
        <v>1692</v>
      </c>
      <c r="B1742" s="99">
        <f t="shared" si="214"/>
        <v>0</v>
      </c>
      <c r="C1742" s="75">
        <f t="shared" si="210"/>
        <v>104.50616427295054</v>
      </c>
      <c r="D1742" s="100">
        <f t="shared" si="215"/>
        <v>445.77777777777789</v>
      </c>
      <c r="E1742">
        <f t="shared" si="211"/>
        <v>0</v>
      </c>
      <c r="G1742">
        <v>1692</v>
      </c>
      <c r="H1742" s="15">
        <f t="shared" si="216"/>
        <v>3.3332641781299799E-2</v>
      </c>
      <c r="I1742">
        <f t="shared" si="217"/>
        <v>160.9049941668998</v>
      </c>
      <c r="J1742">
        <f t="shared" si="212"/>
        <v>495.75765679512517</v>
      </c>
      <c r="K1742" s="30">
        <f t="shared" si="213"/>
        <v>8192.5465914764191</v>
      </c>
    </row>
    <row r="1743" spans="1:11" x14ac:dyDescent="0.25">
      <c r="A1743" s="29">
        <v>1693</v>
      </c>
      <c r="B1743" s="99">
        <f t="shared" si="214"/>
        <v>0</v>
      </c>
      <c r="C1743" s="75">
        <f t="shared" si="210"/>
        <v>104.50616427295054</v>
      </c>
      <c r="D1743" s="100">
        <f t="shared" si="215"/>
        <v>445.77777777777789</v>
      </c>
      <c r="E1743">
        <f t="shared" si="211"/>
        <v>0</v>
      </c>
      <c r="G1743">
        <v>1693</v>
      </c>
      <c r="H1743" s="15">
        <f t="shared" si="216"/>
        <v>3.3332641781299799E-2</v>
      </c>
      <c r="I1743">
        <f t="shared" si="217"/>
        <v>160.9383268086811</v>
      </c>
      <c r="J1743">
        <f t="shared" si="212"/>
        <v>495.76944188354923</v>
      </c>
      <c r="K1743" s="30">
        <f t="shared" si="213"/>
        <v>8192.9358774464599</v>
      </c>
    </row>
    <row r="1744" spans="1:11" x14ac:dyDescent="0.25">
      <c r="A1744" s="29">
        <v>1694</v>
      </c>
      <c r="B1744" s="99">
        <f t="shared" si="214"/>
        <v>0</v>
      </c>
      <c r="C1744" s="75">
        <f t="shared" ref="C1744:C1807" si="218">($C$37-$C$36)/2000+C1743</f>
        <v>104.50616427295054</v>
      </c>
      <c r="D1744" s="100">
        <f t="shared" si="215"/>
        <v>445.77777777777789</v>
      </c>
      <c r="E1744">
        <f t="shared" si="211"/>
        <v>0</v>
      </c>
      <c r="G1744">
        <v>1694</v>
      </c>
      <c r="H1744" s="15">
        <f t="shared" si="216"/>
        <v>3.3332641781299799E-2</v>
      </c>
      <c r="I1744">
        <f t="shared" si="217"/>
        <v>160.9716594504624</v>
      </c>
      <c r="J1744">
        <f t="shared" si="212"/>
        <v>495.78121375631258</v>
      </c>
      <c r="K1744" s="30">
        <f t="shared" si="213"/>
        <v>8193.3247359454781</v>
      </c>
    </row>
    <row r="1745" spans="1:11" x14ac:dyDescent="0.25">
      <c r="A1745" s="29">
        <v>1695</v>
      </c>
      <c r="B1745" s="99">
        <f t="shared" si="214"/>
        <v>0</v>
      </c>
      <c r="C1745" s="75">
        <f t="shared" si="218"/>
        <v>104.50616427295054</v>
      </c>
      <c r="D1745" s="100">
        <f t="shared" si="215"/>
        <v>445.77777777777789</v>
      </c>
      <c r="E1745">
        <f t="shared" si="211"/>
        <v>0</v>
      </c>
      <c r="G1745">
        <v>1695</v>
      </c>
      <c r="H1745" s="15">
        <f t="shared" si="216"/>
        <v>3.3332641781299799E-2</v>
      </c>
      <c r="I1745">
        <f t="shared" si="217"/>
        <v>161.0049920922437</v>
      </c>
      <c r="J1745">
        <f t="shared" si="212"/>
        <v>495.79297241834922</v>
      </c>
      <c r="K1745" s="30">
        <f t="shared" si="213"/>
        <v>8193.7131671053303</v>
      </c>
    </row>
    <row r="1746" spans="1:11" x14ac:dyDescent="0.25">
      <c r="A1746" s="29">
        <v>1696</v>
      </c>
      <c r="B1746" s="99">
        <f t="shared" si="214"/>
        <v>0</v>
      </c>
      <c r="C1746" s="75">
        <f t="shared" si="218"/>
        <v>104.50616427295054</v>
      </c>
      <c r="D1746" s="100">
        <f t="shared" si="215"/>
        <v>445.77777777777789</v>
      </c>
      <c r="E1746">
        <f t="shared" si="211"/>
        <v>0</v>
      </c>
      <c r="G1746">
        <v>1696</v>
      </c>
      <c r="H1746" s="15">
        <f t="shared" si="216"/>
        <v>3.3332641781299799E-2</v>
      </c>
      <c r="I1746">
        <f t="shared" si="217"/>
        <v>161.038324734025</v>
      </c>
      <c r="J1746">
        <f t="shared" si="212"/>
        <v>495.80471787458509</v>
      </c>
      <c r="K1746" s="30">
        <f t="shared" si="213"/>
        <v>8194.1011710576622</v>
      </c>
    </row>
    <row r="1747" spans="1:11" x14ac:dyDescent="0.25">
      <c r="A1747" s="29">
        <v>1697</v>
      </c>
      <c r="B1747" s="99">
        <f t="shared" si="214"/>
        <v>0</v>
      </c>
      <c r="C1747" s="75">
        <f t="shared" si="218"/>
        <v>104.50616427295054</v>
      </c>
      <c r="D1747" s="100">
        <f t="shared" si="215"/>
        <v>445.77777777777789</v>
      </c>
      <c r="E1747">
        <f t="shared" si="211"/>
        <v>0</v>
      </c>
      <c r="G1747">
        <v>1697</v>
      </c>
      <c r="H1747" s="15">
        <f t="shared" si="216"/>
        <v>3.3332641781299799E-2</v>
      </c>
      <c r="I1747">
        <f t="shared" si="217"/>
        <v>161.0716573758063</v>
      </c>
      <c r="J1747">
        <f t="shared" si="212"/>
        <v>495.81645012993818</v>
      </c>
      <c r="K1747" s="30">
        <f t="shared" si="213"/>
        <v>8194.4887479339068</v>
      </c>
    </row>
    <row r="1748" spans="1:11" x14ac:dyDescent="0.25">
      <c r="A1748" s="29">
        <v>1698</v>
      </c>
      <c r="B1748" s="99">
        <f t="shared" si="214"/>
        <v>0</v>
      </c>
      <c r="C1748" s="75">
        <f t="shared" si="218"/>
        <v>104.50616427295054</v>
      </c>
      <c r="D1748" s="100">
        <f t="shared" si="215"/>
        <v>445.77777777777789</v>
      </c>
      <c r="E1748">
        <f t="shared" si="211"/>
        <v>0</v>
      </c>
      <c r="G1748">
        <v>1698</v>
      </c>
      <c r="H1748" s="15">
        <f t="shared" si="216"/>
        <v>3.3332641781299799E-2</v>
      </c>
      <c r="I1748">
        <f t="shared" si="217"/>
        <v>161.1049900175876</v>
      </c>
      <c r="J1748">
        <f t="shared" si="212"/>
        <v>495.82816918931866</v>
      </c>
      <c r="K1748" s="30">
        <f t="shared" si="213"/>
        <v>8194.8758978652786</v>
      </c>
    </row>
    <row r="1749" spans="1:11" x14ac:dyDescent="0.25">
      <c r="A1749" s="29">
        <v>1699</v>
      </c>
      <c r="B1749" s="99">
        <f t="shared" si="214"/>
        <v>0</v>
      </c>
      <c r="C1749" s="75">
        <f t="shared" si="218"/>
        <v>104.50616427295054</v>
      </c>
      <c r="D1749" s="100">
        <f t="shared" si="215"/>
        <v>445.77777777777789</v>
      </c>
      <c r="E1749">
        <f t="shared" si="211"/>
        <v>0</v>
      </c>
      <c r="G1749">
        <v>1699</v>
      </c>
      <c r="H1749" s="15">
        <f t="shared" si="216"/>
        <v>3.3332641781299799E-2</v>
      </c>
      <c r="I1749">
        <f t="shared" si="217"/>
        <v>161.1383226593689</v>
      </c>
      <c r="J1749">
        <f t="shared" si="212"/>
        <v>495.83987505762849</v>
      </c>
      <c r="K1749" s="30">
        <f t="shared" si="213"/>
        <v>8195.2626209827849</v>
      </c>
    </row>
    <row r="1750" spans="1:11" x14ac:dyDescent="0.25">
      <c r="A1750" s="29">
        <v>1700</v>
      </c>
      <c r="B1750" s="99">
        <f t="shared" si="214"/>
        <v>0</v>
      </c>
      <c r="C1750" s="75">
        <f t="shared" si="218"/>
        <v>104.50616427295054</v>
      </c>
      <c r="D1750" s="100">
        <f t="shared" si="215"/>
        <v>445.77777777777789</v>
      </c>
      <c r="E1750">
        <f t="shared" si="211"/>
        <v>0</v>
      </c>
      <c r="G1750">
        <v>1700</v>
      </c>
      <c r="H1750" s="15">
        <f t="shared" si="216"/>
        <v>3.3332641781299799E-2</v>
      </c>
      <c r="I1750">
        <f t="shared" si="217"/>
        <v>161.1716553011502</v>
      </c>
      <c r="J1750">
        <f t="shared" si="212"/>
        <v>495.85156773976189</v>
      </c>
      <c r="K1750" s="30">
        <f t="shared" si="213"/>
        <v>8195.648917417222</v>
      </c>
    </row>
    <row r="1751" spans="1:11" x14ac:dyDescent="0.25">
      <c r="A1751" s="29">
        <v>1701</v>
      </c>
      <c r="B1751" s="99">
        <f t="shared" si="214"/>
        <v>0</v>
      </c>
      <c r="C1751" s="75">
        <f t="shared" si="218"/>
        <v>104.50616427295054</v>
      </c>
      <c r="D1751" s="100">
        <f t="shared" si="215"/>
        <v>445.77777777777789</v>
      </c>
      <c r="E1751">
        <f t="shared" si="211"/>
        <v>0</v>
      </c>
      <c r="G1751">
        <v>1701</v>
      </c>
      <c r="H1751" s="15">
        <f t="shared" si="216"/>
        <v>3.3332641781299799E-2</v>
      </c>
      <c r="I1751">
        <f t="shared" si="217"/>
        <v>161.2049879429315</v>
      </c>
      <c r="J1751">
        <f t="shared" si="212"/>
        <v>495.86324724060501</v>
      </c>
      <c r="K1751" s="30">
        <f t="shared" si="213"/>
        <v>8196.0347872991642</v>
      </c>
    </row>
    <row r="1752" spans="1:11" x14ac:dyDescent="0.25">
      <c r="A1752" s="29">
        <v>1702</v>
      </c>
      <c r="B1752" s="99">
        <f t="shared" si="214"/>
        <v>0</v>
      </c>
      <c r="C1752" s="75">
        <f t="shared" si="218"/>
        <v>104.50616427295054</v>
      </c>
      <c r="D1752" s="100">
        <f t="shared" si="215"/>
        <v>445.77777777777789</v>
      </c>
      <c r="E1752">
        <f t="shared" si="211"/>
        <v>0</v>
      </c>
      <c r="G1752">
        <v>1702</v>
      </c>
      <c r="H1752" s="15">
        <f t="shared" si="216"/>
        <v>3.3332641781299799E-2</v>
      </c>
      <c r="I1752">
        <f t="shared" si="217"/>
        <v>161.2383205847128</v>
      </c>
      <c r="J1752">
        <f t="shared" si="212"/>
        <v>495.87491356503619</v>
      </c>
      <c r="K1752" s="30">
        <f t="shared" si="213"/>
        <v>8196.4202307589894</v>
      </c>
    </row>
    <row r="1753" spans="1:11" x14ac:dyDescent="0.25">
      <c r="A1753" s="29">
        <v>1703</v>
      </c>
      <c r="B1753" s="99">
        <f t="shared" si="214"/>
        <v>0</v>
      </c>
      <c r="C1753" s="75">
        <f t="shared" si="218"/>
        <v>104.50616427295054</v>
      </c>
      <c r="D1753" s="100">
        <f t="shared" si="215"/>
        <v>445.77777777777789</v>
      </c>
      <c r="E1753">
        <f t="shared" si="211"/>
        <v>0</v>
      </c>
      <c r="G1753">
        <v>1703</v>
      </c>
      <c r="H1753" s="15">
        <f t="shared" si="216"/>
        <v>3.3332641781299799E-2</v>
      </c>
      <c r="I1753">
        <f t="shared" si="217"/>
        <v>161.2716532264941</v>
      </c>
      <c r="J1753">
        <f t="shared" si="212"/>
        <v>495.88656671792586</v>
      </c>
      <c r="K1753" s="30">
        <f t="shared" si="213"/>
        <v>8196.8052479268517</v>
      </c>
    </row>
    <row r="1754" spans="1:11" x14ac:dyDescent="0.25">
      <c r="A1754" s="29">
        <v>1704</v>
      </c>
      <c r="B1754" s="99">
        <f t="shared" si="214"/>
        <v>0</v>
      </c>
      <c r="C1754" s="75">
        <f t="shared" si="218"/>
        <v>104.50616427295054</v>
      </c>
      <c r="D1754" s="100">
        <f t="shared" si="215"/>
        <v>445.77777777777789</v>
      </c>
      <c r="E1754">
        <f t="shared" si="211"/>
        <v>0</v>
      </c>
      <c r="G1754">
        <v>1704</v>
      </c>
      <c r="H1754" s="15">
        <f t="shared" si="216"/>
        <v>3.3332641781299799E-2</v>
      </c>
      <c r="I1754">
        <f t="shared" si="217"/>
        <v>161.30498586827539</v>
      </c>
      <c r="J1754">
        <f t="shared" si="212"/>
        <v>495.8982067041365</v>
      </c>
      <c r="K1754" s="30">
        <f t="shared" si="213"/>
        <v>8197.189838932698</v>
      </c>
    </row>
    <row r="1755" spans="1:11" x14ac:dyDescent="0.25">
      <c r="A1755" s="29">
        <v>1705</v>
      </c>
      <c r="B1755" s="99">
        <f t="shared" si="214"/>
        <v>0</v>
      </c>
      <c r="C1755" s="75">
        <f t="shared" si="218"/>
        <v>104.50616427295054</v>
      </c>
      <c r="D1755" s="100">
        <f t="shared" si="215"/>
        <v>445.77777777777789</v>
      </c>
      <c r="E1755">
        <f t="shared" si="211"/>
        <v>0</v>
      </c>
      <c r="G1755">
        <v>1705</v>
      </c>
      <c r="H1755" s="15">
        <f t="shared" si="216"/>
        <v>3.3332641781299799E-2</v>
      </c>
      <c r="I1755">
        <f t="shared" si="217"/>
        <v>161.33831851005669</v>
      </c>
      <c r="J1755">
        <f t="shared" si="212"/>
        <v>495.90983352852265</v>
      </c>
      <c r="K1755" s="30">
        <f t="shared" si="213"/>
        <v>8197.5740039062675</v>
      </c>
    </row>
    <row r="1756" spans="1:11" x14ac:dyDescent="0.25">
      <c r="A1756" s="29">
        <v>1706</v>
      </c>
      <c r="B1756" s="99">
        <f t="shared" si="214"/>
        <v>0</v>
      </c>
      <c r="C1756" s="75">
        <f t="shared" si="218"/>
        <v>104.50616427295054</v>
      </c>
      <c r="D1756" s="100">
        <f t="shared" si="215"/>
        <v>445.77777777777789</v>
      </c>
      <c r="E1756">
        <f t="shared" si="211"/>
        <v>0</v>
      </c>
      <c r="G1756">
        <v>1706</v>
      </c>
      <c r="H1756" s="15">
        <f t="shared" si="216"/>
        <v>3.3332641781299799E-2</v>
      </c>
      <c r="I1756">
        <f t="shared" si="217"/>
        <v>161.37165115183799</v>
      </c>
      <c r="J1756">
        <f t="shared" si="212"/>
        <v>495.92144719593114</v>
      </c>
      <c r="K1756" s="30">
        <f t="shared" si="213"/>
        <v>8197.9577429770852</v>
      </c>
    </row>
    <row r="1757" spans="1:11" x14ac:dyDescent="0.25">
      <c r="A1757" s="29">
        <v>1707</v>
      </c>
      <c r="B1757" s="99">
        <f t="shared" si="214"/>
        <v>0</v>
      </c>
      <c r="C1757" s="75">
        <f t="shared" si="218"/>
        <v>104.50616427295054</v>
      </c>
      <c r="D1757" s="100">
        <f t="shared" si="215"/>
        <v>445.77777777777789</v>
      </c>
      <c r="E1757">
        <f t="shared" si="211"/>
        <v>0</v>
      </c>
      <c r="G1757">
        <v>1707</v>
      </c>
      <c r="H1757" s="15">
        <f t="shared" si="216"/>
        <v>3.3332641781299799E-2</v>
      </c>
      <c r="I1757">
        <f t="shared" si="217"/>
        <v>161.40498379361929</v>
      </c>
      <c r="J1757">
        <f t="shared" si="212"/>
        <v>495.93304771120086</v>
      </c>
      <c r="K1757" s="30">
        <f t="shared" si="213"/>
        <v>8198.3410562744684</v>
      </c>
    </row>
    <row r="1758" spans="1:11" x14ac:dyDescent="0.25">
      <c r="A1758" s="29">
        <v>1708</v>
      </c>
      <c r="B1758" s="99">
        <f t="shared" si="214"/>
        <v>0</v>
      </c>
      <c r="C1758" s="75">
        <f t="shared" si="218"/>
        <v>104.50616427295054</v>
      </c>
      <c r="D1758" s="100">
        <f t="shared" si="215"/>
        <v>445.77777777777789</v>
      </c>
      <c r="E1758">
        <f t="shared" si="211"/>
        <v>0</v>
      </c>
      <c r="G1758">
        <v>1708</v>
      </c>
      <c r="H1758" s="15">
        <f t="shared" si="216"/>
        <v>3.3332641781299799E-2</v>
      </c>
      <c r="I1758">
        <f t="shared" si="217"/>
        <v>161.43831643540059</v>
      </c>
      <c r="J1758">
        <f t="shared" si="212"/>
        <v>495.94463507916282</v>
      </c>
      <c r="K1758" s="30">
        <f t="shared" si="213"/>
        <v>8198.7239439275236</v>
      </c>
    </row>
    <row r="1759" spans="1:11" x14ac:dyDescent="0.25">
      <c r="A1759" s="29">
        <v>1709</v>
      </c>
      <c r="B1759" s="99">
        <f t="shared" si="214"/>
        <v>0</v>
      </c>
      <c r="C1759" s="75">
        <f t="shared" si="218"/>
        <v>104.50616427295054</v>
      </c>
      <c r="D1759" s="100">
        <f t="shared" si="215"/>
        <v>445.77777777777789</v>
      </c>
      <c r="E1759">
        <f t="shared" si="211"/>
        <v>0</v>
      </c>
      <c r="G1759">
        <v>1709</v>
      </c>
      <c r="H1759" s="15">
        <f t="shared" si="216"/>
        <v>3.3332641781299799E-2</v>
      </c>
      <c r="I1759">
        <f t="shared" si="217"/>
        <v>161.47164907718189</v>
      </c>
      <c r="J1759">
        <f t="shared" si="212"/>
        <v>495.9562093046402</v>
      </c>
      <c r="K1759" s="30">
        <f t="shared" si="213"/>
        <v>8199.1064060651479</v>
      </c>
    </row>
    <row r="1760" spans="1:11" x14ac:dyDescent="0.25">
      <c r="A1760" s="29">
        <v>1710</v>
      </c>
      <c r="B1760" s="99">
        <f t="shared" si="214"/>
        <v>0</v>
      </c>
      <c r="C1760" s="75">
        <f t="shared" si="218"/>
        <v>104.50616427295054</v>
      </c>
      <c r="D1760" s="100">
        <f t="shared" si="215"/>
        <v>445.77777777777789</v>
      </c>
      <c r="E1760">
        <f t="shared" si="211"/>
        <v>0</v>
      </c>
      <c r="G1760">
        <v>1710</v>
      </c>
      <c r="H1760" s="15">
        <f t="shared" si="216"/>
        <v>3.3332641781299799E-2</v>
      </c>
      <c r="I1760">
        <f t="shared" si="217"/>
        <v>161.50498171896319</v>
      </c>
      <c r="J1760">
        <f t="shared" si="212"/>
        <v>495.96777039244841</v>
      </c>
      <c r="K1760" s="30">
        <f t="shared" si="213"/>
        <v>8199.4884428160276</v>
      </c>
    </row>
    <row r="1761" spans="1:11" x14ac:dyDescent="0.25">
      <c r="A1761" s="29">
        <v>1711</v>
      </c>
      <c r="B1761" s="99">
        <f t="shared" si="214"/>
        <v>0</v>
      </c>
      <c r="C1761" s="75">
        <f t="shared" si="218"/>
        <v>104.50616427295054</v>
      </c>
      <c r="D1761" s="100">
        <f t="shared" si="215"/>
        <v>445.77777777777789</v>
      </c>
      <c r="E1761">
        <f t="shared" si="211"/>
        <v>0</v>
      </c>
      <c r="G1761">
        <v>1711</v>
      </c>
      <c r="H1761" s="15">
        <f t="shared" si="216"/>
        <v>3.3332641781299799E-2</v>
      </c>
      <c r="I1761">
        <f t="shared" si="217"/>
        <v>161.53831436074449</v>
      </c>
      <c r="J1761">
        <f t="shared" si="212"/>
        <v>495.97931834739495</v>
      </c>
      <c r="K1761" s="30">
        <f t="shared" si="213"/>
        <v>8199.8700543086434</v>
      </c>
    </row>
    <row r="1762" spans="1:11" x14ac:dyDescent="0.25">
      <c r="A1762" s="29">
        <v>1712</v>
      </c>
      <c r="B1762" s="99">
        <f t="shared" si="214"/>
        <v>0</v>
      </c>
      <c r="C1762" s="75">
        <f t="shared" si="218"/>
        <v>104.50616427295054</v>
      </c>
      <c r="D1762" s="100">
        <f t="shared" si="215"/>
        <v>445.77777777777789</v>
      </c>
      <c r="E1762">
        <f t="shared" si="211"/>
        <v>0</v>
      </c>
      <c r="G1762">
        <v>1712</v>
      </c>
      <c r="H1762" s="15">
        <f t="shared" si="216"/>
        <v>3.3332641781299799E-2</v>
      </c>
      <c r="I1762">
        <f t="shared" si="217"/>
        <v>161.57164700252579</v>
      </c>
      <c r="J1762">
        <f t="shared" si="212"/>
        <v>495.99085317427966</v>
      </c>
      <c r="K1762" s="30">
        <f t="shared" si="213"/>
        <v>8200.2512406712685</v>
      </c>
    </row>
    <row r="1763" spans="1:11" x14ac:dyDescent="0.25">
      <c r="A1763" s="29">
        <v>1713</v>
      </c>
      <c r="B1763" s="99">
        <f t="shared" si="214"/>
        <v>0</v>
      </c>
      <c r="C1763" s="75">
        <f t="shared" si="218"/>
        <v>104.50616427295054</v>
      </c>
      <c r="D1763" s="100">
        <f t="shared" si="215"/>
        <v>445.77777777777789</v>
      </c>
      <c r="E1763">
        <f t="shared" si="211"/>
        <v>0</v>
      </c>
      <c r="G1763">
        <v>1713</v>
      </c>
      <c r="H1763" s="15">
        <f t="shared" si="216"/>
        <v>3.3332641781299799E-2</v>
      </c>
      <c r="I1763">
        <f t="shared" si="217"/>
        <v>161.60497964430709</v>
      </c>
      <c r="J1763">
        <f t="shared" si="212"/>
        <v>496.00237487789445</v>
      </c>
      <c r="K1763" s="30">
        <f t="shared" si="213"/>
        <v>8200.6320020319599</v>
      </c>
    </row>
    <row r="1764" spans="1:11" x14ac:dyDescent="0.25">
      <c r="A1764" s="29">
        <v>1714</v>
      </c>
      <c r="B1764" s="99">
        <f t="shared" si="214"/>
        <v>0</v>
      </c>
      <c r="C1764" s="75">
        <f t="shared" si="218"/>
        <v>104.50616427295054</v>
      </c>
      <c r="D1764" s="100">
        <f t="shared" si="215"/>
        <v>445.77777777777789</v>
      </c>
      <c r="E1764">
        <f t="shared" si="211"/>
        <v>0</v>
      </c>
      <c r="G1764">
        <v>1714</v>
      </c>
      <c r="H1764" s="15">
        <f t="shared" si="216"/>
        <v>3.3332641781299799E-2</v>
      </c>
      <c r="I1764">
        <f t="shared" si="217"/>
        <v>161.63831228608839</v>
      </c>
      <c r="J1764">
        <f t="shared" si="212"/>
        <v>496.01388346302349</v>
      </c>
      <c r="K1764" s="30">
        <f t="shared" si="213"/>
        <v>8201.012338518578</v>
      </c>
    </row>
    <row r="1765" spans="1:11" x14ac:dyDescent="0.25">
      <c r="A1765" s="29">
        <v>1715</v>
      </c>
      <c r="B1765" s="99">
        <f t="shared" si="214"/>
        <v>0</v>
      </c>
      <c r="C1765" s="75">
        <f t="shared" si="218"/>
        <v>104.50616427295054</v>
      </c>
      <c r="D1765" s="100">
        <f t="shared" si="215"/>
        <v>445.77777777777789</v>
      </c>
      <c r="E1765">
        <f t="shared" si="211"/>
        <v>0</v>
      </c>
      <c r="G1765">
        <v>1715</v>
      </c>
      <c r="H1765" s="15">
        <f t="shared" si="216"/>
        <v>3.3332641781299799E-2</v>
      </c>
      <c r="I1765">
        <f t="shared" si="217"/>
        <v>161.67164492786969</v>
      </c>
      <c r="J1765">
        <f t="shared" si="212"/>
        <v>496.02537893444327</v>
      </c>
      <c r="K1765" s="30">
        <f t="shared" si="213"/>
        <v>8201.3922502587648</v>
      </c>
    </row>
    <row r="1766" spans="1:11" x14ac:dyDescent="0.25">
      <c r="A1766" s="29">
        <v>1716</v>
      </c>
      <c r="B1766" s="99">
        <f t="shared" si="214"/>
        <v>0</v>
      </c>
      <c r="C1766" s="75">
        <f t="shared" si="218"/>
        <v>104.50616427295054</v>
      </c>
      <c r="D1766" s="100">
        <f t="shared" si="215"/>
        <v>445.77777777777789</v>
      </c>
      <c r="E1766">
        <f t="shared" si="211"/>
        <v>0</v>
      </c>
      <c r="G1766">
        <v>1716</v>
      </c>
      <c r="H1766" s="15">
        <f t="shared" si="216"/>
        <v>3.3332641781299799E-2</v>
      </c>
      <c r="I1766">
        <f t="shared" si="217"/>
        <v>161.70497756965099</v>
      </c>
      <c r="J1766">
        <f t="shared" si="212"/>
        <v>496.03686129692238</v>
      </c>
      <c r="K1766" s="30">
        <f t="shared" si="213"/>
        <v>8201.7717373799624</v>
      </c>
    </row>
    <row r="1767" spans="1:11" x14ac:dyDescent="0.25">
      <c r="A1767" s="29">
        <v>1717</v>
      </c>
      <c r="B1767" s="99">
        <f t="shared" si="214"/>
        <v>0</v>
      </c>
      <c r="C1767" s="75">
        <f t="shared" si="218"/>
        <v>104.50616427295054</v>
      </c>
      <c r="D1767" s="100">
        <f t="shared" si="215"/>
        <v>445.77777777777789</v>
      </c>
      <c r="E1767">
        <f t="shared" si="211"/>
        <v>0</v>
      </c>
      <c r="G1767">
        <v>1717</v>
      </c>
      <c r="H1767" s="15">
        <f t="shared" si="216"/>
        <v>3.3332641781299799E-2</v>
      </c>
      <c r="I1767">
        <f t="shared" si="217"/>
        <v>161.73831021143229</v>
      </c>
      <c r="J1767">
        <f t="shared" si="212"/>
        <v>496.04833055522175</v>
      </c>
      <c r="K1767" s="30">
        <f t="shared" si="213"/>
        <v>8202.1508000094018</v>
      </c>
    </row>
    <row r="1768" spans="1:11" x14ac:dyDescent="0.25">
      <c r="A1768" s="29">
        <v>1718</v>
      </c>
      <c r="B1768" s="99">
        <f t="shared" si="214"/>
        <v>0</v>
      </c>
      <c r="C1768" s="75">
        <f t="shared" si="218"/>
        <v>104.50616427295054</v>
      </c>
      <c r="D1768" s="100">
        <f t="shared" si="215"/>
        <v>445.77777777777789</v>
      </c>
      <c r="E1768">
        <f t="shared" si="211"/>
        <v>0</v>
      </c>
      <c r="G1768">
        <v>1718</v>
      </c>
      <c r="H1768" s="15">
        <f t="shared" si="216"/>
        <v>3.3332641781299799E-2</v>
      </c>
      <c r="I1768">
        <f t="shared" si="217"/>
        <v>161.77164285321359</v>
      </c>
      <c r="J1768">
        <f t="shared" si="212"/>
        <v>496.05978671409463</v>
      </c>
      <c r="K1768" s="30">
        <f t="shared" si="213"/>
        <v>8202.5294382741085</v>
      </c>
    </row>
    <row r="1769" spans="1:11" x14ac:dyDescent="0.25">
      <c r="A1769" s="29">
        <v>1719</v>
      </c>
      <c r="B1769" s="99">
        <f t="shared" si="214"/>
        <v>0</v>
      </c>
      <c r="C1769" s="75">
        <f t="shared" si="218"/>
        <v>104.50616427295054</v>
      </c>
      <c r="D1769" s="100">
        <f t="shared" si="215"/>
        <v>445.77777777777789</v>
      </c>
      <c r="E1769">
        <f t="shared" si="211"/>
        <v>0</v>
      </c>
      <c r="G1769">
        <v>1719</v>
      </c>
      <c r="H1769" s="15">
        <f t="shared" si="216"/>
        <v>3.3332641781299799E-2</v>
      </c>
      <c r="I1769">
        <f t="shared" si="217"/>
        <v>161.80497549499489</v>
      </c>
      <c r="J1769">
        <f t="shared" si="212"/>
        <v>496.07122977828635</v>
      </c>
      <c r="K1769" s="30">
        <f t="shared" si="213"/>
        <v>8202.9076523009062</v>
      </c>
    </row>
    <row r="1770" spans="1:11" x14ac:dyDescent="0.25">
      <c r="A1770" s="29">
        <v>1720</v>
      </c>
      <c r="B1770" s="99">
        <f t="shared" si="214"/>
        <v>0</v>
      </c>
      <c r="C1770" s="75">
        <f t="shared" si="218"/>
        <v>104.50616427295054</v>
      </c>
      <c r="D1770" s="100">
        <f t="shared" si="215"/>
        <v>445.77777777777789</v>
      </c>
      <c r="E1770">
        <f t="shared" si="211"/>
        <v>0</v>
      </c>
      <c r="G1770">
        <v>1720</v>
      </c>
      <c r="H1770" s="15">
        <f t="shared" si="216"/>
        <v>3.3332641781299799E-2</v>
      </c>
      <c r="I1770">
        <f t="shared" si="217"/>
        <v>161.83830813677619</v>
      </c>
      <c r="J1770">
        <f t="shared" si="212"/>
        <v>496.08265975253482</v>
      </c>
      <c r="K1770" s="30">
        <f t="shared" si="213"/>
        <v>8203.2854422164037</v>
      </c>
    </row>
    <row r="1771" spans="1:11" x14ac:dyDescent="0.25">
      <c r="A1771" s="29">
        <v>1721</v>
      </c>
      <c r="B1771" s="99">
        <f t="shared" si="214"/>
        <v>0</v>
      </c>
      <c r="C1771" s="75">
        <f t="shared" si="218"/>
        <v>104.50616427295054</v>
      </c>
      <c r="D1771" s="100">
        <f t="shared" si="215"/>
        <v>445.77777777777789</v>
      </c>
      <c r="E1771">
        <f t="shared" si="211"/>
        <v>0</v>
      </c>
      <c r="G1771">
        <v>1721</v>
      </c>
      <c r="H1771" s="15">
        <f t="shared" si="216"/>
        <v>3.3332641781299799E-2</v>
      </c>
      <c r="I1771">
        <f t="shared" si="217"/>
        <v>161.87164077855749</v>
      </c>
      <c r="J1771">
        <f t="shared" si="212"/>
        <v>496.09407664156993</v>
      </c>
      <c r="K1771" s="30">
        <f t="shared" si="213"/>
        <v>8203.6628081470099</v>
      </c>
    </row>
    <row r="1772" spans="1:11" x14ac:dyDescent="0.25">
      <c r="A1772" s="29">
        <v>1722</v>
      </c>
      <c r="B1772" s="99">
        <f t="shared" si="214"/>
        <v>0</v>
      </c>
      <c r="C1772" s="75">
        <f t="shared" si="218"/>
        <v>104.50616427295054</v>
      </c>
      <c r="D1772" s="100">
        <f t="shared" si="215"/>
        <v>445.77777777777789</v>
      </c>
      <c r="E1772">
        <f t="shared" si="211"/>
        <v>0</v>
      </c>
      <c r="G1772">
        <v>1722</v>
      </c>
      <c r="H1772" s="15">
        <f t="shared" si="216"/>
        <v>3.3332641781299799E-2</v>
      </c>
      <c r="I1772">
        <f t="shared" si="217"/>
        <v>161.90497342033879</v>
      </c>
      <c r="J1772">
        <f t="shared" si="212"/>
        <v>496.1054804501141</v>
      </c>
      <c r="K1772" s="30">
        <f t="shared" si="213"/>
        <v>8204.0397502189244</v>
      </c>
    </row>
    <row r="1773" spans="1:11" x14ac:dyDescent="0.25">
      <c r="A1773" s="29">
        <v>1723</v>
      </c>
      <c r="B1773" s="99">
        <f t="shared" si="214"/>
        <v>0</v>
      </c>
      <c r="C1773" s="75">
        <f t="shared" si="218"/>
        <v>104.50616427295054</v>
      </c>
      <c r="D1773" s="100">
        <f t="shared" si="215"/>
        <v>445.77777777777789</v>
      </c>
      <c r="E1773">
        <f t="shared" si="211"/>
        <v>0</v>
      </c>
      <c r="G1773">
        <v>1723</v>
      </c>
      <c r="H1773" s="15">
        <f t="shared" si="216"/>
        <v>3.3332641781299799E-2</v>
      </c>
      <c r="I1773">
        <f t="shared" si="217"/>
        <v>161.93830606212009</v>
      </c>
      <c r="J1773">
        <f t="shared" si="212"/>
        <v>496.11687118288194</v>
      </c>
      <c r="K1773" s="30">
        <f t="shared" si="213"/>
        <v>8204.4162685581487</v>
      </c>
    </row>
    <row r="1774" spans="1:11" x14ac:dyDescent="0.25">
      <c r="A1774" s="29">
        <v>1724</v>
      </c>
      <c r="B1774" s="99">
        <f t="shared" si="214"/>
        <v>0</v>
      </c>
      <c r="C1774" s="75">
        <f t="shared" si="218"/>
        <v>104.50616427295054</v>
      </c>
      <c r="D1774" s="100">
        <f t="shared" si="215"/>
        <v>445.77777777777789</v>
      </c>
      <c r="E1774">
        <f t="shared" si="211"/>
        <v>0</v>
      </c>
      <c r="G1774">
        <v>1724</v>
      </c>
      <c r="H1774" s="15">
        <f t="shared" si="216"/>
        <v>3.3332641781299799E-2</v>
      </c>
      <c r="I1774">
        <f t="shared" si="217"/>
        <v>161.97163870390139</v>
      </c>
      <c r="J1774">
        <f t="shared" si="212"/>
        <v>496.12824884458058</v>
      </c>
      <c r="K1774" s="30">
        <f t="shared" si="213"/>
        <v>8204.7923632904713</v>
      </c>
    </row>
    <row r="1775" spans="1:11" x14ac:dyDescent="0.25">
      <c r="A1775" s="29">
        <v>1725</v>
      </c>
      <c r="B1775" s="99">
        <f t="shared" si="214"/>
        <v>0</v>
      </c>
      <c r="C1775" s="75">
        <f t="shared" si="218"/>
        <v>104.50616427295054</v>
      </c>
      <c r="D1775" s="100">
        <f t="shared" si="215"/>
        <v>445.77777777777789</v>
      </c>
      <c r="E1775">
        <f t="shared" si="211"/>
        <v>0</v>
      </c>
      <c r="G1775">
        <v>1725</v>
      </c>
      <c r="H1775" s="15">
        <f t="shared" si="216"/>
        <v>3.3332641781299799E-2</v>
      </c>
      <c r="I1775">
        <f t="shared" si="217"/>
        <v>162.00497134568269</v>
      </c>
      <c r="J1775">
        <f t="shared" si="212"/>
        <v>496.13961343990934</v>
      </c>
      <c r="K1775" s="30">
        <f t="shared" si="213"/>
        <v>8205.1680345414807</v>
      </c>
    </row>
    <row r="1776" spans="1:11" x14ac:dyDescent="0.25">
      <c r="A1776" s="29">
        <v>1726</v>
      </c>
      <c r="B1776" s="99">
        <f t="shared" si="214"/>
        <v>0</v>
      </c>
      <c r="C1776" s="75">
        <f t="shared" si="218"/>
        <v>104.50616427295054</v>
      </c>
      <c r="D1776" s="100">
        <f t="shared" si="215"/>
        <v>445.77777777777789</v>
      </c>
      <c r="E1776">
        <f t="shared" si="211"/>
        <v>0</v>
      </c>
      <c r="G1776">
        <v>1726</v>
      </c>
      <c r="H1776" s="15">
        <f t="shared" si="216"/>
        <v>3.3332641781299799E-2</v>
      </c>
      <c r="I1776">
        <f t="shared" si="217"/>
        <v>162.03830398746399</v>
      </c>
      <c r="J1776">
        <f t="shared" si="212"/>
        <v>496.15096497355984</v>
      </c>
      <c r="K1776" s="30">
        <f t="shared" si="213"/>
        <v>8205.5432824365562</v>
      </c>
    </row>
    <row r="1777" spans="1:11" x14ac:dyDescent="0.25">
      <c r="A1777" s="29">
        <v>1727</v>
      </c>
      <c r="B1777" s="99">
        <f t="shared" si="214"/>
        <v>0</v>
      </c>
      <c r="C1777" s="75">
        <f t="shared" si="218"/>
        <v>104.50616427295054</v>
      </c>
      <c r="D1777" s="100">
        <f t="shared" si="215"/>
        <v>445.77777777777789</v>
      </c>
      <c r="E1777">
        <f t="shared" si="211"/>
        <v>0</v>
      </c>
      <c r="G1777">
        <v>1727</v>
      </c>
      <c r="H1777" s="15">
        <f t="shared" si="216"/>
        <v>3.3332641781299799E-2</v>
      </c>
      <c r="I1777">
        <f t="shared" si="217"/>
        <v>162.07163662924529</v>
      </c>
      <c r="J1777">
        <f t="shared" si="212"/>
        <v>496.1623034502162</v>
      </c>
      <c r="K1777" s="30">
        <f t="shared" si="213"/>
        <v>8205.9181071008807</v>
      </c>
    </row>
    <row r="1778" spans="1:11" x14ac:dyDescent="0.25">
      <c r="A1778" s="29">
        <v>1728</v>
      </c>
      <c r="B1778" s="99">
        <f t="shared" si="214"/>
        <v>0</v>
      </c>
      <c r="C1778" s="75">
        <f t="shared" si="218"/>
        <v>104.50616427295054</v>
      </c>
      <c r="D1778" s="100">
        <f t="shared" si="215"/>
        <v>445.77777777777789</v>
      </c>
      <c r="E1778">
        <f t="shared" si="211"/>
        <v>0</v>
      </c>
      <c r="G1778">
        <v>1728</v>
      </c>
      <c r="H1778" s="15">
        <f t="shared" si="216"/>
        <v>3.3332641781299799E-2</v>
      </c>
      <c r="I1778">
        <f t="shared" si="217"/>
        <v>162.10496927102659</v>
      </c>
      <c r="J1778">
        <f t="shared" si="212"/>
        <v>496.17362887455488</v>
      </c>
      <c r="K1778" s="30">
        <f t="shared" si="213"/>
        <v>8206.2925086594296</v>
      </c>
    </row>
    <row r="1779" spans="1:11" x14ac:dyDescent="0.25">
      <c r="A1779" s="29">
        <v>1729</v>
      </c>
      <c r="B1779" s="99">
        <f t="shared" si="214"/>
        <v>0</v>
      </c>
      <c r="C1779" s="75">
        <f t="shared" si="218"/>
        <v>104.50616427295054</v>
      </c>
      <c r="D1779" s="100">
        <f t="shared" si="215"/>
        <v>445.77777777777789</v>
      </c>
      <c r="E1779">
        <f t="shared" ref="E1779:E1842" si="219">((D1779^2)+(D1779*D1780)+(D1780^2))*B1780/3</f>
        <v>0</v>
      </c>
      <c r="G1779">
        <v>1729</v>
      </c>
      <c r="H1779" s="15">
        <f t="shared" si="216"/>
        <v>3.3332641781299799E-2</v>
      </c>
      <c r="I1779">
        <f t="shared" si="217"/>
        <v>162.13830191280789</v>
      </c>
      <c r="J1779">
        <f t="shared" ref="J1779:J1842" si="220">IF($G$28&lt;$C$14,0,((($C$11^2)-((I1779-$C$13)^2))^0.5)+$C$16)</f>
        <v>496.18494125124477</v>
      </c>
      <c r="K1779" s="30">
        <f t="shared" ref="K1779:K1842" si="221">((J1779^2)+(J1779*J1780)+(J1780^2))*H1780/3</f>
        <v>8206.6664872369711</v>
      </c>
    </row>
    <row r="1780" spans="1:11" x14ac:dyDescent="0.25">
      <c r="A1780" s="29">
        <v>1730</v>
      </c>
      <c r="B1780" s="99">
        <f t="shared" ref="B1780:B1843" si="222">C1780-C1779</f>
        <v>0</v>
      </c>
      <c r="C1780" s="75">
        <f t="shared" si="218"/>
        <v>104.50616427295054</v>
      </c>
      <c r="D1780" s="100">
        <f t="shared" ref="D1780:D1843" si="223">IF($G$28&lt;$C$14,0,((($C$11^2)-((C1780-$C$13)^2))^0.5)+$C$16)</f>
        <v>445.77777777777789</v>
      </c>
      <c r="E1780">
        <f t="shared" si="219"/>
        <v>0</v>
      </c>
      <c r="G1780">
        <v>1730</v>
      </c>
      <c r="H1780" s="15">
        <f t="shared" ref="H1780:H1843" si="224">I1780-I1779</f>
        <v>3.3332641781299799E-2</v>
      </c>
      <c r="I1780">
        <f t="shared" ref="I1780:I1843" si="225">($G$27-$C$14)/2000+I1779</f>
        <v>162.17163455458919</v>
      </c>
      <c r="J1780">
        <f t="shared" si="220"/>
        <v>496.19624058494696</v>
      </c>
      <c r="K1780" s="30">
        <f t="shared" si="221"/>
        <v>8207.0400429580786</v>
      </c>
    </row>
    <row r="1781" spans="1:11" x14ac:dyDescent="0.25">
      <c r="A1781" s="29">
        <v>1731</v>
      </c>
      <c r="B1781" s="99">
        <f t="shared" si="222"/>
        <v>0</v>
      </c>
      <c r="C1781" s="75">
        <f t="shared" si="218"/>
        <v>104.50616427295054</v>
      </c>
      <c r="D1781" s="100">
        <f t="shared" si="223"/>
        <v>445.77777777777789</v>
      </c>
      <c r="E1781">
        <f t="shared" si="219"/>
        <v>0</v>
      </c>
      <c r="G1781">
        <v>1731</v>
      </c>
      <c r="H1781" s="15">
        <f t="shared" si="224"/>
        <v>3.3332641781299799E-2</v>
      </c>
      <c r="I1781">
        <f t="shared" si="225"/>
        <v>162.20496719637049</v>
      </c>
      <c r="J1781">
        <f t="shared" si="220"/>
        <v>496.20752688031524</v>
      </c>
      <c r="K1781" s="30">
        <f t="shared" si="221"/>
        <v>8207.4131759471093</v>
      </c>
    </row>
    <row r="1782" spans="1:11" x14ac:dyDescent="0.25">
      <c r="A1782" s="29">
        <v>1732</v>
      </c>
      <c r="B1782" s="99">
        <f t="shared" si="222"/>
        <v>0</v>
      </c>
      <c r="C1782" s="75">
        <f t="shared" si="218"/>
        <v>104.50616427295054</v>
      </c>
      <c r="D1782" s="100">
        <f t="shared" si="223"/>
        <v>445.77777777777789</v>
      </c>
      <c r="E1782">
        <f t="shared" si="219"/>
        <v>0</v>
      </c>
      <c r="G1782">
        <v>1732</v>
      </c>
      <c r="H1782" s="15">
        <f t="shared" si="224"/>
        <v>3.3332641781299799E-2</v>
      </c>
      <c r="I1782">
        <f t="shared" si="225"/>
        <v>162.23829983815179</v>
      </c>
      <c r="J1782">
        <f t="shared" si="220"/>
        <v>496.21880014199559</v>
      </c>
      <c r="K1782" s="30">
        <f t="shared" si="221"/>
        <v>8207.7858863282345</v>
      </c>
    </row>
    <row r="1783" spans="1:11" x14ac:dyDescent="0.25">
      <c r="A1783" s="29">
        <v>1733</v>
      </c>
      <c r="B1783" s="99">
        <f t="shared" si="222"/>
        <v>0</v>
      </c>
      <c r="C1783" s="75">
        <f t="shared" si="218"/>
        <v>104.50616427295054</v>
      </c>
      <c r="D1783" s="100">
        <f t="shared" si="223"/>
        <v>445.77777777777789</v>
      </c>
      <c r="E1783">
        <f t="shared" si="219"/>
        <v>0</v>
      </c>
      <c r="G1783">
        <v>1733</v>
      </c>
      <c r="H1783" s="15">
        <f t="shared" si="224"/>
        <v>3.3332641781299799E-2</v>
      </c>
      <c r="I1783">
        <f t="shared" si="225"/>
        <v>162.27163247993309</v>
      </c>
      <c r="J1783">
        <f t="shared" si="220"/>
        <v>496.23006037462653</v>
      </c>
      <c r="K1783" s="30">
        <f t="shared" si="221"/>
        <v>8208.1581742254111</v>
      </c>
    </row>
    <row r="1784" spans="1:11" x14ac:dyDescent="0.25">
      <c r="A1784" s="29">
        <v>1734</v>
      </c>
      <c r="B1784" s="99">
        <f t="shared" si="222"/>
        <v>0</v>
      </c>
      <c r="C1784" s="75">
        <f t="shared" si="218"/>
        <v>104.50616427295054</v>
      </c>
      <c r="D1784" s="100">
        <f t="shared" si="223"/>
        <v>445.77777777777789</v>
      </c>
      <c r="E1784">
        <f t="shared" si="219"/>
        <v>0</v>
      </c>
      <c r="G1784">
        <v>1734</v>
      </c>
      <c r="H1784" s="15">
        <f t="shared" si="224"/>
        <v>3.3332641781299799E-2</v>
      </c>
      <c r="I1784">
        <f t="shared" si="225"/>
        <v>162.30496512171439</v>
      </c>
      <c r="J1784">
        <f t="shared" si="220"/>
        <v>496.241307582839</v>
      </c>
      <c r="K1784" s="30">
        <f t="shared" si="221"/>
        <v>8208.530039762396</v>
      </c>
    </row>
    <row r="1785" spans="1:11" x14ac:dyDescent="0.25">
      <c r="A1785" s="29">
        <v>1735</v>
      </c>
      <c r="B1785" s="99">
        <f t="shared" si="222"/>
        <v>0</v>
      </c>
      <c r="C1785" s="75">
        <f t="shared" si="218"/>
        <v>104.50616427295054</v>
      </c>
      <c r="D1785" s="100">
        <f t="shared" si="223"/>
        <v>445.77777777777789</v>
      </c>
      <c r="E1785">
        <f t="shared" si="219"/>
        <v>0</v>
      </c>
      <c r="G1785">
        <v>1735</v>
      </c>
      <c r="H1785" s="15">
        <f t="shared" si="224"/>
        <v>3.3332641781299799E-2</v>
      </c>
      <c r="I1785">
        <f t="shared" si="225"/>
        <v>162.33829776349569</v>
      </c>
      <c r="J1785">
        <f t="shared" si="220"/>
        <v>496.2525417712564</v>
      </c>
      <c r="K1785" s="30">
        <f t="shared" si="221"/>
        <v>8208.9014830627511</v>
      </c>
    </row>
    <row r="1786" spans="1:11" x14ac:dyDescent="0.25">
      <c r="A1786" s="29">
        <v>1736</v>
      </c>
      <c r="B1786" s="99">
        <f t="shared" si="222"/>
        <v>0</v>
      </c>
      <c r="C1786" s="75">
        <f t="shared" si="218"/>
        <v>104.50616427295054</v>
      </c>
      <c r="D1786" s="100">
        <f t="shared" si="223"/>
        <v>445.77777777777789</v>
      </c>
      <c r="E1786">
        <f t="shared" si="219"/>
        <v>0</v>
      </c>
      <c r="G1786">
        <v>1736</v>
      </c>
      <c r="H1786" s="15">
        <f t="shared" si="224"/>
        <v>3.3332641781299799E-2</v>
      </c>
      <c r="I1786">
        <f t="shared" si="225"/>
        <v>162.37163040527699</v>
      </c>
      <c r="J1786">
        <f t="shared" si="220"/>
        <v>496.26376294449454</v>
      </c>
      <c r="K1786" s="30">
        <f t="shared" si="221"/>
        <v>8209.2725042498259</v>
      </c>
    </row>
    <row r="1787" spans="1:11" x14ac:dyDescent="0.25">
      <c r="A1787" s="29">
        <v>1737</v>
      </c>
      <c r="B1787" s="99">
        <f t="shared" si="222"/>
        <v>0</v>
      </c>
      <c r="C1787" s="75">
        <f t="shared" si="218"/>
        <v>104.50616427295054</v>
      </c>
      <c r="D1787" s="100">
        <f t="shared" si="223"/>
        <v>445.77777777777789</v>
      </c>
      <c r="E1787">
        <f t="shared" si="219"/>
        <v>0</v>
      </c>
      <c r="G1787">
        <v>1737</v>
      </c>
      <c r="H1787" s="15">
        <f t="shared" si="224"/>
        <v>3.3332641781299799E-2</v>
      </c>
      <c r="I1787">
        <f t="shared" si="225"/>
        <v>162.40496304705829</v>
      </c>
      <c r="J1787">
        <f t="shared" si="220"/>
        <v>496.27497110716183</v>
      </c>
      <c r="K1787" s="30">
        <f t="shared" si="221"/>
        <v>8209.6431034467805</v>
      </c>
    </row>
    <row r="1788" spans="1:11" x14ac:dyDescent="0.25">
      <c r="A1788" s="29">
        <v>1738</v>
      </c>
      <c r="B1788" s="99">
        <f t="shared" si="222"/>
        <v>0</v>
      </c>
      <c r="C1788" s="75">
        <f t="shared" si="218"/>
        <v>104.50616427295054</v>
      </c>
      <c r="D1788" s="100">
        <f t="shared" si="223"/>
        <v>445.77777777777789</v>
      </c>
      <c r="E1788">
        <f t="shared" si="219"/>
        <v>0</v>
      </c>
      <c r="G1788">
        <v>1738</v>
      </c>
      <c r="H1788" s="15">
        <f t="shared" si="224"/>
        <v>3.3332641781299799E-2</v>
      </c>
      <c r="I1788">
        <f t="shared" si="225"/>
        <v>162.43829568883959</v>
      </c>
      <c r="J1788">
        <f t="shared" si="220"/>
        <v>496.28616626385895</v>
      </c>
      <c r="K1788" s="30">
        <f t="shared" si="221"/>
        <v>8210.013280776564</v>
      </c>
    </row>
    <row r="1789" spans="1:11" x14ac:dyDescent="0.25">
      <c r="A1789" s="29">
        <v>1739</v>
      </c>
      <c r="B1789" s="99">
        <f t="shared" si="222"/>
        <v>0</v>
      </c>
      <c r="C1789" s="75">
        <f t="shared" si="218"/>
        <v>104.50616427295054</v>
      </c>
      <c r="D1789" s="100">
        <f t="shared" si="223"/>
        <v>445.77777777777789</v>
      </c>
      <c r="E1789">
        <f t="shared" si="219"/>
        <v>0</v>
      </c>
      <c r="G1789">
        <v>1739</v>
      </c>
      <c r="H1789" s="15">
        <f t="shared" si="224"/>
        <v>3.3332641781299799E-2</v>
      </c>
      <c r="I1789">
        <f t="shared" si="225"/>
        <v>162.47162833062089</v>
      </c>
      <c r="J1789">
        <f t="shared" si="220"/>
        <v>496.29734841917934</v>
      </c>
      <c r="K1789" s="30">
        <f t="shared" si="221"/>
        <v>8210.3830363619327</v>
      </c>
    </row>
    <row r="1790" spans="1:11" x14ac:dyDescent="0.25">
      <c r="A1790" s="29">
        <v>1740</v>
      </c>
      <c r="B1790" s="99">
        <f t="shared" si="222"/>
        <v>0</v>
      </c>
      <c r="C1790" s="75">
        <f t="shared" si="218"/>
        <v>104.50616427295054</v>
      </c>
      <c r="D1790" s="100">
        <f t="shared" si="223"/>
        <v>445.77777777777789</v>
      </c>
      <c r="E1790">
        <f t="shared" si="219"/>
        <v>0</v>
      </c>
      <c r="G1790">
        <v>1740</v>
      </c>
      <c r="H1790" s="15">
        <f t="shared" si="224"/>
        <v>3.3332641781299799E-2</v>
      </c>
      <c r="I1790">
        <f t="shared" si="225"/>
        <v>162.50496097240219</v>
      </c>
      <c r="J1790">
        <f t="shared" si="220"/>
        <v>496.30851757770881</v>
      </c>
      <c r="K1790" s="30">
        <f t="shared" si="221"/>
        <v>8210.7523703254392</v>
      </c>
    </row>
    <row r="1791" spans="1:11" x14ac:dyDescent="0.25">
      <c r="A1791" s="29">
        <v>1741</v>
      </c>
      <c r="B1791" s="99">
        <f t="shared" si="222"/>
        <v>0</v>
      </c>
      <c r="C1791" s="75">
        <f t="shared" si="218"/>
        <v>104.50616427295054</v>
      </c>
      <c r="D1791" s="100">
        <f t="shared" si="223"/>
        <v>445.77777777777789</v>
      </c>
      <c r="E1791">
        <f t="shared" si="219"/>
        <v>0</v>
      </c>
      <c r="G1791">
        <v>1741</v>
      </c>
      <c r="H1791" s="15">
        <f t="shared" si="224"/>
        <v>3.3332641781299799E-2</v>
      </c>
      <c r="I1791">
        <f t="shared" si="225"/>
        <v>162.53829361418349</v>
      </c>
      <c r="J1791">
        <f t="shared" si="220"/>
        <v>496.31967374402564</v>
      </c>
      <c r="K1791" s="30">
        <f t="shared" si="221"/>
        <v>8211.1212827894324</v>
      </c>
    </row>
    <row r="1792" spans="1:11" x14ac:dyDescent="0.25">
      <c r="A1792" s="29">
        <v>1742</v>
      </c>
      <c r="B1792" s="99">
        <f t="shared" si="222"/>
        <v>0</v>
      </c>
      <c r="C1792" s="75">
        <f t="shared" si="218"/>
        <v>104.50616427295054</v>
      </c>
      <c r="D1792" s="100">
        <f t="shared" si="223"/>
        <v>445.77777777777789</v>
      </c>
      <c r="E1792">
        <f t="shared" si="219"/>
        <v>0</v>
      </c>
      <c r="G1792">
        <v>1742</v>
      </c>
      <c r="H1792" s="15">
        <f t="shared" si="224"/>
        <v>3.3332641781299799E-2</v>
      </c>
      <c r="I1792">
        <f t="shared" si="225"/>
        <v>162.57162625596479</v>
      </c>
      <c r="J1792">
        <f t="shared" si="220"/>
        <v>496.33081692270071</v>
      </c>
      <c r="K1792" s="30">
        <f t="shared" si="221"/>
        <v>8211.4897738760683</v>
      </c>
    </row>
    <row r="1793" spans="1:11" x14ac:dyDescent="0.25">
      <c r="A1793" s="29">
        <v>1743</v>
      </c>
      <c r="B1793" s="99">
        <f t="shared" si="222"/>
        <v>0</v>
      </c>
      <c r="C1793" s="75">
        <f t="shared" si="218"/>
        <v>104.50616427295054</v>
      </c>
      <c r="D1793" s="100">
        <f t="shared" si="223"/>
        <v>445.77777777777789</v>
      </c>
      <c r="E1793">
        <f t="shared" si="219"/>
        <v>0</v>
      </c>
      <c r="G1793">
        <v>1743</v>
      </c>
      <c r="H1793" s="15">
        <f t="shared" si="224"/>
        <v>3.3332641781299799E-2</v>
      </c>
      <c r="I1793">
        <f t="shared" si="225"/>
        <v>162.60495889774609</v>
      </c>
      <c r="J1793">
        <f t="shared" si="220"/>
        <v>496.34194711829741</v>
      </c>
      <c r="K1793" s="30">
        <f t="shared" si="221"/>
        <v>8211.8578437072993</v>
      </c>
    </row>
    <row r="1794" spans="1:11" x14ac:dyDescent="0.25">
      <c r="A1794" s="29">
        <v>1744</v>
      </c>
      <c r="B1794" s="99">
        <f t="shared" si="222"/>
        <v>0</v>
      </c>
      <c r="C1794" s="75">
        <f t="shared" si="218"/>
        <v>104.50616427295054</v>
      </c>
      <c r="D1794" s="100">
        <f t="shared" si="223"/>
        <v>445.77777777777789</v>
      </c>
      <c r="E1794">
        <f t="shared" si="219"/>
        <v>0</v>
      </c>
      <c r="G1794">
        <v>1744</v>
      </c>
      <c r="H1794" s="15">
        <f t="shared" si="224"/>
        <v>3.3332641781299799E-2</v>
      </c>
      <c r="I1794">
        <f t="shared" si="225"/>
        <v>162.63829153952739</v>
      </c>
      <c r="J1794">
        <f t="shared" si="220"/>
        <v>496.35306433537164</v>
      </c>
      <c r="K1794" s="30">
        <f t="shared" si="221"/>
        <v>8212.2254924048812</v>
      </c>
    </row>
    <row r="1795" spans="1:11" x14ac:dyDescent="0.25">
      <c r="A1795" s="29">
        <v>1745</v>
      </c>
      <c r="B1795" s="99">
        <f t="shared" si="222"/>
        <v>0</v>
      </c>
      <c r="C1795" s="75">
        <f t="shared" si="218"/>
        <v>104.50616427295054</v>
      </c>
      <c r="D1795" s="100">
        <f t="shared" si="223"/>
        <v>445.77777777777789</v>
      </c>
      <c r="E1795">
        <f t="shared" si="219"/>
        <v>0</v>
      </c>
      <c r="G1795">
        <v>1745</v>
      </c>
      <c r="H1795" s="15">
        <f t="shared" si="224"/>
        <v>3.3332641781299799E-2</v>
      </c>
      <c r="I1795">
        <f t="shared" si="225"/>
        <v>162.67162418130869</v>
      </c>
      <c r="J1795">
        <f t="shared" si="220"/>
        <v>496.36416857847206</v>
      </c>
      <c r="K1795" s="30">
        <f t="shared" si="221"/>
        <v>8212.5927200903698</v>
      </c>
    </row>
    <row r="1796" spans="1:11" x14ac:dyDescent="0.25">
      <c r="A1796" s="29">
        <v>1746</v>
      </c>
      <c r="B1796" s="99">
        <f t="shared" si="222"/>
        <v>0</v>
      </c>
      <c r="C1796" s="75">
        <f t="shared" si="218"/>
        <v>104.50616427295054</v>
      </c>
      <c r="D1796" s="100">
        <f t="shared" si="223"/>
        <v>445.77777777777789</v>
      </c>
      <c r="E1796">
        <f t="shared" si="219"/>
        <v>0</v>
      </c>
      <c r="G1796">
        <v>1746</v>
      </c>
      <c r="H1796" s="15">
        <f t="shared" si="224"/>
        <v>3.3332641781299799E-2</v>
      </c>
      <c r="I1796">
        <f t="shared" si="225"/>
        <v>162.70495682308999</v>
      </c>
      <c r="J1796">
        <f t="shared" si="220"/>
        <v>496.37525985213961</v>
      </c>
      <c r="K1796" s="30">
        <f t="shared" si="221"/>
        <v>8212.9595268851226</v>
      </c>
    </row>
    <row r="1797" spans="1:11" x14ac:dyDescent="0.25">
      <c r="A1797" s="29">
        <v>1747</v>
      </c>
      <c r="B1797" s="99">
        <f t="shared" si="222"/>
        <v>0</v>
      </c>
      <c r="C1797" s="75">
        <f t="shared" si="218"/>
        <v>104.50616427295054</v>
      </c>
      <c r="D1797" s="100">
        <f t="shared" si="223"/>
        <v>445.77777777777789</v>
      </c>
      <c r="E1797">
        <f t="shared" si="219"/>
        <v>0</v>
      </c>
      <c r="G1797">
        <v>1747</v>
      </c>
      <c r="H1797" s="15">
        <f t="shared" si="224"/>
        <v>3.3332641781299799E-2</v>
      </c>
      <c r="I1797">
        <f t="shared" si="225"/>
        <v>162.73828946487129</v>
      </c>
      <c r="J1797">
        <f t="shared" si="220"/>
        <v>496.386338160908</v>
      </c>
      <c r="K1797" s="30">
        <f t="shared" si="221"/>
        <v>8213.3259129102935</v>
      </c>
    </row>
    <row r="1798" spans="1:11" x14ac:dyDescent="0.25">
      <c r="A1798" s="29">
        <v>1748</v>
      </c>
      <c r="B1798" s="99">
        <f t="shared" si="222"/>
        <v>0</v>
      </c>
      <c r="C1798" s="75">
        <f t="shared" si="218"/>
        <v>104.50616427295054</v>
      </c>
      <c r="D1798" s="100">
        <f t="shared" si="223"/>
        <v>445.77777777777789</v>
      </c>
      <c r="E1798">
        <f t="shared" si="219"/>
        <v>0</v>
      </c>
      <c r="G1798">
        <v>1748</v>
      </c>
      <c r="H1798" s="15">
        <f t="shared" si="224"/>
        <v>3.3332641781299799E-2</v>
      </c>
      <c r="I1798">
        <f t="shared" si="225"/>
        <v>162.77162210665259</v>
      </c>
      <c r="J1798">
        <f t="shared" si="220"/>
        <v>496.3974035093035</v>
      </c>
      <c r="K1798" s="30">
        <f t="shared" si="221"/>
        <v>8213.6918782868506</v>
      </c>
    </row>
    <row r="1799" spans="1:11" x14ac:dyDescent="0.25">
      <c r="A1799" s="29">
        <v>1749</v>
      </c>
      <c r="B1799" s="99">
        <f t="shared" si="222"/>
        <v>0</v>
      </c>
      <c r="C1799" s="75">
        <f t="shared" si="218"/>
        <v>104.50616427295054</v>
      </c>
      <c r="D1799" s="100">
        <f t="shared" si="223"/>
        <v>445.77777777777789</v>
      </c>
      <c r="E1799">
        <f t="shared" si="219"/>
        <v>0</v>
      </c>
      <c r="G1799">
        <v>1749</v>
      </c>
      <c r="H1799" s="15">
        <f t="shared" si="224"/>
        <v>3.3332641781299799E-2</v>
      </c>
      <c r="I1799">
        <f t="shared" si="225"/>
        <v>162.80495474843389</v>
      </c>
      <c r="J1799">
        <f t="shared" si="220"/>
        <v>496.40845590184495</v>
      </c>
      <c r="K1799" s="30">
        <f t="shared" si="221"/>
        <v>8214.0574231355513</v>
      </c>
    </row>
    <row r="1800" spans="1:11" x14ac:dyDescent="0.25">
      <c r="A1800" s="29">
        <v>1750</v>
      </c>
      <c r="B1800" s="99">
        <f t="shared" si="222"/>
        <v>0</v>
      </c>
      <c r="C1800" s="75">
        <f t="shared" si="218"/>
        <v>104.50616427295054</v>
      </c>
      <c r="D1800" s="100">
        <f t="shared" si="223"/>
        <v>445.77777777777789</v>
      </c>
      <c r="E1800">
        <f t="shared" si="219"/>
        <v>0</v>
      </c>
      <c r="G1800">
        <v>1750</v>
      </c>
      <c r="H1800" s="15">
        <f t="shared" si="224"/>
        <v>3.3332641781299799E-2</v>
      </c>
      <c r="I1800">
        <f t="shared" si="225"/>
        <v>162.83828739021519</v>
      </c>
      <c r="J1800">
        <f t="shared" si="220"/>
        <v>496.41949534304382</v>
      </c>
      <c r="K1800" s="30">
        <f t="shared" si="221"/>
        <v>8214.4225475769617</v>
      </c>
    </row>
    <row r="1801" spans="1:11" x14ac:dyDescent="0.25">
      <c r="A1801" s="29">
        <v>1751</v>
      </c>
      <c r="B1801" s="99">
        <f t="shared" si="222"/>
        <v>0</v>
      </c>
      <c r="C1801" s="75">
        <f t="shared" si="218"/>
        <v>104.50616427295054</v>
      </c>
      <c r="D1801" s="100">
        <f t="shared" si="223"/>
        <v>445.77777777777789</v>
      </c>
      <c r="E1801">
        <f t="shared" si="219"/>
        <v>0</v>
      </c>
      <c r="G1801">
        <v>1751</v>
      </c>
      <c r="H1801" s="15">
        <f t="shared" si="224"/>
        <v>3.3332641781299799E-2</v>
      </c>
      <c r="I1801">
        <f t="shared" si="225"/>
        <v>162.87162003199649</v>
      </c>
      <c r="J1801">
        <f t="shared" si="220"/>
        <v>496.43052183740417</v>
      </c>
      <c r="K1801" s="30">
        <f t="shared" si="221"/>
        <v>8214.7872517314518</v>
      </c>
    </row>
    <row r="1802" spans="1:11" x14ac:dyDescent="0.25">
      <c r="A1802" s="29">
        <v>1752</v>
      </c>
      <c r="B1802" s="99">
        <f t="shared" si="222"/>
        <v>0</v>
      </c>
      <c r="C1802" s="75">
        <f t="shared" si="218"/>
        <v>104.50616427295054</v>
      </c>
      <c r="D1802" s="100">
        <f t="shared" si="223"/>
        <v>445.77777777777789</v>
      </c>
      <c r="E1802">
        <f t="shared" si="219"/>
        <v>0</v>
      </c>
      <c r="G1802">
        <v>1752</v>
      </c>
      <c r="H1802" s="15">
        <f t="shared" si="224"/>
        <v>3.3332641781299799E-2</v>
      </c>
      <c r="I1802">
        <f t="shared" si="225"/>
        <v>162.90495267377779</v>
      </c>
      <c r="J1802">
        <f t="shared" si="220"/>
        <v>496.44153538942271</v>
      </c>
      <c r="K1802" s="30">
        <f t="shared" si="221"/>
        <v>8215.1515357191911</v>
      </c>
    </row>
    <row r="1803" spans="1:11" x14ac:dyDescent="0.25">
      <c r="A1803" s="29">
        <v>1753</v>
      </c>
      <c r="B1803" s="99">
        <f t="shared" si="222"/>
        <v>0</v>
      </c>
      <c r="C1803" s="75">
        <f t="shared" si="218"/>
        <v>104.50616427295054</v>
      </c>
      <c r="D1803" s="100">
        <f t="shared" si="223"/>
        <v>445.77777777777789</v>
      </c>
      <c r="E1803">
        <f t="shared" si="219"/>
        <v>0</v>
      </c>
      <c r="G1803">
        <v>1753</v>
      </c>
      <c r="H1803" s="15">
        <f t="shared" si="224"/>
        <v>3.3332641781299799E-2</v>
      </c>
      <c r="I1803">
        <f t="shared" si="225"/>
        <v>162.93828531555909</v>
      </c>
      <c r="J1803">
        <f t="shared" si="220"/>
        <v>496.45253600358893</v>
      </c>
      <c r="K1803" s="30">
        <f t="shared" si="221"/>
        <v>8215.5153996601603</v>
      </c>
    </row>
    <row r="1804" spans="1:11" x14ac:dyDescent="0.25">
      <c r="A1804" s="29">
        <v>1754</v>
      </c>
      <c r="B1804" s="99">
        <f t="shared" si="222"/>
        <v>0</v>
      </c>
      <c r="C1804" s="75">
        <f t="shared" si="218"/>
        <v>104.50616427295054</v>
      </c>
      <c r="D1804" s="100">
        <f t="shared" si="223"/>
        <v>445.77777777777789</v>
      </c>
      <c r="E1804">
        <f t="shared" si="219"/>
        <v>0</v>
      </c>
      <c r="G1804">
        <v>1754</v>
      </c>
      <c r="H1804" s="15">
        <f t="shared" si="224"/>
        <v>3.3332641781299799E-2</v>
      </c>
      <c r="I1804">
        <f t="shared" si="225"/>
        <v>162.97161795734038</v>
      </c>
      <c r="J1804">
        <f t="shared" si="220"/>
        <v>496.46352368438471</v>
      </c>
      <c r="K1804" s="30">
        <f t="shared" si="221"/>
        <v>8215.8788436741306</v>
      </c>
    </row>
    <row r="1805" spans="1:11" x14ac:dyDescent="0.25">
      <c r="A1805" s="29">
        <v>1755</v>
      </c>
      <c r="B1805" s="99">
        <f t="shared" si="222"/>
        <v>0</v>
      </c>
      <c r="C1805" s="75">
        <f t="shared" si="218"/>
        <v>104.50616427295054</v>
      </c>
      <c r="D1805" s="100">
        <f t="shared" si="223"/>
        <v>445.77777777777789</v>
      </c>
      <c r="E1805">
        <f t="shared" si="219"/>
        <v>0</v>
      </c>
      <c r="G1805">
        <v>1755</v>
      </c>
      <c r="H1805" s="15">
        <f t="shared" si="224"/>
        <v>3.3332641781299799E-2</v>
      </c>
      <c r="I1805">
        <f t="shared" si="225"/>
        <v>163.00495059912168</v>
      </c>
      <c r="J1805">
        <f t="shared" si="220"/>
        <v>496.47449843628476</v>
      </c>
      <c r="K1805" s="30">
        <f t="shared" si="221"/>
        <v>8216.241867880688</v>
      </c>
    </row>
    <row r="1806" spans="1:11" x14ac:dyDescent="0.25">
      <c r="A1806" s="29">
        <v>1756</v>
      </c>
      <c r="B1806" s="99">
        <f t="shared" si="222"/>
        <v>0</v>
      </c>
      <c r="C1806" s="75">
        <f t="shared" si="218"/>
        <v>104.50616427295054</v>
      </c>
      <c r="D1806" s="100">
        <f t="shared" si="223"/>
        <v>445.77777777777789</v>
      </c>
      <c r="E1806">
        <f t="shared" si="219"/>
        <v>0</v>
      </c>
      <c r="G1806">
        <v>1756</v>
      </c>
      <c r="H1806" s="15">
        <f t="shared" si="224"/>
        <v>3.3332641781299799E-2</v>
      </c>
      <c r="I1806">
        <f t="shared" si="225"/>
        <v>163.03828324090298</v>
      </c>
      <c r="J1806">
        <f t="shared" si="220"/>
        <v>496.48546026375652</v>
      </c>
      <c r="K1806" s="30">
        <f t="shared" si="221"/>
        <v>8216.6044723992181</v>
      </c>
    </row>
    <row r="1807" spans="1:11" x14ac:dyDescent="0.25">
      <c r="A1807" s="29">
        <v>1757</v>
      </c>
      <c r="B1807" s="99">
        <f t="shared" si="222"/>
        <v>0</v>
      </c>
      <c r="C1807" s="75">
        <f t="shared" si="218"/>
        <v>104.50616427295054</v>
      </c>
      <c r="D1807" s="100">
        <f t="shared" si="223"/>
        <v>445.77777777777789</v>
      </c>
      <c r="E1807">
        <f t="shared" si="219"/>
        <v>0</v>
      </c>
      <c r="G1807">
        <v>1757</v>
      </c>
      <c r="H1807" s="15">
        <f t="shared" si="224"/>
        <v>3.3332641781299799E-2</v>
      </c>
      <c r="I1807">
        <f t="shared" si="225"/>
        <v>163.07161588268428</v>
      </c>
      <c r="J1807">
        <f t="shared" si="220"/>
        <v>496.49640917125993</v>
      </c>
      <c r="K1807" s="30">
        <f t="shared" si="221"/>
        <v>8216.9666573489103</v>
      </c>
    </row>
    <row r="1808" spans="1:11" x14ac:dyDescent="0.25">
      <c r="A1808" s="29">
        <v>1758</v>
      </c>
      <c r="B1808" s="99">
        <f t="shared" si="222"/>
        <v>0</v>
      </c>
      <c r="C1808" s="75">
        <f t="shared" ref="C1808:C1871" si="226">($C$37-$C$36)/2000+C1807</f>
        <v>104.50616427295054</v>
      </c>
      <c r="D1808" s="100">
        <f t="shared" si="223"/>
        <v>445.77777777777789</v>
      </c>
      <c r="E1808">
        <f t="shared" si="219"/>
        <v>0</v>
      </c>
      <c r="G1808">
        <v>1758</v>
      </c>
      <c r="H1808" s="15">
        <f t="shared" si="224"/>
        <v>3.3332641781299799E-2</v>
      </c>
      <c r="I1808">
        <f t="shared" si="225"/>
        <v>163.10494852446558</v>
      </c>
      <c r="J1808">
        <f t="shared" si="220"/>
        <v>496.50734516324775</v>
      </c>
      <c r="K1808" s="30">
        <f t="shared" si="221"/>
        <v>8217.3284228487664</v>
      </c>
    </row>
    <row r="1809" spans="1:11" x14ac:dyDescent="0.25">
      <c r="A1809" s="29">
        <v>1759</v>
      </c>
      <c r="B1809" s="99">
        <f t="shared" si="222"/>
        <v>0</v>
      </c>
      <c r="C1809" s="75">
        <f t="shared" si="226"/>
        <v>104.50616427295054</v>
      </c>
      <c r="D1809" s="100">
        <f t="shared" si="223"/>
        <v>445.77777777777789</v>
      </c>
      <c r="E1809">
        <f t="shared" si="219"/>
        <v>0</v>
      </c>
      <c r="G1809">
        <v>1759</v>
      </c>
      <c r="H1809" s="15">
        <f t="shared" si="224"/>
        <v>3.3332641781299799E-2</v>
      </c>
      <c r="I1809">
        <f t="shared" si="225"/>
        <v>163.13828116624688</v>
      </c>
      <c r="J1809">
        <f t="shared" si="220"/>
        <v>496.51826824416548</v>
      </c>
      <c r="K1809" s="30">
        <f t="shared" si="221"/>
        <v>8217.6897690175811</v>
      </c>
    </row>
    <row r="1810" spans="1:11" x14ac:dyDescent="0.25">
      <c r="A1810" s="29">
        <v>1760</v>
      </c>
      <c r="B1810" s="99">
        <f t="shared" si="222"/>
        <v>0</v>
      </c>
      <c r="C1810" s="75">
        <f t="shared" si="226"/>
        <v>104.50616427295054</v>
      </c>
      <c r="D1810" s="100">
        <f t="shared" si="223"/>
        <v>445.77777777777789</v>
      </c>
      <c r="E1810">
        <f t="shared" si="219"/>
        <v>0</v>
      </c>
      <c r="G1810">
        <v>1760</v>
      </c>
      <c r="H1810" s="15">
        <f t="shared" si="224"/>
        <v>3.3332641781299799E-2</v>
      </c>
      <c r="I1810">
        <f t="shared" si="225"/>
        <v>163.17161380802818</v>
      </c>
      <c r="J1810">
        <f t="shared" si="220"/>
        <v>496.52917841845124</v>
      </c>
      <c r="K1810" s="30">
        <f t="shared" si="221"/>
        <v>8218.0506959739632</v>
      </c>
    </row>
    <row r="1811" spans="1:11" x14ac:dyDescent="0.25">
      <c r="A1811" s="29">
        <v>1761</v>
      </c>
      <c r="B1811" s="99">
        <f t="shared" si="222"/>
        <v>0</v>
      </c>
      <c r="C1811" s="75">
        <f t="shared" si="226"/>
        <v>104.50616427295054</v>
      </c>
      <c r="D1811" s="100">
        <f t="shared" si="223"/>
        <v>445.77777777777789</v>
      </c>
      <c r="E1811">
        <f t="shared" si="219"/>
        <v>0</v>
      </c>
      <c r="G1811">
        <v>1761</v>
      </c>
      <c r="H1811" s="15">
        <f t="shared" si="224"/>
        <v>3.3332641781299799E-2</v>
      </c>
      <c r="I1811">
        <f t="shared" si="225"/>
        <v>163.20494644980948</v>
      </c>
      <c r="J1811">
        <f t="shared" si="220"/>
        <v>496.5400756905359</v>
      </c>
      <c r="K1811" s="30">
        <f t="shared" si="221"/>
        <v>8218.4112038363255</v>
      </c>
    </row>
    <row r="1812" spans="1:11" x14ac:dyDescent="0.25">
      <c r="A1812" s="29">
        <v>1762</v>
      </c>
      <c r="B1812" s="99">
        <f t="shared" si="222"/>
        <v>0</v>
      </c>
      <c r="C1812" s="75">
        <f t="shared" si="226"/>
        <v>104.50616427295054</v>
      </c>
      <c r="D1812" s="100">
        <f t="shared" si="223"/>
        <v>445.77777777777789</v>
      </c>
      <c r="E1812">
        <f t="shared" si="219"/>
        <v>0</v>
      </c>
      <c r="G1812">
        <v>1762</v>
      </c>
      <c r="H1812" s="15">
        <f t="shared" si="224"/>
        <v>3.3332641781299799E-2</v>
      </c>
      <c r="I1812">
        <f t="shared" si="225"/>
        <v>163.23827909159078</v>
      </c>
      <c r="J1812">
        <f t="shared" si="220"/>
        <v>496.55096006484314</v>
      </c>
      <c r="K1812" s="30">
        <f t="shared" si="221"/>
        <v>8218.771292722884</v>
      </c>
    </row>
    <row r="1813" spans="1:11" x14ac:dyDescent="0.25">
      <c r="A1813" s="29">
        <v>1763</v>
      </c>
      <c r="B1813" s="99">
        <f t="shared" si="222"/>
        <v>0</v>
      </c>
      <c r="C1813" s="75">
        <f t="shared" si="226"/>
        <v>104.50616427295054</v>
      </c>
      <c r="D1813" s="100">
        <f t="shared" si="223"/>
        <v>445.77777777777789</v>
      </c>
      <c r="E1813">
        <f t="shared" si="219"/>
        <v>0</v>
      </c>
      <c r="G1813">
        <v>1763</v>
      </c>
      <c r="H1813" s="15">
        <f t="shared" si="224"/>
        <v>3.3332641781299799E-2</v>
      </c>
      <c r="I1813">
        <f t="shared" si="225"/>
        <v>163.27161173337208</v>
      </c>
      <c r="J1813">
        <f t="shared" si="220"/>
        <v>496.56183154578923</v>
      </c>
      <c r="K1813" s="30">
        <f t="shared" si="221"/>
        <v>8219.1309627516621</v>
      </c>
    </row>
    <row r="1814" spans="1:11" x14ac:dyDescent="0.25">
      <c r="A1814" s="29">
        <v>1764</v>
      </c>
      <c r="B1814" s="99">
        <f t="shared" si="222"/>
        <v>0</v>
      </c>
      <c r="C1814" s="75">
        <f t="shared" si="226"/>
        <v>104.50616427295054</v>
      </c>
      <c r="D1814" s="100">
        <f t="shared" si="223"/>
        <v>445.77777777777789</v>
      </c>
      <c r="E1814">
        <f t="shared" si="219"/>
        <v>0</v>
      </c>
      <c r="G1814">
        <v>1764</v>
      </c>
      <c r="H1814" s="15">
        <f t="shared" si="224"/>
        <v>3.3332641781299799E-2</v>
      </c>
      <c r="I1814">
        <f t="shared" si="225"/>
        <v>163.30494437515338</v>
      </c>
      <c r="J1814">
        <f t="shared" si="220"/>
        <v>496.57269013778341</v>
      </c>
      <c r="K1814" s="30">
        <f t="shared" si="221"/>
        <v>8219.4902140404902</v>
      </c>
    </row>
    <row r="1815" spans="1:11" x14ac:dyDescent="0.25">
      <c r="A1815" s="29">
        <v>1765</v>
      </c>
      <c r="B1815" s="99">
        <f t="shared" si="222"/>
        <v>0</v>
      </c>
      <c r="C1815" s="75">
        <f t="shared" si="226"/>
        <v>104.50616427295054</v>
      </c>
      <c r="D1815" s="100">
        <f t="shared" si="223"/>
        <v>445.77777777777789</v>
      </c>
      <c r="E1815">
        <f t="shared" si="219"/>
        <v>0</v>
      </c>
      <c r="G1815">
        <v>1765</v>
      </c>
      <c r="H1815" s="15">
        <f t="shared" si="224"/>
        <v>3.3332641781299799E-2</v>
      </c>
      <c r="I1815">
        <f t="shared" si="225"/>
        <v>163.33827701693468</v>
      </c>
      <c r="J1815">
        <f t="shared" si="220"/>
        <v>496.5835358452274</v>
      </c>
      <c r="K1815" s="30">
        <f t="shared" si="221"/>
        <v>8219.8490467070042</v>
      </c>
    </row>
    <row r="1816" spans="1:11" x14ac:dyDescent="0.25">
      <c r="A1816" s="29">
        <v>1766</v>
      </c>
      <c r="B1816" s="99">
        <f t="shared" si="222"/>
        <v>0</v>
      </c>
      <c r="C1816" s="75">
        <f t="shared" si="226"/>
        <v>104.50616427295054</v>
      </c>
      <c r="D1816" s="100">
        <f t="shared" si="223"/>
        <v>445.77777777777789</v>
      </c>
      <c r="E1816">
        <f t="shared" si="219"/>
        <v>0</v>
      </c>
      <c r="G1816">
        <v>1766</v>
      </c>
      <c r="H1816" s="15">
        <f t="shared" si="224"/>
        <v>3.3332641781299799E-2</v>
      </c>
      <c r="I1816">
        <f t="shared" si="225"/>
        <v>163.37160965871598</v>
      </c>
      <c r="J1816">
        <f t="shared" si="220"/>
        <v>496.59436867251605</v>
      </c>
      <c r="K1816" s="30">
        <f t="shared" si="221"/>
        <v>8220.2074608686526</v>
      </c>
    </row>
    <row r="1817" spans="1:11" x14ac:dyDescent="0.25">
      <c r="A1817" s="29">
        <v>1767</v>
      </c>
      <c r="B1817" s="99">
        <f t="shared" si="222"/>
        <v>0</v>
      </c>
      <c r="C1817" s="75">
        <f t="shared" si="226"/>
        <v>104.50616427295054</v>
      </c>
      <c r="D1817" s="100">
        <f t="shared" si="223"/>
        <v>445.77777777777789</v>
      </c>
      <c r="E1817">
        <f t="shared" si="219"/>
        <v>0</v>
      </c>
      <c r="G1817">
        <v>1767</v>
      </c>
      <c r="H1817" s="15">
        <f t="shared" si="224"/>
        <v>3.3332641781299799E-2</v>
      </c>
      <c r="I1817">
        <f t="shared" si="225"/>
        <v>163.40494230049728</v>
      </c>
      <c r="J1817">
        <f t="shared" si="220"/>
        <v>496.60518862403671</v>
      </c>
      <c r="K1817" s="30">
        <f t="shared" si="221"/>
        <v>8220.5654566426801</v>
      </c>
    </row>
    <row r="1818" spans="1:11" x14ac:dyDescent="0.25">
      <c r="A1818" s="29">
        <v>1768</v>
      </c>
      <c r="B1818" s="99">
        <f t="shared" si="222"/>
        <v>0</v>
      </c>
      <c r="C1818" s="75">
        <f t="shared" si="226"/>
        <v>104.50616427295054</v>
      </c>
      <c r="D1818" s="100">
        <f t="shared" si="223"/>
        <v>445.77777777777789</v>
      </c>
      <c r="E1818">
        <f t="shared" si="219"/>
        <v>0</v>
      </c>
      <c r="G1818">
        <v>1768</v>
      </c>
      <c r="H1818" s="15">
        <f t="shared" si="224"/>
        <v>3.3332641781299799E-2</v>
      </c>
      <c r="I1818">
        <f t="shared" si="225"/>
        <v>163.43827494227858</v>
      </c>
      <c r="J1818">
        <f t="shared" si="220"/>
        <v>496.61599570416962</v>
      </c>
      <c r="K1818" s="30">
        <f t="shared" si="221"/>
        <v>8220.9230341461498</v>
      </c>
    </row>
    <row r="1819" spans="1:11" x14ac:dyDescent="0.25">
      <c r="A1819" s="29">
        <v>1769</v>
      </c>
      <c r="B1819" s="99">
        <f t="shared" si="222"/>
        <v>0</v>
      </c>
      <c r="C1819" s="75">
        <f t="shared" si="226"/>
        <v>104.50616427295054</v>
      </c>
      <c r="D1819" s="100">
        <f t="shared" si="223"/>
        <v>445.77777777777789</v>
      </c>
      <c r="E1819">
        <f t="shared" si="219"/>
        <v>0</v>
      </c>
      <c r="G1819">
        <v>1769</v>
      </c>
      <c r="H1819" s="15">
        <f t="shared" si="224"/>
        <v>3.3332641781299799E-2</v>
      </c>
      <c r="I1819">
        <f t="shared" si="225"/>
        <v>163.47160758405988</v>
      </c>
      <c r="J1819">
        <f t="shared" si="220"/>
        <v>496.62678991728785</v>
      </c>
      <c r="K1819" s="30">
        <f t="shared" si="221"/>
        <v>8221.2801934959225</v>
      </c>
    </row>
    <row r="1820" spans="1:11" x14ac:dyDescent="0.25">
      <c r="A1820" s="29">
        <v>1770</v>
      </c>
      <c r="B1820" s="99">
        <f t="shared" si="222"/>
        <v>0</v>
      </c>
      <c r="C1820" s="75">
        <f t="shared" si="226"/>
        <v>104.50616427295054</v>
      </c>
      <c r="D1820" s="100">
        <f t="shared" si="223"/>
        <v>445.77777777777789</v>
      </c>
      <c r="E1820">
        <f t="shared" si="219"/>
        <v>0</v>
      </c>
      <c r="G1820">
        <v>1770</v>
      </c>
      <c r="H1820" s="15">
        <f t="shared" si="224"/>
        <v>3.3332641781299799E-2</v>
      </c>
      <c r="I1820">
        <f t="shared" si="225"/>
        <v>163.50494022584118</v>
      </c>
      <c r="J1820">
        <f t="shared" si="220"/>
        <v>496.63757126775732</v>
      </c>
      <c r="K1820" s="30">
        <f t="shared" si="221"/>
        <v>8221.6369348086791</v>
      </c>
    </row>
    <row r="1821" spans="1:11" x14ac:dyDescent="0.25">
      <c r="A1821" s="29">
        <v>1771</v>
      </c>
      <c r="B1821" s="99">
        <f t="shared" si="222"/>
        <v>0</v>
      </c>
      <c r="C1821" s="75">
        <f t="shared" si="226"/>
        <v>104.50616427295054</v>
      </c>
      <c r="D1821" s="100">
        <f t="shared" si="223"/>
        <v>445.77777777777789</v>
      </c>
      <c r="E1821">
        <f t="shared" si="219"/>
        <v>0</v>
      </c>
      <c r="G1821">
        <v>1771</v>
      </c>
      <c r="H1821" s="15">
        <f t="shared" si="224"/>
        <v>3.3332641781299799E-2</v>
      </c>
      <c r="I1821">
        <f t="shared" si="225"/>
        <v>163.53827286762248</v>
      </c>
      <c r="J1821">
        <f t="shared" si="220"/>
        <v>496.64833975993668</v>
      </c>
      <c r="K1821" s="30">
        <f t="shared" si="221"/>
        <v>8221.9932582008969</v>
      </c>
    </row>
    <row r="1822" spans="1:11" x14ac:dyDescent="0.25">
      <c r="A1822" s="29">
        <v>1772</v>
      </c>
      <c r="B1822" s="99">
        <f t="shared" si="222"/>
        <v>0</v>
      </c>
      <c r="C1822" s="75">
        <f t="shared" si="226"/>
        <v>104.50616427295054</v>
      </c>
      <c r="D1822" s="100">
        <f t="shared" si="223"/>
        <v>445.77777777777789</v>
      </c>
      <c r="E1822">
        <f t="shared" si="219"/>
        <v>0</v>
      </c>
      <c r="G1822">
        <v>1772</v>
      </c>
      <c r="H1822" s="15">
        <f t="shared" si="224"/>
        <v>3.3332641781299799E-2</v>
      </c>
      <c r="I1822">
        <f t="shared" si="225"/>
        <v>163.57160550940378</v>
      </c>
      <c r="J1822">
        <f t="shared" si="220"/>
        <v>496.65909539817739</v>
      </c>
      <c r="K1822" s="30">
        <f t="shared" si="221"/>
        <v>8222.3491637888674</v>
      </c>
    </row>
    <row r="1823" spans="1:11" x14ac:dyDescent="0.25">
      <c r="A1823" s="29">
        <v>1773</v>
      </c>
      <c r="B1823" s="99">
        <f t="shared" si="222"/>
        <v>0</v>
      </c>
      <c r="C1823" s="75">
        <f t="shared" si="226"/>
        <v>104.50616427295054</v>
      </c>
      <c r="D1823" s="100">
        <f t="shared" si="223"/>
        <v>445.77777777777789</v>
      </c>
      <c r="E1823">
        <f t="shared" si="219"/>
        <v>0</v>
      </c>
      <c r="G1823">
        <v>1773</v>
      </c>
      <c r="H1823" s="15">
        <f t="shared" si="224"/>
        <v>3.3332641781299799E-2</v>
      </c>
      <c r="I1823">
        <f t="shared" si="225"/>
        <v>163.60493815118508</v>
      </c>
      <c r="J1823">
        <f t="shared" si="220"/>
        <v>496.66983818682394</v>
      </c>
      <c r="K1823" s="30">
        <f t="shared" si="221"/>
        <v>8222.704651688693</v>
      </c>
    </row>
    <row r="1824" spans="1:11" x14ac:dyDescent="0.25">
      <c r="A1824" s="29">
        <v>1774</v>
      </c>
      <c r="B1824" s="99">
        <f t="shared" si="222"/>
        <v>0</v>
      </c>
      <c r="C1824" s="75">
        <f t="shared" si="226"/>
        <v>104.50616427295054</v>
      </c>
      <c r="D1824" s="100">
        <f t="shared" si="223"/>
        <v>445.77777777777789</v>
      </c>
      <c r="E1824">
        <f t="shared" si="219"/>
        <v>0</v>
      </c>
      <c r="G1824">
        <v>1774</v>
      </c>
      <c r="H1824" s="15">
        <f t="shared" si="224"/>
        <v>3.3332641781299799E-2</v>
      </c>
      <c r="I1824">
        <f t="shared" si="225"/>
        <v>163.63827079296638</v>
      </c>
      <c r="J1824">
        <f t="shared" si="220"/>
        <v>496.68056813021349</v>
      </c>
      <c r="K1824" s="30">
        <f t="shared" si="221"/>
        <v>8223.0597220162781</v>
      </c>
    </row>
    <row r="1825" spans="1:11" x14ac:dyDescent="0.25">
      <c r="A1825" s="29">
        <v>1775</v>
      </c>
      <c r="B1825" s="99">
        <f t="shared" si="222"/>
        <v>0</v>
      </c>
      <c r="C1825" s="75">
        <f t="shared" si="226"/>
        <v>104.50616427295054</v>
      </c>
      <c r="D1825" s="100">
        <f t="shared" si="223"/>
        <v>445.77777777777789</v>
      </c>
      <c r="E1825">
        <f t="shared" si="219"/>
        <v>0</v>
      </c>
      <c r="G1825">
        <v>1775</v>
      </c>
      <c r="H1825" s="15">
        <f t="shared" si="224"/>
        <v>3.3332641781299799E-2</v>
      </c>
      <c r="I1825">
        <f t="shared" si="225"/>
        <v>163.67160343474768</v>
      </c>
      <c r="J1825">
        <f t="shared" si="220"/>
        <v>496.69128523267619</v>
      </c>
      <c r="K1825" s="30">
        <f t="shared" si="221"/>
        <v>8223.4143748873448</v>
      </c>
    </row>
    <row r="1826" spans="1:11" x14ac:dyDescent="0.25">
      <c r="A1826" s="29">
        <v>1776</v>
      </c>
      <c r="B1826" s="99">
        <f t="shared" si="222"/>
        <v>0</v>
      </c>
      <c r="C1826" s="75">
        <f t="shared" si="226"/>
        <v>104.50616427295054</v>
      </c>
      <c r="D1826" s="100">
        <f t="shared" si="223"/>
        <v>445.77777777777789</v>
      </c>
      <c r="E1826">
        <f t="shared" si="219"/>
        <v>0</v>
      </c>
      <c r="G1826">
        <v>1776</v>
      </c>
      <c r="H1826" s="15">
        <f t="shared" si="224"/>
        <v>3.3332641781299799E-2</v>
      </c>
      <c r="I1826">
        <f t="shared" si="225"/>
        <v>163.70493607652898</v>
      </c>
      <c r="J1826">
        <f t="shared" si="220"/>
        <v>496.701989498535</v>
      </c>
      <c r="K1826" s="30">
        <f t="shared" si="221"/>
        <v>8223.768610417419</v>
      </c>
    </row>
    <row r="1827" spans="1:11" x14ac:dyDescent="0.25">
      <c r="A1827" s="29">
        <v>1777</v>
      </c>
      <c r="B1827" s="99">
        <f t="shared" si="222"/>
        <v>0</v>
      </c>
      <c r="C1827" s="75">
        <f t="shared" si="226"/>
        <v>104.50616427295054</v>
      </c>
      <c r="D1827" s="100">
        <f t="shared" si="223"/>
        <v>445.77777777777789</v>
      </c>
      <c r="E1827">
        <f t="shared" si="219"/>
        <v>0</v>
      </c>
      <c r="G1827">
        <v>1777</v>
      </c>
      <c r="H1827" s="15">
        <f t="shared" si="224"/>
        <v>3.3332641781299799E-2</v>
      </c>
      <c r="I1827">
        <f t="shared" si="225"/>
        <v>163.73826871831028</v>
      </c>
      <c r="J1827">
        <f t="shared" si="220"/>
        <v>496.71268093210574</v>
      </c>
      <c r="K1827" s="30">
        <f t="shared" si="221"/>
        <v>8224.1224287218356</v>
      </c>
    </row>
    <row r="1828" spans="1:11" x14ac:dyDescent="0.25">
      <c r="A1828" s="29">
        <v>1778</v>
      </c>
      <c r="B1828" s="99">
        <f t="shared" si="222"/>
        <v>0</v>
      </c>
      <c r="C1828" s="75">
        <f t="shared" si="226"/>
        <v>104.50616427295054</v>
      </c>
      <c r="D1828" s="100">
        <f t="shared" si="223"/>
        <v>445.77777777777789</v>
      </c>
      <c r="E1828">
        <f t="shared" si="219"/>
        <v>0</v>
      </c>
      <c r="G1828">
        <v>1778</v>
      </c>
      <c r="H1828" s="15">
        <f t="shared" si="224"/>
        <v>3.3332641781299799E-2</v>
      </c>
      <c r="I1828">
        <f t="shared" si="225"/>
        <v>163.77160136009158</v>
      </c>
      <c r="J1828">
        <f t="shared" si="220"/>
        <v>496.72335953769721</v>
      </c>
      <c r="K1828" s="30">
        <f t="shared" si="221"/>
        <v>8224.4758299157475</v>
      </c>
    </row>
    <row r="1829" spans="1:11" x14ac:dyDescent="0.25">
      <c r="A1829" s="29">
        <v>1779</v>
      </c>
      <c r="B1829" s="99">
        <f t="shared" si="222"/>
        <v>0</v>
      </c>
      <c r="C1829" s="75">
        <f t="shared" si="226"/>
        <v>104.50616427295054</v>
      </c>
      <c r="D1829" s="100">
        <f t="shared" si="223"/>
        <v>445.77777777777789</v>
      </c>
      <c r="E1829">
        <f t="shared" si="219"/>
        <v>0</v>
      </c>
      <c r="G1829">
        <v>1779</v>
      </c>
      <c r="H1829" s="15">
        <f t="shared" si="224"/>
        <v>3.3332641781299799E-2</v>
      </c>
      <c r="I1829">
        <f t="shared" si="225"/>
        <v>163.80493400187288</v>
      </c>
      <c r="J1829">
        <f t="shared" si="220"/>
        <v>496.73402531961102</v>
      </c>
      <c r="K1829" s="30">
        <f t="shared" si="221"/>
        <v>8224.8288141141074</v>
      </c>
    </row>
    <row r="1830" spans="1:11" x14ac:dyDescent="0.25">
      <c r="A1830" s="29">
        <v>1780</v>
      </c>
      <c r="B1830" s="99">
        <f t="shared" si="222"/>
        <v>0</v>
      </c>
      <c r="C1830" s="75">
        <f t="shared" si="226"/>
        <v>104.50616427295054</v>
      </c>
      <c r="D1830" s="100">
        <f t="shared" si="223"/>
        <v>445.77777777777789</v>
      </c>
      <c r="E1830">
        <f t="shared" si="219"/>
        <v>0</v>
      </c>
      <c r="G1830">
        <v>1780</v>
      </c>
      <c r="H1830" s="15">
        <f t="shared" si="224"/>
        <v>3.3332641781299799E-2</v>
      </c>
      <c r="I1830">
        <f t="shared" si="225"/>
        <v>163.83826664365418</v>
      </c>
      <c r="J1830">
        <f t="shared" si="220"/>
        <v>496.74467828214182</v>
      </c>
      <c r="K1830" s="30">
        <f t="shared" si="221"/>
        <v>8225.1813814316865</v>
      </c>
    </row>
    <row r="1831" spans="1:11" x14ac:dyDescent="0.25">
      <c r="A1831" s="29">
        <v>1781</v>
      </c>
      <c r="B1831" s="99">
        <f t="shared" si="222"/>
        <v>0</v>
      </c>
      <c r="C1831" s="75">
        <f t="shared" si="226"/>
        <v>104.50616427295054</v>
      </c>
      <c r="D1831" s="100">
        <f t="shared" si="223"/>
        <v>445.77777777777789</v>
      </c>
      <c r="E1831">
        <f t="shared" si="219"/>
        <v>0</v>
      </c>
      <c r="G1831">
        <v>1781</v>
      </c>
      <c r="H1831" s="15">
        <f t="shared" si="224"/>
        <v>3.3332641781299799E-2</v>
      </c>
      <c r="I1831">
        <f t="shared" si="225"/>
        <v>163.87159928543548</v>
      </c>
      <c r="J1831">
        <f t="shared" si="220"/>
        <v>496.75531842957702</v>
      </c>
      <c r="K1831" s="30">
        <f t="shared" si="221"/>
        <v>8225.5335319830647</v>
      </c>
    </row>
    <row r="1832" spans="1:11" x14ac:dyDescent="0.25">
      <c r="A1832" s="29">
        <v>1782</v>
      </c>
      <c r="B1832" s="99">
        <f t="shared" si="222"/>
        <v>0</v>
      </c>
      <c r="C1832" s="75">
        <f t="shared" si="226"/>
        <v>104.50616427295054</v>
      </c>
      <c r="D1832" s="100">
        <f t="shared" si="223"/>
        <v>445.77777777777789</v>
      </c>
      <c r="E1832">
        <f t="shared" si="219"/>
        <v>0</v>
      </c>
      <c r="G1832">
        <v>1782</v>
      </c>
      <c r="H1832" s="15">
        <f t="shared" si="224"/>
        <v>3.3332641781299799E-2</v>
      </c>
      <c r="I1832">
        <f t="shared" si="225"/>
        <v>163.90493192721678</v>
      </c>
      <c r="J1832">
        <f t="shared" si="220"/>
        <v>496.76594576619709</v>
      </c>
      <c r="K1832" s="30">
        <f t="shared" si="221"/>
        <v>8225.8852658826327</v>
      </c>
    </row>
    <row r="1833" spans="1:11" x14ac:dyDescent="0.25">
      <c r="A1833" s="29">
        <v>1783</v>
      </c>
      <c r="B1833" s="99">
        <f t="shared" si="222"/>
        <v>0</v>
      </c>
      <c r="C1833" s="75">
        <f t="shared" si="226"/>
        <v>104.50616427295054</v>
      </c>
      <c r="D1833" s="100">
        <f t="shared" si="223"/>
        <v>445.77777777777789</v>
      </c>
      <c r="E1833">
        <f t="shared" si="219"/>
        <v>0</v>
      </c>
      <c r="G1833">
        <v>1783</v>
      </c>
      <c r="H1833" s="15">
        <f t="shared" si="224"/>
        <v>3.3332641781299799E-2</v>
      </c>
      <c r="I1833">
        <f t="shared" si="225"/>
        <v>163.93826456899808</v>
      </c>
      <c r="J1833">
        <f t="shared" si="220"/>
        <v>496.77656029627548</v>
      </c>
      <c r="K1833" s="30">
        <f t="shared" si="221"/>
        <v>8226.2365832445903</v>
      </c>
    </row>
    <row r="1834" spans="1:11" x14ac:dyDescent="0.25">
      <c r="A1834" s="29">
        <v>1784</v>
      </c>
      <c r="B1834" s="99">
        <f t="shared" si="222"/>
        <v>0</v>
      </c>
      <c r="C1834" s="75">
        <f t="shared" si="226"/>
        <v>104.50616427295054</v>
      </c>
      <c r="D1834" s="100">
        <f t="shared" si="223"/>
        <v>445.77777777777789</v>
      </c>
      <c r="E1834">
        <f t="shared" si="219"/>
        <v>0</v>
      </c>
      <c r="G1834">
        <v>1784</v>
      </c>
      <c r="H1834" s="15">
        <f t="shared" si="224"/>
        <v>3.3332641781299799E-2</v>
      </c>
      <c r="I1834">
        <f t="shared" si="225"/>
        <v>163.97159721077938</v>
      </c>
      <c r="J1834">
        <f t="shared" si="220"/>
        <v>496.78716202407838</v>
      </c>
      <c r="K1834" s="30">
        <f t="shared" si="221"/>
        <v>8226.5874841829518</v>
      </c>
    </row>
    <row r="1835" spans="1:11" x14ac:dyDescent="0.25">
      <c r="A1835" s="29">
        <v>1785</v>
      </c>
      <c r="B1835" s="99">
        <f t="shared" si="222"/>
        <v>0</v>
      </c>
      <c r="C1835" s="75">
        <f t="shared" si="226"/>
        <v>104.50616427295054</v>
      </c>
      <c r="D1835" s="100">
        <f t="shared" si="223"/>
        <v>445.77777777777789</v>
      </c>
      <c r="E1835">
        <f t="shared" si="219"/>
        <v>0</v>
      </c>
      <c r="G1835">
        <v>1785</v>
      </c>
      <c r="H1835" s="15">
        <f t="shared" si="224"/>
        <v>3.3332641781299799E-2</v>
      </c>
      <c r="I1835">
        <f t="shared" si="225"/>
        <v>164.00492985256068</v>
      </c>
      <c r="J1835">
        <f t="shared" si="220"/>
        <v>496.79775095386515</v>
      </c>
      <c r="K1835" s="30">
        <f t="shared" si="221"/>
        <v>8226.9379688115441</v>
      </c>
    </row>
    <row r="1836" spans="1:11" x14ac:dyDescent="0.25">
      <c r="A1836" s="29">
        <v>1786</v>
      </c>
      <c r="B1836" s="99">
        <f t="shared" si="222"/>
        <v>0</v>
      </c>
      <c r="C1836" s="75">
        <f t="shared" si="226"/>
        <v>104.50616427295054</v>
      </c>
      <c r="D1836" s="100">
        <f t="shared" si="223"/>
        <v>445.77777777777789</v>
      </c>
      <c r="E1836">
        <f t="shared" si="219"/>
        <v>0</v>
      </c>
      <c r="G1836">
        <v>1786</v>
      </c>
      <c r="H1836" s="15">
        <f t="shared" si="224"/>
        <v>3.3332641781299799E-2</v>
      </c>
      <c r="I1836">
        <f t="shared" si="225"/>
        <v>164.03826249434198</v>
      </c>
      <c r="J1836">
        <f t="shared" si="220"/>
        <v>496.80832708988811</v>
      </c>
      <c r="K1836" s="30">
        <f t="shared" si="221"/>
        <v>8227.2880372440031</v>
      </c>
    </row>
    <row r="1837" spans="1:11" x14ac:dyDescent="0.25">
      <c r="A1837" s="29">
        <v>1787</v>
      </c>
      <c r="B1837" s="99">
        <f t="shared" si="222"/>
        <v>0</v>
      </c>
      <c r="C1837" s="75">
        <f t="shared" si="226"/>
        <v>104.50616427295054</v>
      </c>
      <c r="D1837" s="100">
        <f t="shared" si="223"/>
        <v>445.77777777777789</v>
      </c>
      <c r="E1837">
        <f t="shared" si="219"/>
        <v>0</v>
      </c>
      <c r="G1837">
        <v>1787</v>
      </c>
      <c r="H1837" s="15">
        <f t="shared" si="224"/>
        <v>3.3332641781299799E-2</v>
      </c>
      <c r="I1837">
        <f t="shared" si="225"/>
        <v>164.07159513612328</v>
      </c>
      <c r="J1837">
        <f t="shared" si="220"/>
        <v>496.81889043639239</v>
      </c>
      <c r="K1837" s="30">
        <f t="shared" si="221"/>
        <v>8227.637689593781</v>
      </c>
    </row>
    <row r="1838" spans="1:11" x14ac:dyDescent="0.25">
      <c r="A1838" s="29">
        <v>1788</v>
      </c>
      <c r="B1838" s="99">
        <f t="shared" si="222"/>
        <v>0</v>
      </c>
      <c r="C1838" s="75">
        <f t="shared" si="226"/>
        <v>104.50616427295054</v>
      </c>
      <c r="D1838" s="100">
        <f t="shared" si="223"/>
        <v>445.77777777777789</v>
      </c>
      <c r="E1838">
        <f t="shared" si="219"/>
        <v>0</v>
      </c>
      <c r="G1838">
        <v>1788</v>
      </c>
      <c r="H1838" s="15">
        <f t="shared" si="224"/>
        <v>3.3332641781299799E-2</v>
      </c>
      <c r="I1838">
        <f t="shared" si="225"/>
        <v>164.10492777790458</v>
      </c>
      <c r="J1838">
        <f t="shared" si="220"/>
        <v>496.82944099761636</v>
      </c>
      <c r="K1838" s="30">
        <f t="shared" si="221"/>
        <v>8227.9869259741372</v>
      </c>
    </row>
    <row r="1839" spans="1:11" x14ac:dyDescent="0.25">
      <c r="A1839" s="29">
        <v>1789</v>
      </c>
      <c r="B1839" s="99">
        <f t="shared" si="222"/>
        <v>0</v>
      </c>
      <c r="C1839" s="75">
        <f t="shared" si="226"/>
        <v>104.50616427295054</v>
      </c>
      <c r="D1839" s="100">
        <f t="shared" si="223"/>
        <v>445.77777777777789</v>
      </c>
      <c r="E1839">
        <f t="shared" si="219"/>
        <v>0</v>
      </c>
      <c r="G1839">
        <v>1789</v>
      </c>
      <c r="H1839" s="15">
        <f t="shared" si="224"/>
        <v>3.3332641781299799E-2</v>
      </c>
      <c r="I1839">
        <f t="shared" si="225"/>
        <v>164.13826041968588</v>
      </c>
      <c r="J1839">
        <f t="shared" si="220"/>
        <v>496.83997877779115</v>
      </c>
      <c r="K1839" s="30">
        <f t="shared" si="221"/>
        <v>8228.3357464981509</v>
      </c>
    </row>
    <row r="1840" spans="1:11" x14ac:dyDescent="0.25">
      <c r="A1840" s="29">
        <v>1790</v>
      </c>
      <c r="B1840" s="99">
        <f t="shared" si="222"/>
        <v>0</v>
      </c>
      <c r="C1840" s="75">
        <f t="shared" si="226"/>
        <v>104.50616427295054</v>
      </c>
      <c r="D1840" s="100">
        <f t="shared" si="223"/>
        <v>445.77777777777789</v>
      </c>
      <c r="E1840">
        <f t="shared" si="219"/>
        <v>0</v>
      </c>
      <c r="G1840">
        <v>1790</v>
      </c>
      <c r="H1840" s="15">
        <f t="shared" si="224"/>
        <v>3.3332641781299799E-2</v>
      </c>
      <c r="I1840">
        <f t="shared" si="225"/>
        <v>164.17159306146718</v>
      </c>
      <c r="J1840">
        <f t="shared" si="220"/>
        <v>496.85050378114101</v>
      </c>
      <c r="K1840" s="30">
        <f t="shared" si="221"/>
        <v>8228.6841512787087</v>
      </c>
    </row>
    <row r="1841" spans="1:11" x14ac:dyDescent="0.25">
      <c r="A1841" s="29">
        <v>1791</v>
      </c>
      <c r="B1841" s="99">
        <f t="shared" si="222"/>
        <v>0</v>
      </c>
      <c r="C1841" s="75">
        <f t="shared" si="226"/>
        <v>104.50616427295054</v>
      </c>
      <c r="D1841" s="100">
        <f t="shared" si="223"/>
        <v>445.77777777777789</v>
      </c>
      <c r="E1841">
        <f t="shared" si="219"/>
        <v>0</v>
      </c>
      <c r="G1841">
        <v>1791</v>
      </c>
      <c r="H1841" s="15">
        <f t="shared" si="224"/>
        <v>3.3332641781299799E-2</v>
      </c>
      <c r="I1841">
        <f t="shared" si="225"/>
        <v>164.20492570324848</v>
      </c>
      <c r="J1841">
        <f t="shared" si="220"/>
        <v>496.86101601188329</v>
      </c>
      <c r="K1841" s="30">
        <f t="shared" si="221"/>
        <v>8229.032140428515</v>
      </c>
    </row>
    <row r="1842" spans="1:11" x14ac:dyDescent="0.25">
      <c r="A1842" s="29">
        <v>1792</v>
      </c>
      <c r="B1842" s="99">
        <f t="shared" si="222"/>
        <v>0</v>
      </c>
      <c r="C1842" s="75">
        <f t="shared" si="226"/>
        <v>104.50616427295054</v>
      </c>
      <c r="D1842" s="100">
        <f t="shared" si="223"/>
        <v>445.77777777777789</v>
      </c>
      <c r="E1842">
        <f t="shared" si="219"/>
        <v>0</v>
      </c>
      <c r="G1842">
        <v>1792</v>
      </c>
      <c r="H1842" s="15">
        <f t="shared" si="224"/>
        <v>3.3332641781299799E-2</v>
      </c>
      <c r="I1842">
        <f t="shared" si="225"/>
        <v>164.23825834502978</v>
      </c>
      <c r="J1842">
        <f t="shared" si="220"/>
        <v>496.87151547422832</v>
      </c>
      <c r="K1842" s="30">
        <f t="shared" si="221"/>
        <v>8229.3797140600855</v>
      </c>
    </row>
    <row r="1843" spans="1:11" x14ac:dyDescent="0.25">
      <c r="A1843" s="29">
        <v>1793</v>
      </c>
      <c r="B1843" s="99">
        <f t="shared" si="222"/>
        <v>0</v>
      </c>
      <c r="C1843" s="75">
        <f t="shared" si="226"/>
        <v>104.50616427295054</v>
      </c>
      <c r="D1843" s="100">
        <f t="shared" si="223"/>
        <v>445.77777777777789</v>
      </c>
      <c r="E1843">
        <f t="shared" ref="E1843:E1906" si="227">((D1843^2)+(D1843*D1844)+(D1844^2))*B1844/3</f>
        <v>0</v>
      </c>
      <c r="G1843">
        <v>1793</v>
      </c>
      <c r="H1843" s="15">
        <f t="shared" si="224"/>
        <v>3.3332641781299799E-2</v>
      </c>
      <c r="I1843">
        <f t="shared" si="225"/>
        <v>164.27159098681108</v>
      </c>
      <c r="J1843">
        <f t="shared" ref="J1843:J1906" si="228">IF($G$28&lt;$C$14,0,((($C$11^2)-((I1843-$C$13)^2))^0.5)+$C$16)</f>
        <v>496.88200217237926</v>
      </c>
      <c r="K1843" s="30">
        <f t="shared" ref="K1843:K1906" si="229">((J1843^2)+(J1843*J1844)+(J1844^2))*H1844/3</f>
        <v>8229.7268722857498</v>
      </c>
    </row>
    <row r="1844" spans="1:11" x14ac:dyDescent="0.25">
      <c r="A1844" s="29">
        <v>1794</v>
      </c>
      <c r="B1844" s="99">
        <f t="shared" ref="B1844:B1907" si="230">C1844-C1843</f>
        <v>0</v>
      </c>
      <c r="C1844" s="75">
        <f t="shared" si="226"/>
        <v>104.50616427295054</v>
      </c>
      <c r="D1844" s="100">
        <f t="shared" ref="D1844:D1907" si="231">IF($G$28&lt;$C$14,0,((($C$11^2)-((C1844-$C$13)^2))^0.5)+$C$16)</f>
        <v>445.77777777777789</v>
      </c>
      <c r="E1844">
        <f t="shared" si="227"/>
        <v>0</v>
      </c>
      <c r="G1844">
        <v>1794</v>
      </c>
      <c r="H1844" s="15">
        <f t="shared" ref="H1844:H1907" si="232">I1844-I1843</f>
        <v>3.3332641781299799E-2</v>
      </c>
      <c r="I1844">
        <f t="shared" ref="I1844:I1907" si="233">($G$27-$C$14)/2000+I1843</f>
        <v>164.30492362859238</v>
      </c>
      <c r="J1844">
        <f t="shared" si="228"/>
        <v>496.89247611053264</v>
      </c>
      <c r="K1844" s="30">
        <f t="shared" si="229"/>
        <v>8230.0736152176523</v>
      </c>
    </row>
    <row r="1845" spans="1:11" x14ac:dyDescent="0.25">
      <c r="A1845" s="29">
        <v>1795</v>
      </c>
      <c r="B1845" s="99">
        <f t="shared" si="230"/>
        <v>0</v>
      </c>
      <c r="C1845" s="75">
        <f t="shared" si="226"/>
        <v>104.50616427295054</v>
      </c>
      <c r="D1845" s="100">
        <f t="shared" si="231"/>
        <v>445.77777777777789</v>
      </c>
      <c r="E1845">
        <f t="shared" si="227"/>
        <v>0</v>
      </c>
      <c r="G1845">
        <v>1795</v>
      </c>
      <c r="H1845" s="15">
        <f t="shared" si="232"/>
        <v>3.3332641781299799E-2</v>
      </c>
      <c r="I1845">
        <f t="shared" si="233"/>
        <v>164.33825627037368</v>
      </c>
      <c r="J1845">
        <f t="shared" si="228"/>
        <v>496.90293729287788</v>
      </c>
      <c r="K1845" s="30">
        <f t="shared" si="229"/>
        <v>8230.4199429677483</v>
      </c>
    </row>
    <row r="1846" spans="1:11" x14ac:dyDescent="0.25">
      <c r="A1846" s="29">
        <v>1796</v>
      </c>
      <c r="B1846" s="99">
        <f t="shared" si="230"/>
        <v>0</v>
      </c>
      <c r="C1846" s="75">
        <f t="shared" si="226"/>
        <v>104.50616427295054</v>
      </c>
      <c r="D1846" s="100">
        <f t="shared" si="231"/>
        <v>445.77777777777789</v>
      </c>
      <c r="E1846">
        <f t="shared" si="227"/>
        <v>0</v>
      </c>
      <c r="G1846">
        <v>1796</v>
      </c>
      <c r="H1846" s="15">
        <f t="shared" si="232"/>
        <v>3.3332641781299799E-2</v>
      </c>
      <c r="I1846">
        <f t="shared" si="233"/>
        <v>164.37158891215498</v>
      </c>
      <c r="J1846">
        <f t="shared" si="228"/>
        <v>496.91338572359751</v>
      </c>
      <c r="K1846" s="30">
        <f t="shared" si="229"/>
        <v>8230.7658556478164</v>
      </c>
    </row>
    <row r="1847" spans="1:11" x14ac:dyDescent="0.25">
      <c r="A1847" s="29">
        <v>1797</v>
      </c>
      <c r="B1847" s="99">
        <f t="shared" si="230"/>
        <v>0</v>
      </c>
      <c r="C1847" s="75">
        <f t="shared" si="226"/>
        <v>104.50616427295054</v>
      </c>
      <c r="D1847" s="100">
        <f t="shared" si="231"/>
        <v>445.77777777777789</v>
      </c>
      <c r="E1847">
        <f t="shared" si="227"/>
        <v>0</v>
      </c>
      <c r="G1847">
        <v>1797</v>
      </c>
      <c r="H1847" s="15">
        <f t="shared" si="232"/>
        <v>3.3332641781299799E-2</v>
      </c>
      <c r="I1847">
        <f t="shared" si="233"/>
        <v>164.40492155393628</v>
      </c>
      <c r="J1847">
        <f t="shared" si="228"/>
        <v>496.92382140686703</v>
      </c>
      <c r="K1847" s="30">
        <f t="shared" si="229"/>
        <v>8231.1113533694424</v>
      </c>
    </row>
    <row r="1848" spans="1:11" x14ac:dyDescent="0.25">
      <c r="A1848" s="29">
        <v>1798</v>
      </c>
      <c r="B1848" s="99">
        <f t="shared" si="230"/>
        <v>0</v>
      </c>
      <c r="C1848" s="75">
        <f t="shared" si="226"/>
        <v>104.50616427295054</v>
      </c>
      <c r="D1848" s="100">
        <f t="shared" si="231"/>
        <v>445.77777777777789</v>
      </c>
      <c r="E1848">
        <f t="shared" si="227"/>
        <v>0</v>
      </c>
      <c r="G1848">
        <v>1798</v>
      </c>
      <c r="H1848" s="15">
        <f t="shared" si="232"/>
        <v>3.3332641781299799E-2</v>
      </c>
      <c r="I1848">
        <f t="shared" si="233"/>
        <v>164.43825419571758</v>
      </c>
      <c r="J1848">
        <f t="shared" si="228"/>
        <v>496.93424434685528</v>
      </c>
      <c r="K1848" s="30">
        <f t="shared" si="229"/>
        <v>8231.4564362440306</v>
      </c>
    </row>
    <row r="1849" spans="1:11" x14ac:dyDescent="0.25">
      <c r="A1849" s="29">
        <v>1799</v>
      </c>
      <c r="B1849" s="99">
        <f t="shared" si="230"/>
        <v>0</v>
      </c>
      <c r="C1849" s="75">
        <f t="shared" si="226"/>
        <v>104.50616427295054</v>
      </c>
      <c r="D1849" s="100">
        <f t="shared" si="231"/>
        <v>445.77777777777789</v>
      </c>
      <c r="E1849">
        <f t="shared" si="227"/>
        <v>0</v>
      </c>
      <c r="G1849">
        <v>1799</v>
      </c>
      <c r="H1849" s="15">
        <f t="shared" si="232"/>
        <v>3.3332641781299799E-2</v>
      </c>
      <c r="I1849">
        <f t="shared" si="233"/>
        <v>164.47158683749888</v>
      </c>
      <c r="J1849">
        <f t="shared" si="228"/>
        <v>496.94465454772387</v>
      </c>
      <c r="K1849" s="30">
        <f t="shared" si="229"/>
        <v>8231.8011043827992</v>
      </c>
    </row>
    <row r="1850" spans="1:11" x14ac:dyDescent="0.25">
      <c r="A1850" s="29">
        <v>1800</v>
      </c>
      <c r="B1850" s="99">
        <f t="shared" si="230"/>
        <v>0</v>
      </c>
      <c r="C1850" s="75">
        <f t="shared" si="226"/>
        <v>104.50616427295054</v>
      </c>
      <c r="D1850" s="100">
        <f t="shared" si="231"/>
        <v>445.77777777777789</v>
      </c>
      <c r="E1850">
        <f t="shared" si="227"/>
        <v>0</v>
      </c>
      <c r="G1850">
        <v>1800</v>
      </c>
      <c r="H1850" s="15">
        <f t="shared" si="232"/>
        <v>3.3332641781299799E-2</v>
      </c>
      <c r="I1850">
        <f t="shared" si="233"/>
        <v>164.50491947928018</v>
      </c>
      <c r="J1850">
        <f t="shared" si="228"/>
        <v>496.95505201362772</v>
      </c>
      <c r="K1850" s="30">
        <f t="shared" si="229"/>
        <v>8232.145357896783</v>
      </c>
    </row>
    <row r="1851" spans="1:11" x14ac:dyDescent="0.25">
      <c r="A1851" s="29">
        <v>1801</v>
      </c>
      <c r="B1851" s="99">
        <f t="shared" si="230"/>
        <v>0</v>
      </c>
      <c r="C1851" s="75">
        <f t="shared" si="226"/>
        <v>104.50616427295054</v>
      </c>
      <c r="D1851" s="100">
        <f t="shared" si="231"/>
        <v>445.77777777777789</v>
      </c>
      <c r="E1851">
        <f t="shared" si="227"/>
        <v>0</v>
      </c>
      <c r="G1851">
        <v>1801</v>
      </c>
      <c r="H1851" s="15">
        <f t="shared" si="232"/>
        <v>3.3332641781299799E-2</v>
      </c>
      <c r="I1851">
        <f t="shared" si="233"/>
        <v>164.53825212106148</v>
      </c>
      <c r="J1851">
        <f t="shared" si="228"/>
        <v>496.96543674871486</v>
      </c>
      <c r="K1851" s="30">
        <f t="shared" si="229"/>
        <v>8232.489196896835</v>
      </c>
    </row>
    <row r="1852" spans="1:11" x14ac:dyDescent="0.25">
      <c r="A1852" s="29">
        <v>1802</v>
      </c>
      <c r="B1852" s="99">
        <f t="shared" si="230"/>
        <v>0</v>
      </c>
      <c r="C1852" s="75">
        <f t="shared" si="226"/>
        <v>104.50616427295054</v>
      </c>
      <c r="D1852" s="100">
        <f t="shared" si="231"/>
        <v>445.77777777777789</v>
      </c>
      <c r="E1852">
        <f t="shared" si="227"/>
        <v>0</v>
      </c>
      <c r="G1852">
        <v>1802</v>
      </c>
      <c r="H1852" s="15">
        <f t="shared" si="232"/>
        <v>3.3332641781299799E-2</v>
      </c>
      <c r="I1852">
        <f t="shared" si="233"/>
        <v>164.57158476284278</v>
      </c>
      <c r="J1852">
        <f t="shared" si="228"/>
        <v>496.9758087571264</v>
      </c>
      <c r="K1852" s="30">
        <f t="shared" si="229"/>
        <v>8232.8326214936151</v>
      </c>
    </row>
    <row r="1853" spans="1:11" x14ac:dyDescent="0.25">
      <c r="A1853" s="29">
        <v>1803</v>
      </c>
      <c r="B1853" s="99">
        <f t="shared" si="230"/>
        <v>0</v>
      </c>
      <c r="C1853" s="75">
        <f t="shared" si="226"/>
        <v>104.50616427295054</v>
      </c>
      <c r="D1853" s="100">
        <f t="shared" si="231"/>
        <v>445.77777777777789</v>
      </c>
      <c r="E1853">
        <f t="shared" si="227"/>
        <v>0</v>
      </c>
      <c r="G1853">
        <v>1803</v>
      </c>
      <c r="H1853" s="15">
        <f t="shared" si="232"/>
        <v>3.3332641781299799E-2</v>
      </c>
      <c r="I1853">
        <f t="shared" si="233"/>
        <v>164.60491740462408</v>
      </c>
      <c r="J1853">
        <f t="shared" si="228"/>
        <v>496.98616804299655</v>
      </c>
      <c r="K1853" s="30">
        <f t="shared" si="229"/>
        <v>8233.175631797616</v>
      </c>
    </row>
    <row r="1854" spans="1:11" x14ac:dyDescent="0.25">
      <c r="A1854" s="29">
        <v>1804</v>
      </c>
      <c r="B1854" s="99">
        <f t="shared" si="230"/>
        <v>0</v>
      </c>
      <c r="C1854" s="75">
        <f t="shared" si="226"/>
        <v>104.50616427295054</v>
      </c>
      <c r="D1854" s="100">
        <f t="shared" si="231"/>
        <v>445.77777777777789</v>
      </c>
      <c r="E1854">
        <f t="shared" si="227"/>
        <v>0</v>
      </c>
      <c r="G1854">
        <v>1804</v>
      </c>
      <c r="H1854" s="15">
        <f t="shared" si="232"/>
        <v>3.3332641781299799E-2</v>
      </c>
      <c r="I1854">
        <f t="shared" si="233"/>
        <v>164.63825004640537</v>
      </c>
      <c r="J1854">
        <f t="shared" si="228"/>
        <v>496.99651461045278</v>
      </c>
      <c r="K1854" s="30">
        <f t="shared" si="229"/>
        <v>8233.5182279191322</v>
      </c>
    </row>
    <row r="1855" spans="1:11" x14ac:dyDescent="0.25">
      <c r="A1855" s="29">
        <v>1805</v>
      </c>
      <c r="B1855" s="99">
        <f t="shared" si="230"/>
        <v>0</v>
      </c>
      <c r="C1855" s="75">
        <f t="shared" si="226"/>
        <v>104.50616427295054</v>
      </c>
      <c r="D1855" s="100">
        <f t="shared" si="231"/>
        <v>445.77777777777789</v>
      </c>
      <c r="E1855">
        <f t="shared" si="227"/>
        <v>0</v>
      </c>
      <c r="G1855">
        <v>1805</v>
      </c>
      <c r="H1855" s="15">
        <f t="shared" si="232"/>
        <v>3.3332641781299799E-2</v>
      </c>
      <c r="I1855">
        <f t="shared" si="233"/>
        <v>164.67158268818667</v>
      </c>
      <c r="J1855">
        <f t="shared" si="228"/>
        <v>497.00684846361548</v>
      </c>
      <c r="K1855" s="30">
        <f t="shared" si="229"/>
        <v>8233.8604099682816</v>
      </c>
    </row>
    <row r="1856" spans="1:11" x14ac:dyDescent="0.25">
      <c r="A1856" s="29">
        <v>1806</v>
      </c>
      <c r="B1856" s="99">
        <f t="shared" si="230"/>
        <v>0</v>
      </c>
      <c r="C1856" s="75">
        <f t="shared" si="226"/>
        <v>104.50616427295054</v>
      </c>
      <c r="D1856" s="100">
        <f t="shared" si="231"/>
        <v>445.77777777777789</v>
      </c>
      <c r="E1856">
        <f t="shared" si="227"/>
        <v>0</v>
      </c>
      <c r="G1856">
        <v>1806</v>
      </c>
      <c r="H1856" s="15">
        <f t="shared" si="232"/>
        <v>3.3332641781299799E-2</v>
      </c>
      <c r="I1856">
        <f t="shared" si="233"/>
        <v>164.70491532996797</v>
      </c>
      <c r="J1856">
        <f t="shared" si="228"/>
        <v>497.01716960659849</v>
      </c>
      <c r="K1856" s="30">
        <f t="shared" si="229"/>
        <v>8234.2021780549967</v>
      </c>
    </row>
    <row r="1857" spans="1:11" x14ac:dyDescent="0.25">
      <c r="A1857" s="29">
        <v>1807</v>
      </c>
      <c r="B1857" s="99">
        <f t="shared" si="230"/>
        <v>0</v>
      </c>
      <c r="C1857" s="75">
        <f t="shared" si="226"/>
        <v>104.50616427295054</v>
      </c>
      <c r="D1857" s="100">
        <f t="shared" si="231"/>
        <v>445.77777777777789</v>
      </c>
      <c r="E1857">
        <f t="shared" si="227"/>
        <v>0</v>
      </c>
      <c r="G1857">
        <v>1807</v>
      </c>
      <c r="H1857" s="15">
        <f t="shared" si="232"/>
        <v>3.3332641781299799E-2</v>
      </c>
      <c r="I1857">
        <f t="shared" si="233"/>
        <v>164.73824797174927</v>
      </c>
      <c r="J1857">
        <f t="shared" si="228"/>
        <v>497.02747804350855</v>
      </c>
      <c r="K1857" s="30">
        <f t="shared" si="229"/>
        <v>8234.5435322890316</v>
      </c>
    </row>
    <row r="1858" spans="1:11" x14ac:dyDescent="0.25">
      <c r="A1858" s="29">
        <v>1808</v>
      </c>
      <c r="B1858" s="99">
        <f t="shared" si="230"/>
        <v>0</v>
      </c>
      <c r="C1858" s="75">
        <f t="shared" si="226"/>
        <v>104.50616427295054</v>
      </c>
      <c r="D1858" s="100">
        <f t="shared" si="231"/>
        <v>445.77777777777789</v>
      </c>
      <c r="E1858">
        <f t="shared" si="227"/>
        <v>0</v>
      </c>
      <c r="G1858">
        <v>1808</v>
      </c>
      <c r="H1858" s="15">
        <f t="shared" si="232"/>
        <v>3.3332641781299799E-2</v>
      </c>
      <c r="I1858">
        <f t="shared" si="233"/>
        <v>164.77158061353057</v>
      </c>
      <c r="J1858">
        <f t="shared" si="228"/>
        <v>497.03777377844585</v>
      </c>
      <c r="K1858" s="30">
        <f t="shared" si="229"/>
        <v>8234.8844727799533</v>
      </c>
    </row>
    <row r="1859" spans="1:11" x14ac:dyDescent="0.25">
      <c r="A1859" s="29">
        <v>1809</v>
      </c>
      <c r="B1859" s="99">
        <f t="shared" si="230"/>
        <v>0</v>
      </c>
      <c r="C1859" s="75">
        <f t="shared" si="226"/>
        <v>104.50616427295054</v>
      </c>
      <c r="D1859" s="100">
        <f t="shared" si="231"/>
        <v>445.77777777777789</v>
      </c>
      <c r="E1859">
        <f t="shared" si="227"/>
        <v>0</v>
      </c>
      <c r="G1859">
        <v>1809</v>
      </c>
      <c r="H1859" s="15">
        <f t="shared" si="232"/>
        <v>3.3332641781299799E-2</v>
      </c>
      <c r="I1859">
        <f t="shared" si="233"/>
        <v>164.80491325531187</v>
      </c>
      <c r="J1859">
        <f t="shared" si="228"/>
        <v>497.04805681550351</v>
      </c>
      <c r="K1859" s="30">
        <f t="shared" si="229"/>
        <v>8235.2249996371502</v>
      </c>
    </row>
    <row r="1860" spans="1:11" x14ac:dyDescent="0.25">
      <c r="A1860" s="29">
        <v>1810</v>
      </c>
      <c r="B1860" s="99">
        <f t="shared" si="230"/>
        <v>0</v>
      </c>
      <c r="C1860" s="75">
        <f t="shared" si="226"/>
        <v>104.50616427295054</v>
      </c>
      <c r="D1860" s="100">
        <f t="shared" si="231"/>
        <v>445.77777777777789</v>
      </c>
      <c r="E1860">
        <f t="shared" si="227"/>
        <v>0</v>
      </c>
      <c r="G1860">
        <v>1810</v>
      </c>
      <c r="H1860" s="15">
        <f t="shared" si="232"/>
        <v>3.3332641781299799E-2</v>
      </c>
      <c r="I1860">
        <f t="shared" si="233"/>
        <v>164.83824589709317</v>
      </c>
      <c r="J1860">
        <f t="shared" si="228"/>
        <v>497.05832715876801</v>
      </c>
      <c r="K1860" s="30">
        <f t="shared" si="229"/>
        <v>8235.5651129698272</v>
      </c>
    </row>
    <row r="1861" spans="1:11" x14ac:dyDescent="0.25">
      <c r="A1861" s="29">
        <v>1811</v>
      </c>
      <c r="B1861" s="99">
        <f t="shared" si="230"/>
        <v>0</v>
      </c>
      <c r="C1861" s="75">
        <f t="shared" si="226"/>
        <v>104.50616427295054</v>
      </c>
      <c r="D1861" s="100">
        <f t="shared" si="231"/>
        <v>445.77777777777789</v>
      </c>
      <c r="E1861">
        <f t="shared" si="227"/>
        <v>0</v>
      </c>
      <c r="G1861">
        <v>1811</v>
      </c>
      <c r="H1861" s="15">
        <f t="shared" si="232"/>
        <v>3.3332641781299799E-2</v>
      </c>
      <c r="I1861">
        <f t="shared" si="233"/>
        <v>164.87157853887447</v>
      </c>
      <c r="J1861">
        <f t="shared" si="228"/>
        <v>497.06858481231899</v>
      </c>
      <c r="K1861" s="30">
        <f t="shared" si="229"/>
        <v>8235.904812887009</v>
      </c>
    </row>
    <row r="1862" spans="1:11" x14ac:dyDescent="0.25">
      <c r="A1862" s="29">
        <v>1812</v>
      </c>
      <c r="B1862" s="99">
        <f t="shared" si="230"/>
        <v>0</v>
      </c>
      <c r="C1862" s="75">
        <f t="shared" si="226"/>
        <v>104.50616427295054</v>
      </c>
      <c r="D1862" s="100">
        <f t="shared" si="231"/>
        <v>445.77777777777789</v>
      </c>
      <c r="E1862">
        <f t="shared" si="227"/>
        <v>0</v>
      </c>
      <c r="G1862">
        <v>1812</v>
      </c>
      <c r="H1862" s="15">
        <f t="shared" si="232"/>
        <v>3.3332641781299799E-2</v>
      </c>
      <c r="I1862">
        <f t="shared" si="233"/>
        <v>164.90491118065577</v>
      </c>
      <c r="J1862">
        <f t="shared" si="228"/>
        <v>497.07882978022928</v>
      </c>
      <c r="K1862" s="30">
        <f t="shared" si="229"/>
        <v>8236.2440994975386</v>
      </c>
    </row>
    <row r="1863" spans="1:11" x14ac:dyDescent="0.25">
      <c r="A1863" s="29">
        <v>1813</v>
      </c>
      <c r="B1863" s="99">
        <f t="shared" si="230"/>
        <v>0</v>
      </c>
      <c r="C1863" s="75">
        <f t="shared" si="226"/>
        <v>104.50616427295054</v>
      </c>
      <c r="D1863" s="100">
        <f t="shared" si="231"/>
        <v>445.77777777777789</v>
      </c>
      <c r="E1863">
        <f t="shared" si="227"/>
        <v>0</v>
      </c>
      <c r="G1863">
        <v>1813</v>
      </c>
      <c r="H1863" s="15">
        <f t="shared" si="232"/>
        <v>3.3332641781299799E-2</v>
      </c>
      <c r="I1863">
        <f t="shared" si="233"/>
        <v>164.93824382243707</v>
      </c>
      <c r="J1863">
        <f t="shared" si="228"/>
        <v>497.08906206656491</v>
      </c>
      <c r="K1863" s="30">
        <f t="shared" si="229"/>
        <v>8236.5829729100715</v>
      </c>
    </row>
    <row r="1864" spans="1:11" x14ac:dyDescent="0.25">
      <c r="A1864" s="29">
        <v>1814</v>
      </c>
      <c r="B1864" s="99">
        <f t="shared" si="230"/>
        <v>0</v>
      </c>
      <c r="C1864" s="75">
        <f t="shared" si="226"/>
        <v>104.50616427295054</v>
      </c>
      <c r="D1864" s="100">
        <f t="shared" si="231"/>
        <v>445.77777777777789</v>
      </c>
      <c r="E1864">
        <f t="shared" si="227"/>
        <v>0</v>
      </c>
      <c r="G1864">
        <v>1814</v>
      </c>
      <c r="H1864" s="15">
        <f t="shared" si="232"/>
        <v>3.3332641781299799E-2</v>
      </c>
      <c r="I1864">
        <f t="shared" si="233"/>
        <v>164.97157646421837</v>
      </c>
      <c r="J1864">
        <f t="shared" si="228"/>
        <v>497.09928167538527</v>
      </c>
      <c r="K1864" s="30">
        <f t="shared" si="229"/>
        <v>8236.9214332330939</v>
      </c>
    </row>
    <row r="1865" spans="1:11" x14ac:dyDescent="0.25">
      <c r="A1865" s="29">
        <v>1815</v>
      </c>
      <c r="B1865" s="99">
        <f t="shared" si="230"/>
        <v>0</v>
      </c>
      <c r="C1865" s="75">
        <f t="shared" si="226"/>
        <v>104.50616427295054</v>
      </c>
      <c r="D1865" s="100">
        <f t="shared" si="231"/>
        <v>445.77777777777789</v>
      </c>
      <c r="E1865">
        <f t="shared" si="227"/>
        <v>0</v>
      </c>
      <c r="G1865">
        <v>1815</v>
      </c>
      <c r="H1865" s="15">
        <f t="shared" si="232"/>
        <v>3.3332641781299799E-2</v>
      </c>
      <c r="I1865">
        <f t="shared" si="233"/>
        <v>165.00490910599967</v>
      </c>
      <c r="J1865">
        <f t="shared" si="228"/>
        <v>497.10948861074286</v>
      </c>
      <c r="K1865" s="30">
        <f t="shared" si="229"/>
        <v>8237.259480574905</v>
      </c>
    </row>
    <row r="1866" spans="1:11" x14ac:dyDescent="0.25">
      <c r="A1866" s="29">
        <v>1816</v>
      </c>
      <c r="B1866" s="99">
        <f t="shared" si="230"/>
        <v>0</v>
      </c>
      <c r="C1866" s="75">
        <f t="shared" si="226"/>
        <v>104.50616427295054</v>
      </c>
      <c r="D1866" s="100">
        <f t="shared" si="231"/>
        <v>445.77777777777789</v>
      </c>
      <c r="E1866">
        <f t="shared" si="227"/>
        <v>0</v>
      </c>
      <c r="G1866">
        <v>1816</v>
      </c>
      <c r="H1866" s="15">
        <f t="shared" si="232"/>
        <v>3.3332641781299799E-2</v>
      </c>
      <c r="I1866">
        <f t="shared" si="233"/>
        <v>165.03824174778097</v>
      </c>
      <c r="J1866">
        <f t="shared" si="228"/>
        <v>497.1196828766835</v>
      </c>
      <c r="K1866" s="30">
        <f t="shared" si="229"/>
        <v>8237.5971150436217</v>
      </c>
    </row>
    <row r="1867" spans="1:11" x14ac:dyDescent="0.25">
      <c r="A1867" s="29">
        <v>1817</v>
      </c>
      <c r="B1867" s="99">
        <f t="shared" si="230"/>
        <v>0</v>
      </c>
      <c r="C1867" s="75">
        <f t="shared" si="226"/>
        <v>104.50616427295054</v>
      </c>
      <c r="D1867" s="100">
        <f t="shared" si="231"/>
        <v>445.77777777777789</v>
      </c>
      <c r="E1867">
        <f t="shared" si="227"/>
        <v>0</v>
      </c>
      <c r="G1867">
        <v>1817</v>
      </c>
      <c r="H1867" s="15">
        <f t="shared" si="232"/>
        <v>3.3332641781299799E-2</v>
      </c>
      <c r="I1867">
        <f t="shared" si="233"/>
        <v>165.07157438956227</v>
      </c>
      <c r="J1867">
        <f t="shared" si="228"/>
        <v>497.12986447724626</v>
      </c>
      <c r="K1867" s="30">
        <f t="shared" si="229"/>
        <v>8237.9343367471829</v>
      </c>
    </row>
    <row r="1868" spans="1:11" x14ac:dyDescent="0.25">
      <c r="A1868" s="29">
        <v>1818</v>
      </c>
      <c r="B1868" s="99">
        <f t="shared" si="230"/>
        <v>0</v>
      </c>
      <c r="C1868" s="75">
        <f t="shared" si="226"/>
        <v>104.50616427295054</v>
      </c>
      <c r="D1868" s="100">
        <f t="shared" si="231"/>
        <v>445.77777777777789</v>
      </c>
      <c r="E1868">
        <f t="shared" si="227"/>
        <v>0</v>
      </c>
      <c r="G1868">
        <v>1818</v>
      </c>
      <c r="H1868" s="15">
        <f t="shared" si="232"/>
        <v>3.3332641781299799E-2</v>
      </c>
      <c r="I1868">
        <f t="shared" si="233"/>
        <v>165.10490703134357</v>
      </c>
      <c r="J1868">
        <f t="shared" si="228"/>
        <v>497.14003341646338</v>
      </c>
      <c r="K1868" s="30">
        <f t="shared" si="229"/>
        <v>8238.2711457933492</v>
      </c>
    </row>
    <row r="1869" spans="1:11" x14ac:dyDescent="0.25">
      <c r="A1869" s="29">
        <v>1819</v>
      </c>
      <c r="B1869" s="99">
        <f t="shared" si="230"/>
        <v>0</v>
      </c>
      <c r="C1869" s="75">
        <f t="shared" si="226"/>
        <v>104.50616427295054</v>
      </c>
      <c r="D1869" s="100">
        <f t="shared" si="231"/>
        <v>445.77777777777789</v>
      </c>
      <c r="E1869">
        <f t="shared" si="227"/>
        <v>0</v>
      </c>
      <c r="G1869">
        <v>1819</v>
      </c>
      <c r="H1869" s="15">
        <f t="shared" si="232"/>
        <v>3.3332641781299799E-2</v>
      </c>
      <c r="I1869">
        <f t="shared" si="233"/>
        <v>165.13823967312487</v>
      </c>
      <c r="J1869">
        <f t="shared" si="228"/>
        <v>497.15018969836058</v>
      </c>
      <c r="K1869" s="30">
        <f t="shared" si="229"/>
        <v>8238.6075422896993</v>
      </c>
    </row>
    <row r="1870" spans="1:11" x14ac:dyDescent="0.25">
      <c r="A1870" s="29">
        <v>1820</v>
      </c>
      <c r="B1870" s="99">
        <f t="shared" si="230"/>
        <v>0</v>
      </c>
      <c r="C1870" s="75">
        <f t="shared" si="226"/>
        <v>104.50616427295054</v>
      </c>
      <c r="D1870" s="100">
        <f t="shared" si="231"/>
        <v>445.77777777777789</v>
      </c>
      <c r="E1870">
        <f t="shared" si="227"/>
        <v>0</v>
      </c>
      <c r="G1870">
        <v>1820</v>
      </c>
      <c r="H1870" s="15">
        <f t="shared" si="232"/>
        <v>3.3332641781299799E-2</v>
      </c>
      <c r="I1870">
        <f t="shared" si="233"/>
        <v>165.17157231490617</v>
      </c>
      <c r="J1870">
        <f t="shared" si="228"/>
        <v>497.16033332695667</v>
      </c>
      <c r="K1870" s="30">
        <f t="shared" si="229"/>
        <v>8238.9435263436335</v>
      </c>
    </row>
    <row r="1871" spans="1:11" x14ac:dyDescent="0.25">
      <c r="A1871" s="29">
        <v>1821</v>
      </c>
      <c r="B1871" s="99">
        <f t="shared" si="230"/>
        <v>0</v>
      </c>
      <c r="C1871" s="75">
        <f t="shared" si="226"/>
        <v>104.50616427295054</v>
      </c>
      <c r="D1871" s="100">
        <f t="shared" si="231"/>
        <v>445.77777777777789</v>
      </c>
      <c r="E1871">
        <f t="shared" si="227"/>
        <v>0</v>
      </c>
      <c r="G1871">
        <v>1821</v>
      </c>
      <c r="H1871" s="15">
        <f t="shared" si="232"/>
        <v>3.3332641781299799E-2</v>
      </c>
      <c r="I1871">
        <f t="shared" si="233"/>
        <v>165.20490495668747</v>
      </c>
      <c r="J1871">
        <f t="shared" si="228"/>
        <v>497.17046430626385</v>
      </c>
      <c r="K1871" s="30">
        <f t="shared" si="229"/>
        <v>8239.2790980623722</v>
      </c>
    </row>
    <row r="1872" spans="1:11" x14ac:dyDescent="0.25">
      <c r="A1872" s="29">
        <v>1822</v>
      </c>
      <c r="B1872" s="99">
        <f t="shared" si="230"/>
        <v>0</v>
      </c>
      <c r="C1872" s="75">
        <f t="shared" ref="C1872:C1935" si="234">($C$37-$C$36)/2000+C1871</f>
        <v>104.50616427295054</v>
      </c>
      <c r="D1872" s="100">
        <f t="shared" si="231"/>
        <v>445.77777777777789</v>
      </c>
      <c r="E1872">
        <f t="shared" si="227"/>
        <v>0</v>
      </c>
      <c r="G1872">
        <v>1822</v>
      </c>
      <c r="H1872" s="15">
        <f t="shared" si="232"/>
        <v>3.3332641781299799E-2</v>
      </c>
      <c r="I1872">
        <f t="shared" si="233"/>
        <v>165.23823759846877</v>
      </c>
      <c r="J1872">
        <f t="shared" si="228"/>
        <v>497.18058264028758</v>
      </c>
      <c r="K1872" s="30">
        <f t="shared" si="229"/>
        <v>8239.6142575529575</v>
      </c>
    </row>
    <row r="1873" spans="1:11" x14ac:dyDescent="0.25">
      <c r="A1873" s="29">
        <v>1823</v>
      </c>
      <c r="B1873" s="99">
        <f t="shared" si="230"/>
        <v>0</v>
      </c>
      <c r="C1873" s="75">
        <f t="shared" si="234"/>
        <v>104.50616427295054</v>
      </c>
      <c r="D1873" s="100">
        <f t="shared" si="231"/>
        <v>445.77777777777789</v>
      </c>
      <c r="E1873">
        <f t="shared" si="227"/>
        <v>0</v>
      </c>
      <c r="G1873">
        <v>1823</v>
      </c>
      <c r="H1873" s="15">
        <f t="shared" si="232"/>
        <v>3.3332641781299799E-2</v>
      </c>
      <c r="I1873">
        <f t="shared" si="233"/>
        <v>165.27157024025007</v>
      </c>
      <c r="J1873">
        <f t="shared" si="228"/>
        <v>497.19068833302674</v>
      </c>
      <c r="K1873" s="30">
        <f t="shared" si="229"/>
        <v>8239.9490049222532</v>
      </c>
    </row>
    <row r="1874" spans="1:11" x14ac:dyDescent="0.25">
      <c r="A1874" s="29">
        <v>1824</v>
      </c>
      <c r="B1874" s="99">
        <f t="shared" si="230"/>
        <v>0</v>
      </c>
      <c r="C1874" s="75">
        <f t="shared" si="234"/>
        <v>104.50616427295054</v>
      </c>
      <c r="D1874" s="100">
        <f t="shared" si="231"/>
        <v>445.77777777777789</v>
      </c>
      <c r="E1874">
        <f t="shared" si="227"/>
        <v>0</v>
      </c>
      <c r="G1874">
        <v>1824</v>
      </c>
      <c r="H1874" s="15">
        <f t="shared" si="232"/>
        <v>3.3332641781299799E-2</v>
      </c>
      <c r="I1874">
        <f t="shared" si="233"/>
        <v>165.30490288203137</v>
      </c>
      <c r="J1874">
        <f t="shared" si="228"/>
        <v>497.20078138847339</v>
      </c>
      <c r="K1874" s="30">
        <f t="shared" si="229"/>
        <v>8240.2833402769429</v>
      </c>
    </row>
    <row r="1875" spans="1:11" x14ac:dyDescent="0.25">
      <c r="A1875" s="29">
        <v>1825</v>
      </c>
      <c r="B1875" s="99">
        <f t="shared" si="230"/>
        <v>0</v>
      </c>
      <c r="C1875" s="75">
        <f t="shared" si="234"/>
        <v>104.50616427295054</v>
      </c>
      <c r="D1875" s="100">
        <f t="shared" si="231"/>
        <v>445.77777777777789</v>
      </c>
      <c r="E1875">
        <f t="shared" si="227"/>
        <v>0</v>
      </c>
      <c r="G1875">
        <v>1825</v>
      </c>
      <c r="H1875" s="15">
        <f t="shared" si="232"/>
        <v>3.3332641781299799E-2</v>
      </c>
      <c r="I1875">
        <f t="shared" si="233"/>
        <v>165.33823552381267</v>
      </c>
      <c r="J1875">
        <f t="shared" si="228"/>
        <v>497.21086181061304</v>
      </c>
      <c r="K1875" s="30">
        <f t="shared" si="229"/>
        <v>8240.6172637235322</v>
      </c>
    </row>
    <row r="1876" spans="1:11" x14ac:dyDescent="0.25">
      <c r="A1876" s="29">
        <v>1826</v>
      </c>
      <c r="B1876" s="99">
        <f t="shared" si="230"/>
        <v>0</v>
      </c>
      <c r="C1876" s="75">
        <f t="shared" si="234"/>
        <v>104.50616427295054</v>
      </c>
      <c r="D1876" s="100">
        <f t="shared" si="231"/>
        <v>445.77777777777789</v>
      </c>
      <c r="E1876">
        <f t="shared" si="227"/>
        <v>0</v>
      </c>
      <c r="G1876">
        <v>1826</v>
      </c>
      <c r="H1876" s="15">
        <f t="shared" si="232"/>
        <v>3.3332641781299799E-2</v>
      </c>
      <c r="I1876">
        <f t="shared" si="233"/>
        <v>165.37156816559397</v>
      </c>
      <c r="J1876">
        <f t="shared" si="228"/>
        <v>497.22092960342439</v>
      </c>
      <c r="K1876" s="30">
        <f t="shared" si="229"/>
        <v>8240.950775368352</v>
      </c>
    </row>
    <row r="1877" spans="1:11" x14ac:dyDescent="0.25">
      <c r="A1877" s="29">
        <v>1827</v>
      </c>
      <c r="B1877" s="99">
        <f t="shared" si="230"/>
        <v>0</v>
      </c>
      <c r="C1877" s="75">
        <f t="shared" si="234"/>
        <v>104.50616427295054</v>
      </c>
      <c r="D1877" s="100">
        <f t="shared" si="231"/>
        <v>445.77777777777789</v>
      </c>
      <c r="E1877">
        <f t="shared" si="227"/>
        <v>0</v>
      </c>
      <c r="G1877">
        <v>1827</v>
      </c>
      <c r="H1877" s="15">
        <f t="shared" si="232"/>
        <v>3.3332641781299799E-2</v>
      </c>
      <c r="I1877">
        <f t="shared" si="233"/>
        <v>165.40490080737527</v>
      </c>
      <c r="J1877">
        <f t="shared" si="228"/>
        <v>497.23098477087967</v>
      </c>
      <c r="K1877" s="30">
        <f t="shared" si="229"/>
        <v>8241.2838753175492</v>
      </c>
    </row>
    <row r="1878" spans="1:11" x14ac:dyDescent="0.25">
      <c r="A1878" s="29">
        <v>1828</v>
      </c>
      <c r="B1878" s="99">
        <f t="shared" si="230"/>
        <v>0</v>
      </c>
      <c r="C1878" s="75">
        <f t="shared" si="234"/>
        <v>104.50616427295054</v>
      </c>
      <c r="D1878" s="100">
        <f t="shared" si="231"/>
        <v>445.77777777777789</v>
      </c>
      <c r="E1878">
        <f t="shared" si="227"/>
        <v>0</v>
      </c>
      <c r="G1878">
        <v>1828</v>
      </c>
      <c r="H1878" s="15">
        <f t="shared" si="232"/>
        <v>3.3332641781299799E-2</v>
      </c>
      <c r="I1878">
        <f t="shared" si="233"/>
        <v>165.43823344915657</v>
      </c>
      <c r="J1878">
        <f t="shared" si="228"/>
        <v>497.24102731694427</v>
      </c>
      <c r="K1878" s="30">
        <f t="shared" si="229"/>
        <v>8241.6165636770984</v>
      </c>
    </row>
    <row r="1879" spans="1:11" x14ac:dyDescent="0.25">
      <c r="A1879" s="29">
        <v>1829</v>
      </c>
      <c r="B1879" s="99">
        <f t="shared" si="230"/>
        <v>0</v>
      </c>
      <c r="C1879" s="75">
        <f t="shared" si="234"/>
        <v>104.50616427295054</v>
      </c>
      <c r="D1879" s="100">
        <f t="shared" si="231"/>
        <v>445.77777777777789</v>
      </c>
      <c r="E1879">
        <f t="shared" si="227"/>
        <v>0</v>
      </c>
      <c r="G1879">
        <v>1829</v>
      </c>
      <c r="H1879" s="15">
        <f t="shared" si="232"/>
        <v>3.3332641781299799E-2</v>
      </c>
      <c r="I1879">
        <f t="shared" si="233"/>
        <v>165.47156609093787</v>
      </c>
      <c r="J1879">
        <f t="shared" si="228"/>
        <v>497.25105724557716</v>
      </c>
      <c r="K1879" s="30">
        <f t="shared" si="229"/>
        <v>8241.9488405527954</v>
      </c>
    </row>
    <row r="1880" spans="1:11" x14ac:dyDescent="0.25">
      <c r="A1880" s="29">
        <v>1830</v>
      </c>
      <c r="B1880" s="99">
        <f t="shared" si="230"/>
        <v>0</v>
      </c>
      <c r="C1880" s="75">
        <f t="shared" si="234"/>
        <v>104.50616427295054</v>
      </c>
      <c r="D1880" s="100">
        <f t="shared" si="231"/>
        <v>445.77777777777789</v>
      </c>
      <c r="E1880">
        <f t="shared" si="227"/>
        <v>0</v>
      </c>
      <c r="G1880">
        <v>1830</v>
      </c>
      <c r="H1880" s="15">
        <f t="shared" si="232"/>
        <v>3.3332641781299799E-2</v>
      </c>
      <c r="I1880">
        <f t="shared" si="233"/>
        <v>165.50489873271917</v>
      </c>
      <c r="J1880">
        <f t="shared" si="228"/>
        <v>497.26107456073055</v>
      </c>
      <c r="K1880" s="30">
        <f t="shared" si="229"/>
        <v>8242.2807060502582</v>
      </c>
    </row>
    <row r="1881" spans="1:11" x14ac:dyDescent="0.25">
      <c r="A1881" s="29">
        <v>1831</v>
      </c>
      <c r="B1881" s="99">
        <f t="shared" si="230"/>
        <v>0</v>
      </c>
      <c r="C1881" s="75">
        <f t="shared" si="234"/>
        <v>104.50616427295054</v>
      </c>
      <c r="D1881" s="100">
        <f t="shared" si="231"/>
        <v>445.77777777777789</v>
      </c>
      <c r="E1881">
        <f t="shared" si="227"/>
        <v>0</v>
      </c>
      <c r="G1881">
        <v>1831</v>
      </c>
      <c r="H1881" s="15">
        <f t="shared" si="232"/>
        <v>3.3332641781299799E-2</v>
      </c>
      <c r="I1881">
        <f t="shared" si="233"/>
        <v>165.53823137450047</v>
      </c>
      <c r="J1881">
        <f t="shared" si="228"/>
        <v>497.27107926634994</v>
      </c>
      <c r="K1881" s="30">
        <f t="shared" si="229"/>
        <v>8242.6121602749281</v>
      </c>
    </row>
    <row r="1882" spans="1:11" x14ac:dyDescent="0.25">
      <c r="A1882" s="29">
        <v>1832</v>
      </c>
      <c r="B1882" s="99">
        <f t="shared" si="230"/>
        <v>0</v>
      </c>
      <c r="C1882" s="75">
        <f t="shared" si="234"/>
        <v>104.50616427295054</v>
      </c>
      <c r="D1882" s="100">
        <f t="shared" si="231"/>
        <v>445.77777777777789</v>
      </c>
      <c r="E1882">
        <f t="shared" si="227"/>
        <v>0</v>
      </c>
      <c r="G1882">
        <v>1832</v>
      </c>
      <c r="H1882" s="15">
        <f t="shared" si="232"/>
        <v>3.3332641781299799E-2</v>
      </c>
      <c r="I1882">
        <f t="shared" si="233"/>
        <v>165.57156401628177</v>
      </c>
      <c r="J1882">
        <f t="shared" si="228"/>
        <v>497.28107136637453</v>
      </c>
      <c r="K1882" s="30">
        <f t="shared" si="229"/>
        <v>8242.9432033320718</v>
      </c>
    </row>
    <row r="1883" spans="1:11" x14ac:dyDescent="0.25">
      <c r="A1883" s="29">
        <v>1833</v>
      </c>
      <c r="B1883" s="99">
        <f t="shared" si="230"/>
        <v>0</v>
      </c>
      <c r="C1883" s="75">
        <f t="shared" si="234"/>
        <v>104.50616427295054</v>
      </c>
      <c r="D1883" s="100">
        <f t="shared" si="231"/>
        <v>445.77777777777789</v>
      </c>
      <c r="E1883">
        <f t="shared" si="227"/>
        <v>0</v>
      </c>
      <c r="G1883">
        <v>1833</v>
      </c>
      <c r="H1883" s="15">
        <f t="shared" si="232"/>
        <v>3.3332641781299799E-2</v>
      </c>
      <c r="I1883">
        <f t="shared" si="233"/>
        <v>165.60489665806307</v>
      </c>
      <c r="J1883">
        <f t="shared" si="228"/>
        <v>497.29105086473658</v>
      </c>
      <c r="K1883" s="30">
        <f t="shared" si="229"/>
        <v>8243.273835326776</v>
      </c>
    </row>
    <row r="1884" spans="1:11" x14ac:dyDescent="0.25">
      <c r="A1884" s="29">
        <v>1834</v>
      </c>
      <c r="B1884" s="99">
        <f t="shared" si="230"/>
        <v>0</v>
      </c>
      <c r="C1884" s="75">
        <f t="shared" si="234"/>
        <v>104.50616427295054</v>
      </c>
      <c r="D1884" s="100">
        <f t="shared" si="231"/>
        <v>445.77777777777789</v>
      </c>
      <c r="E1884">
        <f t="shared" si="227"/>
        <v>0</v>
      </c>
      <c r="G1884">
        <v>1834</v>
      </c>
      <c r="H1884" s="15">
        <f t="shared" si="232"/>
        <v>3.3332641781299799E-2</v>
      </c>
      <c r="I1884">
        <f t="shared" si="233"/>
        <v>165.63822929984437</v>
      </c>
      <c r="J1884">
        <f t="shared" si="228"/>
        <v>497.30101776536196</v>
      </c>
      <c r="K1884" s="30">
        <f t="shared" si="229"/>
        <v>8243.6040563639508</v>
      </c>
    </row>
    <row r="1885" spans="1:11" x14ac:dyDescent="0.25">
      <c r="A1885" s="29">
        <v>1835</v>
      </c>
      <c r="B1885" s="99">
        <f t="shared" si="230"/>
        <v>0</v>
      </c>
      <c r="C1885" s="75">
        <f t="shared" si="234"/>
        <v>104.50616427295054</v>
      </c>
      <c r="D1885" s="100">
        <f t="shared" si="231"/>
        <v>445.77777777777789</v>
      </c>
      <c r="E1885">
        <f t="shared" si="227"/>
        <v>0</v>
      </c>
      <c r="G1885">
        <v>1835</v>
      </c>
      <c r="H1885" s="15">
        <f t="shared" si="232"/>
        <v>3.3332641781299799E-2</v>
      </c>
      <c r="I1885">
        <f t="shared" si="233"/>
        <v>165.67156194162567</v>
      </c>
      <c r="J1885">
        <f t="shared" si="228"/>
        <v>497.31097207216987</v>
      </c>
      <c r="K1885" s="30">
        <f t="shared" si="229"/>
        <v>8243.9338665483356</v>
      </c>
    </row>
    <row r="1886" spans="1:11" x14ac:dyDescent="0.25">
      <c r="A1886" s="29">
        <v>1836</v>
      </c>
      <c r="B1886" s="99">
        <f t="shared" si="230"/>
        <v>0</v>
      </c>
      <c r="C1886" s="75">
        <f t="shared" si="234"/>
        <v>104.50616427295054</v>
      </c>
      <c r="D1886" s="100">
        <f t="shared" si="231"/>
        <v>445.77777777777789</v>
      </c>
      <c r="E1886">
        <f t="shared" si="227"/>
        <v>0</v>
      </c>
      <c r="G1886">
        <v>1836</v>
      </c>
      <c r="H1886" s="15">
        <f t="shared" si="232"/>
        <v>3.3332641781299799E-2</v>
      </c>
      <c r="I1886">
        <f t="shared" si="233"/>
        <v>165.70489458340697</v>
      </c>
      <c r="J1886">
        <f t="shared" si="228"/>
        <v>497.32091378907302</v>
      </c>
      <c r="K1886" s="30">
        <f t="shared" si="229"/>
        <v>8244.2632659844912</v>
      </c>
    </row>
    <row r="1887" spans="1:11" x14ac:dyDescent="0.25">
      <c r="A1887" s="29">
        <v>1837</v>
      </c>
      <c r="B1887" s="99">
        <f t="shared" si="230"/>
        <v>0</v>
      </c>
      <c r="C1887" s="75">
        <f t="shared" si="234"/>
        <v>104.50616427295054</v>
      </c>
      <c r="D1887" s="100">
        <f t="shared" si="231"/>
        <v>445.77777777777789</v>
      </c>
      <c r="E1887">
        <f t="shared" si="227"/>
        <v>0</v>
      </c>
      <c r="G1887">
        <v>1837</v>
      </c>
      <c r="H1887" s="15">
        <f t="shared" si="232"/>
        <v>3.3332641781299799E-2</v>
      </c>
      <c r="I1887">
        <f t="shared" si="233"/>
        <v>165.73822722518827</v>
      </c>
      <c r="J1887">
        <f t="shared" si="228"/>
        <v>497.3308429199775</v>
      </c>
      <c r="K1887" s="30">
        <f t="shared" si="229"/>
        <v>8244.5922547768005</v>
      </c>
    </row>
    <row r="1888" spans="1:11" x14ac:dyDescent="0.25">
      <c r="A1888" s="29">
        <v>1838</v>
      </c>
      <c r="B1888" s="99">
        <f t="shared" si="230"/>
        <v>0</v>
      </c>
      <c r="C1888" s="75">
        <f t="shared" si="234"/>
        <v>104.50616427295054</v>
      </c>
      <c r="D1888" s="100">
        <f t="shared" si="231"/>
        <v>445.77777777777789</v>
      </c>
      <c r="E1888">
        <f t="shared" si="227"/>
        <v>0</v>
      </c>
      <c r="G1888">
        <v>1838</v>
      </c>
      <c r="H1888" s="15">
        <f t="shared" si="232"/>
        <v>3.3332641781299799E-2</v>
      </c>
      <c r="I1888">
        <f t="shared" si="233"/>
        <v>165.77155986696957</v>
      </c>
      <c r="J1888">
        <f t="shared" si="228"/>
        <v>497.34075946878272</v>
      </c>
      <c r="K1888" s="30">
        <f t="shared" si="229"/>
        <v>8244.9208330294732</v>
      </c>
    </row>
    <row r="1889" spans="1:11" x14ac:dyDescent="0.25">
      <c r="A1889" s="29">
        <v>1839</v>
      </c>
      <c r="B1889" s="99">
        <f t="shared" si="230"/>
        <v>0</v>
      </c>
      <c r="C1889" s="75">
        <f t="shared" si="234"/>
        <v>104.50616427295054</v>
      </c>
      <c r="D1889" s="100">
        <f t="shared" si="231"/>
        <v>445.77777777777789</v>
      </c>
      <c r="E1889">
        <f t="shared" si="227"/>
        <v>0</v>
      </c>
      <c r="G1889">
        <v>1839</v>
      </c>
      <c r="H1889" s="15">
        <f t="shared" si="232"/>
        <v>3.3332641781299799E-2</v>
      </c>
      <c r="I1889">
        <f t="shared" si="233"/>
        <v>165.80489250875087</v>
      </c>
      <c r="J1889">
        <f t="shared" si="228"/>
        <v>497.35066343938183</v>
      </c>
      <c r="K1889" s="30">
        <f t="shared" si="229"/>
        <v>8245.2490008465484</v>
      </c>
    </row>
    <row r="1890" spans="1:11" x14ac:dyDescent="0.25">
      <c r="A1890" s="29">
        <v>1840</v>
      </c>
      <c r="B1890" s="99">
        <f t="shared" si="230"/>
        <v>0</v>
      </c>
      <c r="C1890" s="75">
        <f t="shared" si="234"/>
        <v>104.50616427295054</v>
      </c>
      <c r="D1890" s="100">
        <f t="shared" si="231"/>
        <v>445.77777777777789</v>
      </c>
      <c r="E1890">
        <f t="shared" si="227"/>
        <v>0</v>
      </c>
      <c r="G1890">
        <v>1840</v>
      </c>
      <c r="H1890" s="15">
        <f t="shared" si="232"/>
        <v>3.3332641781299799E-2</v>
      </c>
      <c r="I1890">
        <f t="shared" si="233"/>
        <v>165.83822515053217</v>
      </c>
      <c r="J1890">
        <f t="shared" si="228"/>
        <v>497.36055483566122</v>
      </c>
      <c r="K1890" s="30">
        <f t="shared" si="229"/>
        <v>8245.5767583318811</v>
      </c>
    </row>
    <row r="1891" spans="1:11" x14ac:dyDescent="0.25">
      <c r="A1891" s="29">
        <v>1841</v>
      </c>
      <c r="B1891" s="99">
        <f t="shared" si="230"/>
        <v>0</v>
      </c>
      <c r="C1891" s="75">
        <f t="shared" si="234"/>
        <v>104.50616427295054</v>
      </c>
      <c r="D1891" s="100">
        <f t="shared" si="231"/>
        <v>445.77777777777789</v>
      </c>
      <c r="E1891">
        <f t="shared" si="227"/>
        <v>0</v>
      </c>
      <c r="G1891">
        <v>1841</v>
      </c>
      <c r="H1891" s="15">
        <f t="shared" si="232"/>
        <v>3.3332641781299799E-2</v>
      </c>
      <c r="I1891">
        <f t="shared" si="233"/>
        <v>165.87155779231347</v>
      </c>
      <c r="J1891">
        <f t="shared" si="228"/>
        <v>497.37043366150073</v>
      </c>
      <c r="K1891" s="30">
        <f t="shared" si="229"/>
        <v>8245.9041055891594</v>
      </c>
    </row>
    <row r="1892" spans="1:11" x14ac:dyDescent="0.25">
      <c r="A1892" s="29">
        <v>1842</v>
      </c>
      <c r="B1892" s="99">
        <f t="shared" si="230"/>
        <v>0</v>
      </c>
      <c r="C1892" s="75">
        <f t="shared" si="234"/>
        <v>104.50616427295054</v>
      </c>
      <c r="D1892" s="100">
        <f t="shared" si="231"/>
        <v>445.77777777777789</v>
      </c>
      <c r="E1892">
        <f t="shared" si="227"/>
        <v>0</v>
      </c>
      <c r="G1892">
        <v>1842</v>
      </c>
      <c r="H1892" s="15">
        <f t="shared" si="232"/>
        <v>3.3332641781299799E-2</v>
      </c>
      <c r="I1892">
        <f t="shared" si="233"/>
        <v>165.90489043409477</v>
      </c>
      <c r="J1892">
        <f t="shared" si="228"/>
        <v>497.38029992077384</v>
      </c>
      <c r="K1892" s="30">
        <f t="shared" si="229"/>
        <v>8246.2310427218908</v>
      </c>
    </row>
    <row r="1893" spans="1:11" x14ac:dyDescent="0.25">
      <c r="A1893" s="29">
        <v>1843</v>
      </c>
      <c r="B1893" s="99">
        <f t="shared" si="230"/>
        <v>0</v>
      </c>
      <c r="C1893" s="75">
        <f t="shared" si="234"/>
        <v>104.50616427295054</v>
      </c>
      <c r="D1893" s="100">
        <f t="shared" si="231"/>
        <v>445.77777777777789</v>
      </c>
      <c r="E1893">
        <f t="shared" si="227"/>
        <v>0</v>
      </c>
      <c r="G1893">
        <v>1843</v>
      </c>
      <c r="H1893" s="15">
        <f t="shared" si="232"/>
        <v>3.3332641781299799E-2</v>
      </c>
      <c r="I1893">
        <f t="shared" si="233"/>
        <v>165.93822307587607</v>
      </c>
      <c r="J1893">
        <f t="shared" si="228"/>
        <v>497.39015361734738</v>
      </c>
      <c r="K1893" s="30">
        <f t="shared" si="229"/>
        <v>8246.5575698334178</v>
      </c>
    </row>
    <row r="1894" spans="1:11" x14ac:dyDescent="0.25">
      <c r="A1894" s="29">
        <v>1844</v>
      </c>
      <c r="B1894" s="99">
        <f t="shared" si="230"/>
        <v>0</v>
      </c>
      <c r="C1894" s="75">
        <f t="shared" si="234"/>
        <v>104.50616427295054</v>
      </c>
      <c r="D1894" s="100">
        <f t="shared" si="231"/>
        <v>445.77777777777789</v>
      </c>
      <c r="E1894">
        <f t="shared" si="227"/>
        <v>0</v>
      </c>
      <c r="G1894">
        <v>1844</v>
      </c>
      <c r="H1894" s="15">
        <f t="shared" si="232"/>
        <v>3.3332641781299799E-2</v>
      </c>
      <c r="I1894">
        <f t="shared" si="233"/>
        <v>165.97155571765737</v>
      </c>
      <c r="J1894">
        <f t="shared" si="228"/>
        <v>497.39999475508171</v>
      </c>
      <c r="K1894" s="30">
        <f t="shared" si="229"/>
        <v>8246.883687026897</v>
      </c>
    </row>
    <row r="1895" spans="1:11" x14ac:dyDescent="0.25">
      <c r="A1895" s="29">
        <v>1845</v>
      </c>
      <c r="B1895" s="99">
        <f t="shared" si="230"/>
        <v>0</v>
      </c>
      <c r="C1895" s="75">
        <f t="shared" si="234"/>
        <v>104.50616427295054</v>
      </c>
      <c r="D1895" s="100">
        <f t="shared" si="231"/>
        <v>445.77777777777789</v>
      </c>
      <c r="E1895">
        <f t="shared" si="227"/>
        <v>0</v>
      </c>
      <c r="G1895">
        <v>1845</v>
      </c>
      <c r="H1895" s="15">
        <f t="shared" si="232"/>
        <v>3.3332641781299799E-2</v>
      </c>
      <c r="I1895">
        <f t="shared" si="233"/>
        <v>166.00488835943867</v>
      </c>
      <c r="J1895">
        <f t="shared" si="228"/>
        <v>497.40982333783069</v>
      </c>
      <c r="K1895" s="30">
        <f t="shared" si="229"/>
        <v>8247.2093944053213</v>
      </c>
    </row>
    <row r="1896" spans="1:11" x14ac:dyDescent="0.25">
      <c r="A1896" s="29">
        <v>1846</v>
      </c>
      <c r="B1896" s="99">
        <f t="shared" si="230"/>
        <v>0</v>
      </c>
      <c r="C1896" s="75">
        <f t="shared" si="234"/>
        <v>104.50616427295054</v>
      </c>
      <c r="D1896" s="100">
        <f t="shared" si="231"/>
        <v>445.77777777777789</v>
      </c>
      <c r="E1896">
        <f t="shared" si="227"/>
        <v>0</v>
      </c>
      <c r="G1896">
        <v>1846</v>
      </c>
      <c r="H1896" s="15">
        <f t="shared" si="232"/>
        <v>3.3332641781299799E-2</v>
      </c>
      <c r="I1896">
        <f t="shared" si="233"/>
        <v>166.03822100121997</v>
      </c>
      <c r="J1896">
        <f t="shared" si="228"/>
        <v>497.41963936944171</v>
      </c>
      <c r="K1896" s="30">
        <f t="shared" si="229"/>
        <v>8247.5346920715037</v>
      </c>
    </row>
    <row r="1897" spans="1:11" x14ac:dyDescent="0.25">
      <c r="A1897" s="29">
        <v>1847</v>
      </c>
      <c r="B1897" s="99">
        <f t="shared" si="230"/>
        <v>0</v>
      </c>
      <c r="C1897" s="75">
        <f t="shared" si="234"/>
        <v>104.50616427295054</v>
      </c>
      <c r="D1897" s="100">
        <f t="shared" si="231"/>
        <v>445.77777777777789</v>
      </c>
      <c r="E1897">
        <f t="shared" si="227"/>
        <v>0</v>
      </c>
      <c r="G1897">
        <v>1847</v>
      </c>
      <c r="H1897" s="15">
        <f t="shared" si="232"/>
        <v>3.3332641781299799E-2</v>
      </c>
      <c r="I1897">
        <f t="shared" si="233"/>
        <v>166.07155364300127</v>
      </c>
      <c r="J1897">
        <f t="shared" si="228"/>
        <v>497.42944285375563</v>
      </c>
      <c r="K1897" s="30">
        <f t="shared" si="229"/>
        <v>8247.8595801280881</v>
      </c>
    </row>
    <row r="1898" spans="1:11" x14ac:dyDescent="0.25">
      <c r="A1898" s="29">
        <v>1848</v>
      </c>
      <c r="B1898" s="99">
        <f t="shared" si="230"/>
        <v>0</v>
      </c>
      <c r="C1898" s="75">
        <f t="shared" si="234"/>
        <v>104.50616427295054</v>
      </c>
      <c r="D1898" s="100">
        <f t="shared" si="231"/>
        <v>445.77777777777789</v>
      </c>
      <c r="E1898">
        <f t="shared" si="227"/>
        <v>0</v>
      </c>
      <c r="G1898">
        <v>1848</v>
      </c>
      <c r="H1898" s="15">
        <f t="shared" si="232"/>
        <v>3.3332641781299799E-2</v>
      </c>
      <c r="I1898">
        <f t="shared" si="233"/>
        <v>166.10488628478257</v>
      </c>
      <c r="J1898">
        <f t="shared" si="228"/>
        <v>497.43923379460693</v>
      </c>
      <c r="K1898" s="30">
        <f t="shared" si="229"/>
        <v>8248.1840586775452</v>
      </c>
    </row>
    <row r="1899" spans="1:11" x14ac:dyDescent="0.25">
      <c r="A1899" s="29">
        <v>1849</v>
      </c>
      <c r="B1899" s="99">
        <f t="shared" si="230"/>
        <v>0</v>
      </c>
      <c r="C1899" s="75">
        <f t="shared" si="234"/>
        <v>104.50616427295054</v>
      </c>
      <c r="D1899" s="100">
        <f t="shared" si="231"/>
        <v>445.77777777777789</v>
      </c>
      <c r="E1899">
        <f t="shared" si="227"/>
        <v>0</v>
      </c>
      <c r="G1899">
        <v>1849</v>
      </c>
      <c r="H1899" s="15">
        <f t="shared" si="232"/>
        <v>3.3332641781299799E-2</v>
      </c>
      <c r="I1899">
        <f t="shared" si="233"/>
        <v>166.13821892656387</v>
      </c>
      <c r="J1899">
        <f t="shared" si="228"/>
        <v>497.44901219582357</v>
      </c>
      <c r="K1899" s="30">
        <f t="shared" si="229"/>
        <v>8248.5081278221733</v>
      </c>
    </row>
    <row r="1900" spans="1:11" x14ac:dyDescent="0.25">
      <c r="A1900" s="29">
        <v>1850</v>
      </c>
      <c r="B1900" s="99">
        <f t="shared" si="230"/>
        <v>0</v>
      </c>
      <c r="C1900" s="75">
        <f t="shared" si="234"/>
        <v>104.50616427295054</v>
      </c>
      <c r="D1900" s="100">
        <f t="shared" si="231"/>
        <v>445.77777777777789</v>
      </c>
      <c r="E1900">
        <f t="shared" si="227"/>
        <v>0</v>
      </c>
      <c r="G1900">
        <v>1850</v>
      </c>
      <c r="H1900" s="15">
        <f t="shared" si="232"/>
        <v>3.3332641781299799E-2</v>
      </c>
      <c r="I1900">
        <f t="shared" si="233"/>
        <v>166.17155156834517</v>
      </c>
      <c r="J1900">
        <f t="shared" si="228"/>
        <v>497.45877806122701</v>
      </c>
      <c r="K1900" s="30">
        <f t="shared" si="229"/>
        <v>8248.8317876640904</v>
      </c>
    </row>
    <row r="1901" spans="1:11" x14ac:dyDescent="0.25">
      <c r="A1901" s="29">
        <v>1851</v>
      </c>
      <c r="B1901" s="99">
        <f t="shared" si="230"/>
        <v>0</v>
      </c>
      <c r="C1901" s="75">
        <f t="shared" si="234"/>
        <v>104.50616427295054</v>
      </c>
      <c r="D1901" s="100">
        <f t="shared" si="231"/>
        <v>445.77777777777789</v>
      </c>
      <c r="E1901">
        <f t="shared" si="227"/>
        <v>0</v>
      </c>
      <c r="G1901">
        <v>1851</v>
      </c>
      <c r="H1901" s="15">
        <f t="shared" si="232"/>
        <v>3.3332641781299799E-2</v>
      </c>
      <c r="I1901">
        <f t="shared" si="233"/>
        <v>166.20488421012647</v>
      </c>
      <c r="J1901">
        <f t="shared" si="228"/>
        <v>497.46853139463229</v>
      </c>
      <c r="K1901" s="30">
        <f t="shared" si="229"/>
        <v>8249.1550383052527</v>
      </c>
    </row>
    <row r="1902" spans="1:11" x14ac:dyDescent="0.25">
      <c r="A1902" s="29">
        <v>1852</v>
      </c>
      <c r="B1902" s="99">
        <f t="shared" si="230"/>
        <v>0</v>
      </c>
      <c r="C1902" s="75">
        <f t="shared" si="234"/>
        <v>104.50616427295054</v>
      </c>
      <c r="D1902" s="100">
        <f t="shared" si="231"/>
        <v>445.77777777777789</v>
      </c>
      <c r="E1902">
        <f t="shared" si="227"/>
        <v>0</v>
      </c>
      <c r="G1902">
        <v>1852</v>
      </c>
      <c r="H1902" s="15">
        <f t="shared" si="232"/>
        <v>3.3332641781299799E-2</v>
      </c>
      <c r="I1902">
        <f t="shared" si="233"/>
        <v>166.23821685190777</v>
      </c>
      <c r="J1902">
        <f t="shared" si="228"/>
        <v>497.47827219984805</v>
      </c>
      <c r="K1902" s="30">
        <f t="shared" si="229"/>
        <v>8249.4778798474381</v>
      </c>
    </row>
    <row r="1903" spans="1:11" x14ac:dyDescent="0.25">
      <c r="A1903" s="29">
        <v>1853</v>
      </c>
      <c r="B1903" s="99">
        <f t="shared" si="230"/>
        <v>0</v>
      </c>
      <c r="C1903" s="75">
        <f t="shared" si="234"/>
        <v>104.50616427295054</v>
      </c>
      <c r="D1903" s="100">
        <f t="shared" si="231"/>
        <v>445.77777777777789</v>
      </c>
      <c r="E1903">
        <f t="shared" si="227"/>
        <v>0</v>
      </c>
      <c r="G1903">
        <v>1853</v>
      </c>
      <c r="H1903" s="15">
        <f t="shared" si="232"/>
        <v>3.3332641781299799E-2</v>
      </c>
      <c r="I1903">
        <f t="shared" si="233"/>
        <v>166.27154949368907</v>
      </c>
      <c r="J1903">
        <f t="shared" si="228"/>
        <v>497.48800048067648</v>
      </c>
      <c r="K1903" s="30">
        <f t="shared" si="229"/>
        <v>8249.8003123922535</v>
      </c>
    </row>
    <row r="1904" spans="1:11" x14ac:dyDescent="0.25">
      <c r="A1904" s="29">
        <v>1854</v>
      </c>
      <c r="B1904" s="99">
        <f t="shared" si="230"/>
        <v>0</v>
      </c>
      <c r="C1904" s="75">
        <f t="shared" si="234"/>
        <v>104.50616427295054</v>
      </c>
      <c r="D1904" s="100">
        <f t="shared" si="231"/>
        <v>445.77777777777789</v>
      </c>
      <c r="E1904">
        <f t="shared" si="227"/>
        <v>0</v>
      </c>
      <c r="G1904">
        <v>1854</v>
      </c>
      <c r="H1904" s="15">
        <f t="shared" si="232"/>
        <v>3.3332641781299799E-2</v>
      </c>
      <c r="I1904">
        <f t="shared" si="233"/>
        <v>166.30488213547036</v>
      </c>
      <c r="J1904">
        <f t="shared" si="228"/>
        <v>497.49771624091323</v>
      </c>
      <c r="K1904" s="30">
        <f t="shared" si="229"/>
        <v>8250.1223360411368</v>
      </c>
    </row>
    <row r="1905" spans="1:11" x14ac:dyDescent="0.25">
      <c r="A1905" s="29">
        <v>1855</v>
      </c>
      <c r="B1905" s="99">
        <f t="shared" si="230"/>
        <v>0</v>
      </c>
      <c r="C1905" s="75">
        <f t="shared" si="234"/>
        <v>104.50616427295054</v>
      </c>
      <c r="D1905" s="100">
        <f t="shared" si="231"/>
        <v>445.77777777777789</v>
      </c>
      <c r="E1905">
        <f t="shared" si="227"/>
        <v>0</v>
      </c>
      <c r="G1905">
        <v>1855</v>
      </c>
      <c r="H1905" s="15">
        <f t="shared" si="232"/>
        <v>3.3332641781299799E-2</v>
      </c>
      <c r="I1905">
        <f t="shared" si="233"/>
        <v>166.33821477725166</v>
      </c>
      <c r="J1905">
        <f t="shared" si="228"/>
        <v>497.50741948434779</v>
      </c>
      <c r="K1905" s="30">
        <f t="shared" si="229"/>
        <v>8250.4439508953492</v>
      </c>
    </row>
    <row r="1906" spans="1:11" x14ac:dyDescent="0.25">
      <c r="A1906" s="29">
        <v>1856</v>
      </c>
      <c r="B1906" s="99">
        <f t="shared" si="230"/>
        <v>0</v>
      </c>
      <c r="C1906" s="75">
        <f t="shared" si="234"/>
        <v>104.50616427295054</v>
      </c>
      <c r="D1906" s="100">
        <f t="shared" si="231"/>
        <v>445.77777777777789</v>
      </c>
      <c r="E1906">
        <f t="shared" si="227"/>
        <v>0</v>
      </c>
      <c r="G1906">
        <v>1856</v>
      </c>
      <c r="H1906" s="15">
        <f t="shared" si="232"/>
        <v>3.3332641781299799E-2</v>
      </c>
      <c r="I1906">
        <f t="shared" si="233"/>
        <v>166.37154741903296</v>
      </c>
      <c r="J1906">
        <f t="shared" si="228"/>
        <v>497.51711021476297</v>
      </c>
      <c r="K1906" s="30">
        <f t="shared" si="229"/>
        <v>8250.7651570559865</v>
      </c>
    </row>
    <row r="1907" spans="1:11" x14ac:dyDescent="0.25">
      <c r="A1907" s="29">
        <v>1857</v>
      </c>
      <c r="B1907" s="99">
        <f t="shared" si="230"/>
        <v>0</v>
      </c>
      <c r="C1907" s="75">
        <f t="shared" si="234"/>
        <v>104.50616427295054</v>
      </c>
      <c r="D1907" s="100">
        <f t="shared" si="231"/>
        <v>445.77777777777789</v>
      </c>
      <c r="E1907">
        <f t="shared" ref="E1907:E1970" si="235">((D1907^2)+(D1907*D1908)+(D1908^2))*B1908/3</f>
        <v>0</v>
      </c>
      <c r="G1907">
        <v>1857</v>
      </c>
      <c r="H1907" s="15">
        <f t="shared" si="232"/>
        <v>3.3332641781299799E-2</v>
      </c>
      <c r="I1907">
        <f t="shared" si="233"/>
        <v>166.40488006081426</v>
      </c>
      <c r="J1907">
        <f t="shared" ref="J1907:J1970" si="236">IF($G$28&lt;$C$14,0,((($C$11^2)-((I1907-$C$13)^2))^0.5)+$C$16)</f>
        <v>497.52678843593532</v>
      </c>
      <c r="K1907" s="30">
        <f t="shared" ref="K1907:K1970" si="237">((J1907^2)+(J1907*J1908)+(J1908^2))*H1908/3</f>
        <v>8251.0859546239699</v>
      </c>
    </row>
    <row r="1908" spans="1:11" x14ac:dyDescent="0.25">
      <c r="A1908" s="29">
        <v>1858</v>
      </c>
      <c r="B1908" s="99">
        <f t="shared" ref="B1908:B1971" si="238">C1908-C1907</f>
        <v>0</v>
      </c>
      <c r="C1908" s="75">
        <f t="shared" si="234"/>
        <v>104.50616427295054</v>
      </c>
      <c r="D1908" s="100">
        <f t="shared" ref="D1908:D1971" si="239">IF($G$28&lt;$C$14,0,((($C$11^2)-((C1908-$C$13)^2))^0.5)+$C$16)</f>
        <v>445.77777777777789</v>
      </c>
      <c r="E1908">
        <f t="shared" si="235"/>
        <v>0</v>
      </c>
      <c r="G1908">
        <v>1858</v>
      </c>
      <c r="H1908" s="15">
        <f t="shared" ref="H1908:H1971" si="240">I1908-I1907</f>
        <v>3.3332641781299799E-2</v>
      </c>
      <c r="I1908">
        <f t="shared" ref="I1908:I1971" si="241">($G$27-$C$14)/2000+I1907</f>
        <v>166.43821270259556</v>
      </c>
      <c r="J1908">
        <f t="shared" si="236"/>
        <v>497.53645415163498</v>
      </c>
      <c r="K1908" s="30">
        <f t="shared" si="237"/>
        <v>8251.4063437000495</v>
      </c>
    </row>
    <row r="1909" spans="1:11" x14ac:dyDescent="0.25">
      <c r="A1909" s="29">
        <v>1859</v>
      </c>
      <c r="B1909" s="99">
        <f t="shared" si="238"/>
        <v>0</v>
      </c>
      <c r="C1909" s="75">
        <f t="shared" si="234"/>
        <v>104.50616427295054</v>
      </c>
      <c r="D1909" s="100">
        <f t="shared" si="239"/>
        <v>445.77777777777789</v>
      </c>
      <c r="E1909">
        <f t="shared" si="235"/>
        <v>0</v>
      </c>
      <c r="G1909">
        <v>1859</v>
      </c>
      <c r="H1909" s="15">
        <f t="shared" si="240"/>
        <v>3.3332641781299799E-2</v>
      </c>
      <c r="I1909">
        <f t="shared" si="241"/>
        <v>166.47154534437686</v>
      </c>
      <c r="J1909">
        <f t="shared" si="236"/>
        <v>497.54610736562574</v>
      </c>
      <c r="K1909" s="30">
        <f t="shared" si="237"/>
        <v>8251.7263243848083</v>
      </c>
    </row>
    <row r="1910" spans="1:11" x14ac:dyDescent="0.25">
      <c r="A1910" s="29">
        <v>1860</v>
      </c>
      <c r="B1910" s="99">
        <f t="shared" si="238"/>
        <v>0</v>
      </c>
      <c r="C1910" s="75">
        <f t="shared" si="234"/>
        <v>104.50616427295054</v>
      </c>
      <c r="D1910" s="100">
        <f t="shared" si="239"/>
        <v>445.77777777777789</v>
      </c>
      <c r="E1910">
        <f t="shared" si="235"/>
        <v>0</v>
      </c>
      <c r="G1910">
        <v>1860</v>
      </c>
      <c r="H1910" s="15">
        <f t="shared" si="240"/>
        <v>3.3332641781299799E-2</v>
      </c>
      <c r="I1910">
        <f t="shared" si="241"/>
        <v>166.50487798615816</v>
      </c>
      <c r="J1910">
        <f t="shared" si="236"/>
        <v>497.555748081665</v>
      </c>
      <c r="K1910" s="30">
        <f t="shared" si="237"/>
        <v>8252.0458967786544</v>
      </c>
    </row>
    <row r="1911" spans="1:11" x14ac:dyDescent="0.25">
      <c r="A1911" s="29">
        <v>1861</v>
      </c>
      <c r="B1911" s="99">
        <f t="shared" si="238"/>
        <v>0</v>
      </c>
      <c r="C1911" s="75">
        <f t="shared" si="234"/>
        <v>104.50616427295054</v>
      </c>
      <c r="D1911" s="100">
        <f t="shared" si="239"/>
        <v>445.77777777777789</v>
      </c>
      <c r="E1911">
        <f t="shared" si="235"/>
        <v>0</v>
      </c>
      <c r="G1911">
        <v>1861</v>
      </c>
      <c r="H1911" s="15">
        <f t="shared" si="240"/>
        <v>3.3332641781299799E-2</v>
      </c>
      <c r="I1911">
        <f t="shared" si="241"/>
        <v>166.53821062793946</v>
      </c>
      <c r="J1911">
        <f t="shared" si="236"/>
        <v>497.56537630350368</v>
      </c>
      <c r="K1911" s="30">
        <f t="shared" si="237"/>
        <v>8252.3650609818269</v>
      </c>
    </row>
    <row r="1912" spans="1:11" x14ac:dyDescent="0.25">
      <c r="A1912" s="29">
        <v>1862</v>
      </c>
      <c r="B1912" s="99">
        <f t="shared" si="238"/>
        <v>0</v>
      </c>
      <c r="C1912" s="75">
        <f t="shared" si="234"/>
        <v>104.50616427295054</v>
      </c>
      <c r="D1912" s="100">
        <f t="shared" si="239"/>
        <v>445.77777777777789</v>
      </c>
      <c r="E1912">
        <f t="shared" si="235"/>
        <v>0</v>
      </c>
      <c r="G1912">
        <v>1862</v>
      </c>
      <c r="H1912" s="15">
        <f t="shared" si="240"/>
        <v>3.3332641781299799E-2</v>
      </c>
      <c r="I1912">
        <f t="shared" si="241"/>
        <v>166.57154326972076</v>
      </c>
      <c r="J1912">
        <f t="shared" si="236"/>
        <v>497.57499203488652</v>
      </c>
      <c r="K1912" s="30">
        <f t="shared" si="237"/>
        <v>8252.6838170943975</v>
      </c>
    </row>
    <row r="1913" spans="1:11" x14ac:dyDescent="0.25">
      <c r="A1913" s="29">
        <v>1863</v>
      </c>
      <c r="B1913" s="99">
        <f t="shared" si="238"/>
        <v>0</v>
      </c>
      <c r="C1913" s="75">
        <f t="shared" si="234"/>
        <v>104.50616427295054</v>
      </c>
      <c r="D1913" s="100">
        <f t="shared" si="239"/>
        <v>445.77777777777789</v>
      </c>
      <c r="E1913">
        <f t="shared" si="235"/>
        <v>0</v>
      </c>
      <c r="G1913">
        <v>1863</v>
      </c>
      <c r="H1913" s="15">
        <f t="shared" si="240"/>
        <v>3.3332641781299799E-2</v>
      </c>
      <c r="I1913">
        <f t="shared" si="241"/>
        <v>166.60487591150206</v>
      </c>
      <c r="J1913">
        <f t="shared" si="236"/>
        <v>497.58459527955176</v>
      </c>
      <c r="K1913" s="30">
        <f t="shared" si="237"/>
        <v>8253.0021652162686</v>
      </c>
    </row>
    <row r="1914" spans="1:11" x14ac:dyDescent="0.25">
      <c r="A1914" s="29">
        <v>1864</v>
      </c>
      <c r="B1914" s="99">
        <f t="shared" si="238"/>
        <v>0</v>
      </c>
      <c r="C1914" s="75">
        <f t="shared" si="234"/>
        <v>104.50616427295054</v>
      </c>
      <c r="D1914" s="100">
        <f t="shared" si="239"/>
        <v>445.77777777777789</v>
      </c>
      <c r="E1914">
        <f t="shared" si="235"/>
        <v>0</v>
      </c>
      <c r="G1914">
        <v>1864</v>
      </c>
      <c r="H1914" s="15">
        <f t="shared" si="240"/>
        <v>3.3332641781299799E-2</v>
      </c>
      <c r="I1914">
        <f t="shared" si="241"/>
        <v>166.63820855328336</v>
      </c>
      <c r="J1914">
        <f t="shared" si="236"/>
        <v>497.59418604123141</v>
      </c>
      <c r="K1914" s="30">
        <f t="shared" si="237"/>
        <v>8253.3201054471647</v>
      </c>
    </row>
    <row r="1915" spans="1:11" x14ac:dyDescent="0.25">
      <c r="A1915" s="29">
        <v>1865</v>
      </c>
      <c r="B1915" s="99">
        <f t="shared" si="238"/>
        <v>0</v>
      </c>
      <c r="C1915" s="75">
        <f t="shared" si="234"/>
        <v>104.50616427295054</v>
      </c>
      <c r="D1915" s="100">
        <f t="shared" si="239"/>
        <v>445.77777777777789</v>
      </c>
      <c r="E1915">
        <f t="shared" si="235"/>
        <v>0</v>
      </c>
      <c r="G1915">
        <v>1865</v>
      </c>
      <c r="H1915" s="15">
        <f t="shared" si="240"/>
        <v>3.3332641781299799E-2</v>
      </c>
      <c r="I1915">
        <f t="shared" si="241"/>
        <v>166.67154119506466</v>
      </c>
      <c r="J1915">
        <f t="shared" si="236"/>
        <v>497.60376432365098</v>
      </c>
      <c r="K1915" s="30">
        <f t="shared" si="237"/>
        <v>8253.6376378866516</v>
      </c>
    </row>
    <row r="1916" spans="1:11" x14ac:dyDescent="0.25">
      <c r="A1916" s="29">
        <v>1866</v>
      </c>
      <c r="B1916" s="99">
        <f t="shared" si="238"/>
        <v>0</v>
      </c>
      <c r="C1916" s="75">
        <f t="shared" si="234"/>
        <v>104.50616427295054</v>
      </c>
      <c r="D1916" s="100">
        <f t="shared" si="239"/>
        <v>445.77777777777789</v>
      </c>
      <c r="E1916">
        <f t="shared" si="235"/>
        <v>0</v>
      </c>
      <c r="G1916">
        <v>1866</v>
      </c>
      <c r="H1916" s="15">
        <f t="shared" si="240"/>
        <v>3.3332641781299799E-2</v>
      </c>
      <c r="I1916">
        <f t="shared" si="241"/>
        <v>166.70487383684596</v>
      </c>
      <c r="J1916">
        <f t="shared" si="236"/>
        <v>497.6133301305299</v>
      </c>
      <c r="K1916" s="30">
        <f t="shared" si="237"/>
        <v>8253.9547626341209</v>
      </c>
    </row>
    <row r="1917" spans="1:11" x14ac:dyDescent="0.25">
      <c r="A1917" s="29">
        <v>1867</v>
      </c>
      <c r="B1917" s="99">
        <f t="shared" si="238"/>
        <v>0</v>
      </c>
      <c r="C1917" s="75">
        <f t="shared" si="234"/>
        <v>104.50616427295054</v>
      </c>
      <c r="D1917" s="100">
        <f t="shared" si="239"/>
        <v>445.77777777777789</v>
      </c>
      <c r="E1917">
        <f t="shared" si="235"/>
        <v>0</v>
      </c>
      <c r="G1917">
        <v>1867</v>
      </c>
      <c r="H1917" s="15">
        <f t="shared" si="240"/>
        <v>3.3332641781299799E-2</v>
      </c>
      <c r="I1917">
        <f t="shared" si="241"/>
        <v>166.73820647862726</v>
      </c>
      <c r="J1917">
        <f t="shared" si="236"/>
        <v>497.62288346558114</v>
      </c>
      <c r="K1917" s="30">
        <f t="shared" si="237"/>
        <v>8254.2714797887947</v>
      </c>
    </row>
    <row r="1918" spans="1:11" x14ac:dyDescent="0.25">
      <c r="A1918" s="29">
        <v>1868</v>
      </c>
      <c r="B1918" s="99">
        <f t="shared" si="238"/>
        <v>0</v>
      </c>
      <c r="C1918" s="75">
        <f t="shared" si="234"/>
        <v>104.50616427295054</v>
      </c>
      <c r="D1918" s="100">
        <f t="shared" si="239"/>
        <v>445.77777777777789</v>
      </c>
      <c r="E1918">
        <f t="shared" si="235"/>
        <v>0</v>
      </c>
      <c r="G1918">
        <v>1868</v>
      </c>
      <c r="H1918" s="15">
        <f t="shared" si="240"/>
        <v>3.3332641781299799E-2</v>
      </c>
      <c r="I1918">
        <f t="shared" si="241"/>
        <v>166.77153912040856</v>
      </c>
      <c r="J1918">
        <f t="shared" si="236"/>
        <v>497.63242433251122</v>
      </c>
      <c r="K1918" s="30">
        <f t="shared" si="237"/>
        <v>8254.5877894497262</v>
      </c>
    </row>
    <row r="1919" spans="1:11" x14ac:dyDescent="0.25">
      <c r="A1919" s="29">
        <v>1869</v>
      </c>
      <c r="B1919" s="99">
        <f t="shared" si="238"/>
        <v>0</v>
      </c>
      <c r="C1919" s="75">
        <f t="shared" si="234"/>
        <v>104.50616427295054</v>
      </c>
      <c r="D1919" s="100">
        <f t="shared" si="239"/>
        <v>445.77777777777789</v>
      </c>
      <c r="E1919">
        <f t="shared" si="235"/>
        <v>0</v>
      </c>
      <c r="G1919">
        <v>1869</v>
      </c>
      <c r="H1919" s="15">
        <f t="shared" si="240"/>
        <v>3.3332641781299799E-2</v>
      </c>
      <c r="I1919">
        <f t="shared" si="241"/>
        <v>166.80487176218986</v>
      </c>
      <c r="J1919">
        <f t="shared" si="236"/>
        <v>497.64195273502065</v>
      </c>
      <c r="K1919" s="30">
        <f t="shared" si="237"/>
        <v>8254.9036917158064</v>
      </c>
    </row>
    <row r="1920" spans="1:11" x14ac:dyDescent="0.25">
      <c r="A1920" s="29">
        <v>1870</v>
      </c>
      <c r="B1920" s="99">
        <f t="shared" si="238"/>
        <v>0</v>
      </c>
      <c r="C1920" s="75">
        <f t="shared" si="234"/>
        <v>104.50616427295054</v>
      </c>
      <c r="D1920" s="100">
        <f t="shared" si="239"/>
        <v>445.77777777777789</v>
      </c>
      <c r="E1920">
        <f t="shared" si="235"/>
        <v>0</v>
      </c>
      <c r="G1920">
        <v>1870</v>
      </c>
      <c r="H1920" s="15">
        <f t="shared" si="240"/>
        <v>3.3332641781299799E-2</v>
      </c>
      <c r="I1920">
        <f t="shared" si="241"/>
        <v>166.83820440397116</v>
      </c>
      <c r="J1920">
        <f t="shared" si="236"/>
        <v>497.65146867680346</v>
      </c>
      <c r="K1920" s="30">
        <f t="shared" si="237"/>
        <v>8255.2191866857502</v>
      </c>
    </row>
    <row r="1921" spans="1:11" x14ac:dyDescent="0.25">
      <c r="A1921" s="29">
        <v>1871</v>
      </c>
      <c r="B1921" s="99">
        <f t="shared" si="238"/>
        <v>0</v>
      </c>
      <c r="C1921" s="75">
        <f t="shared" si="234"/>
        <v>104.50616427295054</v>
      </c>
      <c r="D1921" s="100">
        <f t="shared" si="239"/>
        <v>445.77777777777789</v>
      </c>
      <c r="E1921">
        <f t="shared" si="235"/>
        <v>0</v>
      </c>
      <c r="G1921">
        <v>1871</v>
      </c>
      <c r="H1921" s="15">
        <f t="shared" si="240"/>
        <v>3.3332641781299799E-2</v>
      </c>
      <c r="I1921">
        <f t="shared" si="241"/>
        <v>166.87153704575246</v>
      </c>
      <c r="J1921">
        <f t="shared" si="236"/>
        <v>497.66097216154736</v>
      </c>
      <c r="K1921" s="30">
        <f t="shared" si="237"/>
        <v>8255.5342744581048</v>
      </c>
    </row>
    <row r="1922" spans="1:11" x14ac:dyDescent="0.25">
      <c r="A1922" s="29">
        <v>1872</v>
      </c>
      <c r="B1922" s="99">
        <f t="shared" si="238"/>
        <v>0</v>
      </c>
      <c r="C1922" s="75">
        <f t="shared" si="234"/>
        <v>104.50616427295054</v>
      </c>
      <c r="D1922" s="100">
        <f t="shared" si="239"/>
        <v>445.77777777777789</v>
      </c>
      <c r="E1922">
        <f t="shared" si="235"/>
        <v>0</v>
      </c>
      <c r="G1922">
        <v>1872</v>
      </c>
      <c r="H1922" s="15">
        <f t="shared" si="240"/>
        <v>3.3332641781299799E-2</v>
      </c>
      <c r="I1922">
        <f t="shared" si="241"/>
        <v>166.90486968753376</v>
      </c>
      <c r="J1922">
        <f t="shared" si="236"/>
        <v>497.67046319293394</v>
      </c>
      <c r="K1922" s="30">
        <f t="shared" si="237"/>
        <v>8255.8489551312578</v>
      </c>
    </row>
    <row r="1923" spans="1:11" x14ac:dyDescent="0.25">
      <c r="A1923" s="29">
        <v>1873</v>
      </c>
      <c r="B1923" s="99">
        <f t="shared" si="238"/>
        <v>0</v>
      </c>
      <c r="C1923" s="75">
        <f t="shared" si="234"/>
        <v>104.50616427295054</v>
      </c>
      <c r="D1923" s="100">
        <f t="shared" si="239"/>
        <v>445.77777777777789</v>
      </c>
      <c r="E1923">
        <f t="shared" si="235"/>
        <v>0</v>
      </c>
      <c r="G1923">
        <v>1873</v>
      </c>
      <c r="H1923" s="15">
        <f t="shared" si="240"/>
        <v>3.3332641781299799E-2</v>
      </c>
      <c r="I1923">
        <f t="shared" si="241"/>
        <v>166.93820232931506</v>
      </c>
      <c r="J1923">
        <f t="shared" si="236"/>
        <v>497.67994177463834</v>
      </c>
      <c r="K1923" s="30">
        <f t="shared" si="237"/>
        <v>8256.163228803418</v>
      </c>
    </row>
    <row r="1924" spans="1:11" x14ac:dyDescent="0.25">
      <c r="A1924" s="29">
        <v>1874</v>
      </c>
      <c r="B1924" s="99">
        <f t="shared" si="238"/>
        <v>0</v>
      </c>
      <c r="C1924" s="75">
        <f t="shared" si="234"/>
        <v>104.50616427295054</v>
      </c>
      <c r="D1924" s="100">
        <f t="shared" si="239"/>
        <v>445.77777777777789</v>
      </c>
      <c r="E1924">
        <f t="shared" si="235"/>
        <v>0</v>
      </c>
      <c r="G1924">
        <v>1874</v>
      </c>
      <c r="H1924" s="15">
        <f t="shared" si="240"/>
        <v>3.3332641781299799E-2</v>
      </c>
      <c r="I1924">
        <f t="shared" si="241"/>
        <v>166.97153497109636</v>
      </c>
      <c r="J1924">
        <f t="shared" si="236"/>
        <v>497.68940791032963</v>
      </c>
      <c r="K1924" s="30">
        <f t="shared" si="237"/>
        <v>8256.4770955726362</v>
      </c>
    </row>
    <row r="1925" spans="1:11" x14ac:dyDescent="0.25">
      <c r="A1925" s="29">
        <v>1875</v>
      </c>
      <c r="B1925" s="99">
        <f t="shared" si="238"/>
        <v>0</v>
      </c>
      <c r="C1925" s="75">
        <f t="shared" si="234"/>
        <v>104.50616427295054</v>
      </c>
      <c r="D1925" s="100">
        <f t="shared" si="239"/>
        <v>445.77777777777789</v>
      </c>
      <c r="E1925">
        <f t="shared" si="235"/>
        <v>0</v>
      </c>
      <c r="G1925">
        <v>1875</v>
      </c>
      <c r="H1925" s="15">
        <f t="shared" si="240"/>
        <v>3.3332641781299799E-2</v>
      </c>
      <c r="I1925">
        <f t="shared" si="241"/>
        <v>167.00486761287766</v>
      </c>
      <c r="J1925">
        <f t="shared" si="236"/>
        <v>497.69886160367042</v>
      </c>
      <c r="K1925" s="30">
        <f t="shared" si="237"/>
        <v>8256.7905555367906</v>
      </c>
    </row>
    <row r="1926" spans="1:11" x14ac:dyDescent="0.25">
      <c r="A1926" s="29">
        <v>1876</v>
      </c>
      <c r="B1926" s="99">
        <f t="shared" si="238"/>
        <v>0</v>
      </c>
      <c r="C1926" s="75">
        <f t="shared" si="234"/>
        <v>104.50616427295054</v>
      </c>
      <c r="D1926" s="100">
        <f t="shared" si="239"/>
        <v>445.77777777777789</v>
      </c>
      <c r="E1926">
        <f t="shared" si="235"/>
        <v>0</v>
      </c>
      <c r="G1926">
        <v>1876</v>
      </c>
      <c r="H1926" s="15">
        <f t="shared" si="240"/>
        <v>3.3332641781299799E-2</v>
      </c>
      <c r="I1926">
        <f t="shared" si="241"/>
        <v>167.03820025465896</v>
      </c>
      <c r="J1926">
        <f t="shared" si="236"/>
        <v>497.70830285831721</v>
      </c>
      <c r="K1926" s="30">
        <f t="shared" si="237"/>
        <v>8257.1036087935918</v>
      </c>
    </row>
    <row r="1927" spans="1:11" x14ac:dyDescent="0.25">
      <c r="A1927" s="29">
        <v>1877</v>
      </c>
      <c r="B1927" s="99">
        <f t="shared" si="238"/>
        <v>0</v>
      </c>
      <c r="C1927" s="75">
        <f t="shared" si="234"/>
        <v>104.50616427295054</v>
      </c>
      <c r="D1927" s="100">
        <f t="shared" si="239"/>
        <v>445.77777777777789</v>
      </c>
      <c r="E1927">
        <f t="shared" si="235"/>
        <v>0</v>
      </c>
      <c r="G1927">
        <v>1877</v>
      </c>
      <c r="H1927" s="15">
        <f t="shared" si="240"/>
        <v>3.3332641781299799E-2</v>
      </c>
      <c r="I1927">
        <f t="shared" si="241"/>
        <v>167.07153289644026</v>
      </c>
      <c r="J1927">
        <f t="shared" si="236"/>
        <v>497.7177316779202</v>
      </c>
      <c r="K1927" s="30">
        <f t="shared" si="237"/>
        <v>8257.4162554405866</v>
      </c>
    </row>
    <row r="1928" spans="1:11" x14ac:dyDescent="0.25">
      <c r="A1928" s="29">
        <v>1878</v>
      </c>
      <c r="B1928" s="99">
        <f t="shared" si="238"/>
        <v>0</v>
      </c>
      <c r="C1928" s="75">
        <f t="shared" si="234"/>
        <v>104.50616427295054</v>
      </c>
      <c r="D1928" s="100">
        <f t="shared" si="239"/>
        <v>445.77777777777789</v>
      </c>
      <c r="E1928">
        <f t="shared" si="235"/>
        <v>0</v>
      </c>
      <c r="G1928">
        <v>1878</v>
      </c>
      <c r="H1928" s="15">
        <f t="shared" si="240"/>
        <v>3.3332641781299799E-2</v>
      </c>
      <c r="I1928">
        <f t="shared" si="241"/>
        <v>167.10486553822156</v>
      </c>
      <c r="J1928">
        <f t="shared" si="236"/>
        <v>497.72714806612339</v>
      </c>
      <c r="K1928" s="30">
        <f t="shared" si="237"/>
        <v>8257.7284955751584</v>
      </c>
    </row>
    <row r="1929" spans="1:11" x14ac:dyDescent="0.25">
      <c r="A1929" s="29">
        <v>1879</v>
      </c>
      <c r="B1929" s="99">
        <f t="shared" si="238"/>
        <v>0</v>
      </c>
      <c r="C1929" s="75">
        <f t="shared" si="234"/>
        <v>104.50616427295054</v>
      </c>
      <c r="D1929" s="100">
        <f t="shared" si="239"/>
        <v>445.77777777777789</v>
      </c>
      <c r="E1929">
        <f t="shared" si="235"/>
        <v>0</v>
      </c>
      <c r="G1929">
        <v>1879</v>
      </c>
      <c r="H1929" s="15">
        <f t="shared" si="240"/>
        <v>3.3332641781299799E-2</v>
      </c>
      <c r="I1929">
        <f t="shared" si="241"/>
        <v>167.13819818000286</v>
      </c>
      <c r="J1929">
        <f t="shared" si="236"/>
        <v>497.73655202656454</v>
      </c>
      <c r="K1929" s="30">
        <f t="shared" si="237"/>
        <v>8258.0403292945139</v>
      </c>
    </row>
    <row r="1930" spans="1:11" x14ac:dyDescent="0.25">
      <c r="A1930" s="29">
        <v>1880</v>
      </c>
      <c r="B1930" s="99">
        <f t="shared" si="238"/>
        <v>0</v>
      </c>
      <c r="C1930" s="75">
        <f t="shared" si="234"/>
        <v>104.50616427295054</v>
      </c>
      <c r="D1930" s="100">
        <f t="shared" si="239"/>
        <v>445.77777777777789</v>
      </c>
      <c r="E1930">
        <f t="shared" si="235"/>
        <v>0</v>
      </c>
      <c r="G1930">
        <v>1880</v>
      </c>
      <c r="H1930" s="15">
        <f t="shared" si="240"/>
        <v>3.3332641781299799E-2</v>
      </c>
      <c r="I1930">
        <f t="shared" si="241"/>
        <v>167.17153082178416</v>
      </c>
      <c r="J1930">
        <f t="shared" si="236"/>
        <v>497.74594356287514</v>
      </c>
      <c r="K1930" s="30">
        <f t="shared" si="237"/>
        <v>8258.3517566957016</v>
      </c>
    </row>
    <row r="1931" spans="1:11" x14ac:dyDescent="0.25">
      <c r="A1931" s="29">
        <v>1881</v>
      </c>
      <c r="B1931" s="99">
        <f t="shared" si="238"/>
        <v>0</v>
      </c>
      <c r="C1931" s="75">
        <f t="shared" si="234"/>
        <v>104.50616427295054</v>
      </c>
      <c r="D1931" s="100">
        <f t="shared" si="239"/>
        <v>445.77777777777789</v>
      </c>
      <c r="E1931">
        <f t="shared" si="235"/>
        <v>0</v>
      </c>
      <c r="G1931">
        <v>1881</v>
      </c>
      <c r="H1931" s="15">
        <f t="shared" si="240"/>
        <v>3.3332641781299799E-2</v>
      </c>
      <c r="I1931">
        <f t="shared" si="241"/>
        <v>167.20486346356546</v>
      </c>
      <c r="J1931">
        <f t="shared" si="236"/>
        <v>497.75532267868061</v>
      </c>
      <c r="K1931" s="30">
        <f t="shared" si="237"/>
        <v>8258.6627778756028</v>
      </c>
    </row>
    <row r="1932" spans="1:11" x14ac:dyDescent="0.25">
      <c r="A1932" s="29">
        <v>1882</v>
      </c>
      <c r="B1932" s="99">
        <f t="shared" si="238"/>
        <v>0</v>
      </c>
      <c r="C1932" s="75">
        <f t="shared" si="234"/>
        <v>104.50616427295054</v>
      </c>
      <c r="D1932" s="100">
        <f t="shared" si="239"/>
        <v>445.77777777777789</v>
      </c>
      <c r="E1932">
        <f t="shared" si="235"/>
        <v>0</v>
      </c>
      <c r="G1932">
        <v>1882</v>
      </c>
      <c r="H1932" s="15">
        <f t="shared" si="240"/>
        <v>3.3332641781299799E-2</v>
      </c>
      <c r="I1932">
        <f t="shared" si="241"/>
        <v>167.23819610534676</v>
      </c>
      <c r="J1932">
        <f t="shared" si="236"/>
        <v>497.76468937760001</v>
      </c>
      <c r="K1932" s="30">
        <f t="shared" si="237"/>
        <v>8258.9733929309314</v>
      </c>
    </row>
    <row r="1933" spans="1:11" x14ac:dyDescent="0.25">
      <c r="A1933" s="29">
        <v>1883</v>
      </c>
      <c r="B1933" s="99">
        <f t="shared" si="238"/>
        <v>0</v>
      </c>
      <c r="C1933" s="75">
        <f t="shared" si="234"/>
        <v>104.50616427295054</v>
      </c>
      <c r="D1933" s="100">
        <f t="shared" si="239"/>
        <v>445.77777777777789</v>
      </c>
      <c r="E1933">
        <f t="shared" si="235"/>
        <v>0</v>
      </c>
      <c r="G1933">
        <v>1883</v>
      </c>
      <c r="H1933" s="15">
        <f t="shared" si="240"/>
        <v>3.3332641781299799E-2</v>
      </c>
      <c r="I1933">
        <f t="shared" si="241"/>
        <v>167.27152874712806</v>
      </c>
      <c r="J1933">
        <f t="shared" si="236"/>
        <v>497.77404366324629</v>
      </c>
      <c r="K1933" s="30">
        <f t="shared" si="237"/>
        <v>8259.2836019582373</v>
      </c>
    </row>
    <row r="1934" spans="1:11" x14ac:dyDescent="0.25">
      <c r="A1934" s="29">
        <v>1884</v>
      </c>
      <c r="B1934" s="99">
        <f t="shared" si="238"/>
        <v>0</v>
      </c>
      <c r="C1934" s="75">
        <f t="shared" si="234"/>
        <v>104.50616427295054</v>
      </c>
      <c r="D1934" s="100">
        <f t="shared" si="239"/>
        <v>445.77777777777789</v>
      </c>
      <c r="E1934">
        <f t="shared" si="235"/>
        <v>0</v>
      </c>
      <c r="G1934">
        <v>1884</v>
      </c>
      <c r="H1934" s="15">
        <f t="shared" si="240"/>
        <v>3.3332641781299799E-2</v>
      </c>
      <c r="I1934">
        <f t="shared" si="241"/>
        <v>167.30486138890936</v>
      </c>
      <c r="J1934">
        <f t="shared" si="236"/>
        <v>497.78338553922623</v>
      </c>
      <c r="K1934" s="30">
        <f t="shared" si="237"/>
        <v>8259.5934050539054</v>
      </c>
    </row>
    <row r="1935" spans="1:11" x14ac:dyDescent="0.25">
      <c r="A1935" s="29">
        <v>1885</v>
      </c>
      <c r="B1935" s="99">
        <f t="shared" si="238"/>
        <v>0</v>
      </c>
      <c r="C1935" s="75">
        <f t="shared" si="234"/>
        <v>104.50616427295054</v>
      </c>
      <c r="D1935" s="100">
        <f t="shared" si="239"/>
        <v>445.77777777777789</v>
      </c>
      <c r="E1935">
        <f t="shared" si="235"/>
        <v>0</v>
      </c>
      <c r="G1935">
        <v>1885</v>
      </c>
      <c r="H1935" s="15">
        <f t="shared" si="240"/>
        <v>3.3332641781299799E-2</v>
      </c>
      <c r="I1935">
        <f t="shared" si="241"/>
        <v>167.33819403069066</v>
      </c>
      <c r="J1935">
        <f t="shared" si="236"/>
        <v>497.79271500914035</v>
      </c>
      <c r="K1935" s="30">
        <f t="shared" si="237"/>
        <v>8259.9028023141545</v>
      </c>
    </row>
    <row r="1936" spans="1:11" x14ac:dyDescent="0.25">
      <c r="A1936" s="29">
        <v>1886</v>
      </c>
      <c r="B1936" s="99">
        <f t="shared" si="238"/>
        <v>0</v>
      </c>
      <c r="C1936" s="75">
        <f t="shared" ref="C1936:C1999" si="242">($C$37-$C$36)/2000+C1935</f>
        <v>104.50616427295054</v>
      </c>
      <c r="D1936" s="100">
        <f t="shared" si="239"/>
        <v>445.77777777777789</v>
      </c>
      <c r="E1936">
        <f t="shared" si="235"/>
        <v>0</v>
      </c>
      <c r="G1936">
        <v>1886</v>
      </c>
      <c r="H1936" s="15">
        <f t="shared" si="240"/>
        <v>3.3332641781299799E-2</v>
      </c>
      <c r="I1936">
        <f t="shared" si="241"/>
        <v>167.37152667247196</v>
      </c>
      <c r="J1936">
        <f t="shared" si="236"/>
        <v>497.80203207658309</v>
      </c>
      <c r="K1936" s="30">
        <f t="shared" si="237"/>
        <v>8260.2117938350366</v>
      </c>
    </row>
    <row r="1937" spans="1:11" x14ac:dyDescent="0.25">
      <c r="A1937" s="29">
        <v>1887</v>
      </c>
      <c r="B1937" s="99">
        <f t="shared" si="238"/>
        <v>0</v>
      </c>
      <c r="C1937" s="75">
        <f t="shared" si="242"/>
        <v>104.50616427295054</v>
      </c>
      <c r="D1937" s="100">
        <f t="shared" si="239"/>
        <v>445.77777777777789</v>
      </c>
      <c r="E1937">
        <f t="shared" si="235"/>
        <v>0</v>
      </c>
      <c r="G1937">
        <v>1887</v>
      </c>
      <c r="H1937" s="15">
        <f t="shared" si="240"/>
        <v>3.3332641781299799E-2</v>
      </c>
      <c r="I1937">
        <f t="shared" si="241"/>
        <v>167.40485931425326</v>
      </c>
      <c r="J1937">
        <f t="shared" si="236"/>
        <v>497.81133674514263</v>
      </c>
      <c r="K1937" s="30">
        <f t="shared" si="237"/>
        <v>8260.5203797124395</v>
      </c>
    </row>
    <row r="1938" spans="1:11" x14ac:dyDescent="0.25">
      <c r="A1938" s="29">
        <v>1888</v>
      </c>
      <c r="B1938" s="99">
        <f t="shared" si="238"/>
        <v>0</v>
      </c>
      <c r="C1938" s="75">
        <f t="shared" si="242"/>
        <v>104.50616427295054</v>
      </c>
      <c r="D1938" s="100">
        <f t="shared" si="239"/>
        <v>445.77777777777789</v>
      </c>
      <c r="E1938">
        <f t="shared" si="235"/>
        <v>0</v>
      </c>
      <c r="G1938">
        <v>1888</v>
      </c>
      <c r="H1938" s="15">
        <f t="shared" si="240"/>
        <v>3.3332641781299799E-2</v>
      </c>
      <c r="I1938">
        <f t="shared" si="241"/>
        <v>167.43819195603456</v>
      </c>
      <c r="J1938">
        <f t="shared" si="236"/>
        <v>497.82062901840106</v>
      </c>
      <c r="K1938" s="30">
        <f t="shared" si="237"/>
        <v>8260.8285600420895</v>
      </c>
    </row>
    <row r="1939" spans="1:11" x14ac:dyDescent="0.25">
      <c r="A1939" s="29">
        <v>1889</v>
      </c>
      <c r="B1939" s="99">
        <f t="shared" si="238"/>
        <v>0</v>
      </c>
      <c r="C1939" s="75">
        <f t="shared" si="242"/>
        <v>104.50616427295054</v>
      </c>
      <c r="D1939" s="100">
        <f t="shared" si="239"/>
        <v>445.77777777777789</v>
      </c>
      <c r="E1939">
        <f t="shared" si="235"/>
        <v>0</v>
      </c>
      <c r="G1939">
        <v>1889</v>
      </c>
      <c r="H1939" s="15">
        <f t="shared" si="240"/>
        <v>3.3332641781299799E-2</v>
      </c>
      <c r="I1939">
        <f t="shared" si="241"/>
        <v>167.47152459781586</v>
      </c>
      <c r="J1939">
        <f t="shared" si="236"/>
        <v>497.82990889993437</v>
      </c>
      <c r="K1939" s="30">
        <f t="shared" si="237"/>
        <v>8261.1363349195472</v>
      </c>
    </row>
    <row r="1940" spans="1:11" x14ac:dyDescent="0.25">
      <c r="A1940" s="29">
        <v>1890</v>
      </c>
      <c r="B1940" s="99">
        <f t="shared" si="238"/>
        <v>0</v>
      </c>
      <c r="C1940" s="75">
        <f t="shared" si="242"/>
        <v>104.50616427295054</v>
      </c>
      <c r="D1940" s="100">
        <f t="shared" si="239"/>
        <v>445.77777777777789</v>
      </c>
      <c r="E1940">
        <f t="shared" si="235"/>
        <v>0</v>
      </c>
      <c r="G1940">
        <v>1890</v>
      </c>
      <c r="H1940" s="15">
        <f t="shared" si="240"/>
        <v>3.3332641781299799E-2</v>
      </c>
      <c r="I1940">
        <f t="shared" si="241"/>
        <v>167.50485723959716</v>
      </c>
      <c r="J1940">
        <f t="shared" si="236"/>
        <v>497.8391763933123</v>
      </c>
      <c r="K1940" s="30">
        <f t="shared" si="237"/>
        <v>8261.4437044402057</v>
      </c>
    </row>
    <row r="1941" spans="1:11" x14ac:dyDescent="0.25">
      <c r="A1941" s="29">
        <v>1891</v>
      </c>
      <c r="B1941" s="99">
        <f t="shared" si="238"/>
        <v>0</v>
      </c>
      <c r="C1941" s="75">
        <f t="shared" si="242"/>
        <v>104.50616427295054</v>
      </c>
      <c r="D1941" s="100">
        <f t="shared" si="239"/>
        <v>445.77777777777789</v>
      </c>
      <c r="E1941">
        <f t="shared" si="235"/>
        <v>0</v>
      </c>
      <c r="G1941">
        <v>1891</v>
      </c>
      <c r="H1941" s="15">
        <f t="shared" si="240"/>
        <v>3.3332641781299799E-2</v>
      </c>
      <c r="I1941">
        <f t="shared" si="241"/>
        <v>167.53818988137846</v>
      </c>
      <c r="J1941">
        <f t="shared" si="236"/>
        <v>497.84843150209849</v>
      </c>
      <c r="K1941" s="30">
        <f t="shared" si="237"/>
        <v>8261.7506686993001</v>
      </c>
    </row>
    <row r="1942" spans="1:11" x14ac:dyDescent="0.25">
      <c r="A1942" s="29">
        <v>1892</v>
      </c>
      <c r="B1942" s="99">
        <f t="shared" si="238"/>
        <v>0</v>
      </c>
      <c r="C1942" s="75">
        <f t="shared" si="242"/>
        <v>104.50616427295054</v>
      </c>
      <c r="D1942" s="100">
        <f t="shared" si="239"/>
        <v>445.77777777777789</v>
      </c>
      <c r="E1942">
        <f t="shared" si="235"/>
        <v>0</v>
      </c>
      <c r="G1942">
        <v>1892</v>
      </c>
      <c r="H1942" s="15">
        <f t="shared" si="240"/>
        <v>3.3332641781299799E-2</v>
      </c>
      <c r="I1942">
        <f t="shared" si="241"/>
        <v>167.57152252315976</v>
      </c>
      <c r="J1942">
        <f t="shared" si="236"/>
        <v>497.85767422985055</v>
      </c>
      <c r="K1942" s="30">
        <f t="shared" si="237"/>
        <v>8262.0572277919</v>
      </c>
    </row>
    <row r="1943" spans="1:11" x14ac:dyDescent="0.25">
      <c r="A1943" s="29">
        <v>1893</v>
      </c>
      <c r="B1943" s="99">
        <f t="shared" si="238"/>
        <v>0</v>
      </c>
      <c r="C1943" s="75">
        <f t="shared" si="242"/>
        <v>104.50616427295054</v>
      </c>
      <c r="D1943" s="100">
        <f t="shared" si="239"/>
        <v>445.77777777777789</v>
      </c>
      <c r="E1943">
        <f t="shared" si="235"/>
        <v>0</v>
      </c>
      <c r="G1943">
        <v>1893</v>
      </c>
      <c r="H1943" s="15">
        <f t="shared" si="240"/>
        <v>3.3332641781299799E-2</v>
      </c>
      <c r="I1943">
        <f t="shared" si="241"/>
        <v>167.60485516494106</v>
      </c>
      <c r="J1943">
        <f t="shared" si="236"/>
        <v>497.86690458011975</v>
      </c>
      <c r="K1943" s="30">
        <f t="shared" si="237"/>
        <v>8262.3633818129038</v>
      </c>
    </row>
    <row r="1944" spans="1:11" x14ac:dyDescent="0.25">
      <c r="A1944" s="29">
        <v>1894</v>
      </c>
      <c r="B1944" s="99">
        <f t="shared" si="238"/>
        <v>0</v>
      </c>
      <c r="C1944" s="75">
        <f t="shared" si="242"/>
        <v>104.50616427295054</v>
      </c>
      <c r="D1944" s="100">
        <f t="shared" si="239"/>
        <v>445.77777777777789</v>
      </c>
      <c r="E1944">
        <f t="shared" si="235"/>
        <v>0</v>
      </c>
      <c r="G1944">
        <v>1894</v>
      </c>
      <c r="H1944" s="15">
        <f t="shared" si="240"/>
        <v>3.3332641781299799E-2</v>
      </c>
      <c r="I1944">
        <f t="shared" si="241"/>
        <v>167.63818780672236</v>
      </c>
      <c r="J1944">
        <f t="shared" si="236"/>
        <v>497.87612255645143</v>
      </c>
      <c r="K1944" s="30">
        <f t="shared" si="237"/>
        <v>8262.6691308570571</v>
      </c>
    </row>
    <row r="1945" spans="1:11" x14ac:dyDescent="0.25">
      <c r="A1945" s="29">
        <v>1895</v>
      </c>
      <c r="B1945" s="99">
        <f t="shared" si="238"/>
        <v>0</v>
      </c>
      <c r="C1945" s="75">
        <f t="shared" si="242"/>
        <v>104.50616427295054</v>
      </c>
      <c r="D1945" s="100">
        <f t="shared" si="239"/>
        <v>445.77777777777789</v>
      </c>
      <c r="E1945">
        <f t="shared" si="235"/>
        <v>0</v>
      </c>
      <c r="G1945">
        <v>1895</v>
      </c>
      <c r="H1945" s="15">
        <f t="shared" si="240"/>
        <v>3.3332641781299799E-2</v>
      </c>
      <c r="I1945">
        <f t="shared" si="241"/>
        <v>167.67152044850366</v>
      </c>
      <c r="J1945">
        <f t="shared" si="236"/>
        <v>497.88532816238489</v>
      </c>
      <c r="K1945" s="30">
        <f t="shared" si="237"/>
        <v>8262.9744750189366</v>
      </c>
    </row>
    <row r="1946" spans="1:11" x14ac:dyDescent="0.25">
      <c r="A1946" s="29">
        <v>1896</v>
      </c>
      <c r="B1946" s="99">
        <f t="shared" si="238"/>
        <v>0</v>
      </c>
      <c r="C1946" s="75">
        <f t="shared" si="242"/>
        <v>104.50616427295054</v>
      </c>
      <c r="D1946" s="100">
        <f t="shared" si="239"/>
        <v>445.77777777777789</v>
      </c>
      <c r="E1946">
        <f t="shared" si="235"/>
        <v>0</v>
      </c>
      <c r="G1946">
        <v>1896</v>
      </c>
      <c r="H1946" s="15">
        <f t="shared" si="240"/>
        <v>3.3332641781299799E-2</v>
      </c>
      <c r="I1946">
        <f t="shared" si="241"/>
        <v>167.70485309028496</v>
      </c>
      <c r="J1946">
        <f t="shared" si="236"/>
        <v>497.89452140145306</v>
      </c>
      <c r="K1946" s="30">
        <f t="shared" si="237"/>
        <v>8263.2794143929605</v>
      </c>
    </row>
    <row r="1947" spans="1:11" x14ac:dyDescent="0.25">
      <c r="A1947" s="29">
        <v>1897</v>
      </c>
      <c r="B1947" s="99">
        <f t="shared" si="238"/>
        <v>0</v>
      </c>
      <c r="C1947" s="75">
        <f t="shared" si="242"/>
        <v>104.50616427295054</v>
      </c>
      <c r="D1947" s="100">
        <f t="shared" si="239"/>
        <v>445.77777777777789</v>
      </c>
      <c r="E1947">
        <f t="shared" si="235"/>
        <v>0</v>
      </c>
      <c r="G1947">
        <v>1897</v>
      </c>
      <c r="H1947" s="15">
        <f t="shared" si="240"/>
        <v>3.3332641781299799E-2</v>
      </c>
      <c r="I1947">
        <f t="shared" si="241"/>
        <v>167.73818573206626</v>
      </c>
      <c r="J1947">
        <f t="shared" si="236"/>
        <v>497.90370227718313</v>
      </c>
      <c r="K1947" s="30">
        <f t="shared" si="237"/>
        <v>8263.5839490733779</v>
      </c>
    </row>
    <row r="1948" spans="1:11" x14ac:dyDescent="0.25">
      <c r="A1948" s="29">
        <v>1898</v>
      </c>
      <c r="B1948" s="99">
        <f t="shared" si="238"/>
        <v>0</v>
      </c>
      <c r="C1948" s="75">
        <f t="shared" si="242"/>
        <v>104.50616427295054</v>
      </c>
      <c r="D1948" s="100">
        <f t="shared" si="239"/>
        <v>445.77777777777789</v>
      </c>
      <c r="E1948">
        <f t="shared" si="235"/>
        <v>0</v>
      </c>
      <c r="G1948">
        <v>1898</v>
      </c>
      <c r="H1948" s="15">
        <f t="shared" si="240"/>
        <v>3.3332641781299799E-2</v>
      </c>
      <c r="I1948">
        <f t="shared" si="241"/>
        <v>167.77151837384756</v>
      </c>
      <c r="J1948">
        <f t="shared" si="236"/>
        <v>497.91287079309586</v>
      </c>
      <c r="K1948" s="30">
        <f t="shared" si="237"/>
        <v>8263.8880791542779</v>
      </c>
    </row>
    <row r="1949" spans="1:11" x14ac:dyDescent="0.25">
      <c r="A1949" s="29">
        <v>1899</v>
      </c>
      <c r="B1949" s="99">
        <f t="shared" si="238"/>
        <v>0</v>
      </c>
      <c r="C1949" s="75">
        <f t="shared" si="242"/>
        <v>104.50616427295054</v>
      </c>
      <c r="D1949" s="100">
        <f t="shared" si="239"/>
        <v>445.77777777777789</v>
      </c>
      <c r="E1949">
        <f t="shared" si="235"/>
        <v>0</v>
      </c>
      <c r="G1949">
        <v>1899</v>
      </c>
      <c r="H1949" s="15">
        <f t="shared" si="240"/>
        <v>3.3332641781299799E-2</v>
      </c>
      <c r="I1949">
        <f t="shared" si="241"/>
        <v>167.80485101562886</v>
      </c>
      <c r="J1949">
        <f t="shared" si="236"/>
        <v>497.92202695270612</v>
      </c>
      <c r="K1949" s="30">
        <f t="shared" si="237"/>
        <v>8264.1918047295912</v>
      </c>
    </row>
    <row r="1950" spans="1:11" x14ac:dyDescent="0.25">
      <c r="A1950" s="29">
        <v>1900</v>
      </c>
      <c r="B1950" s="99">
        <f t="shared" si="238"/>
        <v>0</v>
      </c>
      <c r="C1950" s="75">
        <f t="shared" si="242"/>
        <v>104.50616427295054</v>
      </c>
      <c r="D1950" s="100">
        <f t="shared" si="239"/>
        <v>445.77777777777789</v>
      </c>
      <c r="E1950">
        <f t="shared" si="235"/>
        <v>0</v>
      </c>
      <c r="G1950">
        <v>1900</v>
      </c>
      <c r="H1950" s="15">
        <f t="shared" si="240"/>
        <v>3.3332641781299799E-2</v>
      </c>
      <c r="I1950">
        <f t="shared" si="241"/>
        <v>167.83818365741016</v>
      </c>
      <c r="J1950">
        <f t="shared" si="236"/>
        <v>497.93117075952284</v>
      </c>
      <c r="K1950" s="30">
        <f t="shared" si="237"/>
        <v>8264.4951258930832</v>
      </c>
    </row>
    <row r="1951" spans="1:11" x14ac:dyDescent="0.25">
      <c r="A1951" s="29">
        <v>1901</v>
      </c>
      <c r="B1951" s="99">
        <f t="shared" si="238"/>
        <v>0</v>
      </c>
      <c r="C1951" s="75">
        <f t="shared" si="242"/>
        <v>104.50616427295054</v>
      </c>
      <c r="D1951" s="100">
        <f t="shared" si="239"/>
        <v>445.77777777777789</v>
      </c>
      <c r="E1951">
        <f t="shared" si="235"/>
        <v>0</v>
      </c>
      <c r="G1951">
        <v>1901</v>
      </c>
      <c r="H1951" s="15">
        <f t="shared" si="240"/>
        <v>3.3332641781299799E-2</v>
      </c>
      <c r="I1951">
        <f t="shared" si="241"/>
        <v>167.87151629919146</v>
      </c>
      <c r="J1951">
        <f t="shared" si="236"/>
        <v>497.94030221704861</v>
      </c>
      <c r="K1951" s="30">
        <f t="shared" si="237"/>
        <v>8264.7980427383518</v>
      </c>
    </row>
    <row r="1952" spans="1:11" x14ac:dyDescent="0.25">
      <c r="A1952" s="29">
        <v>1902</v>
      </c>
      <c r="B1952" s="99">
        <f t="shared" si="238"/>
        <v>0</v>
      </c>
      <c r="C1952" s="75">
        <f t="shared" si="242"/>
        <v>104.50616427295054</v>
      </c>
      <c r="D1952" s="100">
        <f t="shared" si="239"/>
        <v>445.77777777777789</v>
      </c>
      <c r="E1952">
        <f t="shared" si="235"/>
        <v>0</v>
      </c>
      <c r="G1952">
        <v>1902</v>
      </c>
      <c r="H1952" s="15">
        <f t="shared" si="240"/>
        <v>3.3332641781299799E-2</v>
      </c>
      <c r="I1952">
        <f t="shared" si="241"/>
        <v>167.90484894097276</v>
      </c>
      <c r="J1952">
        <f t="shared" si="236"/>
        <v>497.94942132878015</v>
      </c>
      <c r="K1952" s="30">
        <f t="shared" si="237"/>
        <v>8265.1005553588457</v>
      </c>
    </row>
    <row r="1953" spans="1:11" x14ac:dyDescent="0.25">
      <c r="A1953" s="29">
        <v>1903</v>
      </c>
      <c r="B1953" s="99">
        <f t="shared" si="238"/>
        <v>0</v>
      </c>
      <c r="C1953" s="75">
        <f t="shared" si="242"/>
        <v>104.50616427295054</v>
      </c>
      <c r="D1953" s="100">
        <f t="shared" si="239"/>
        <v>445.77777777777789</v>
      </c>
      <c r="E1953">
        <f t="shared" si="235"/>
        <v>0</v>
      </c>
      <c r="G1953">
        <v>1903</v>
      </c>
      <c r="H1953" s="15">
        <f t="shared" si="240"/>
        <v>3.3332641781299799E-2</v>
      </c>
      <c r="I1953">
        <f t="shared" si="241"/>
        <v>167.93818158275405</v>
      </c>
      <c r="J1953">
        <f t="shared" si="236"/>
        <v>497.95852809820803</v>
      </c>
      <c r="K1953" s="30">
        <f t="shared" si="237"/>
        <v>8265.4026638478372</v>
      </c>
    </row>
    <row r="1954" spans="1:11" x14ac:dyDescent="0.25">
      <c r="A1954" s="29">
        <v>1904</v>
      </c>
      <c r="B1954" s="99">
        <f t="shared" si="238"/>
        <v>0</v>
      </c>
      <c r="C1954" s="75">
        <f t="shared" si="242"/>
        <v>104.50616427295054</v>
      </c>
      <c r="D1954" s="100">
        <f t="shared" si="239"/>
        <v>445.77777777777789</v>
      </c>
      <c r="E1954">
        <f t="shared" si="235"/>
        <v>0</v>
      </c>
      <c r="G1954">
        <v>1904</v>
      </c>
      <c r="H1954" s="15">
        <f t="shared" si="240"/>
        <v>3.3332641781299799E-2</v>
      </c>
      <c r="I1954">
        <f t="shared" si="241"/>
        <v>167.97151422453535</v>
      </c>
      <c r="J1954">
        <f t="shared" si="236"/>
        <v>497.96762252881695</v>
      </c>
      <c r="K1954" s="30">
        <f t="shared" si="237"/>
        <v>8265.7043682984531</v>
      </c>
    </row>
    <row r="1955" spans="1:11" x14ac:dyDescent="0.25">
      <c r="A1955" s="29">
        <v>1905</v>
      </c>
      <c r="B1955" s="99">
        <f t="shared" si="238"/>
        <v>0</v>
      </c>
      <c r="C1955" s="75">
        <f t="shared" si="242"/>
        <v>104.50616427295054</v>
      </c>
      <c r="D1955" s="100">
        <f t="shared" si="239"/>
        <v>445.77777777777789</v>
      </c>
      <c r="E1955">
        <f t="shared" si="235"/>
        <v>0</v>
      </c>
      <c r="G1955">
        <v>1905</v>
      </c>
      <c r="H1955" s="15">
        <f t="shared" si="240"/>
        <v>3.3332641781299799E-2</v>
      </c>
      <c r="I1955">
        <f t="shared" si="241"/>
        <v>168.00484686631665</v>
      </c>
      <c r="J1955">
        <f t="shared" si="236"/>
        <v>497.97670462408541</v>
      </c>
      <c r="K1955" s="30">
        <f t="shared" si="237"/>
        <v>8266.0056688036475</v>
      </c>
    </row>
    <row r="1956" spans="1:11" x14ac:dyDescent="0.25">
      <c r="A1956" s="29">
        <v>1906</v>
      </c>
      <c r="B1956" s="99">
        <f t="shared" si="238"/>
        <v>0</v>
      </c>
      <c r="C1956" s="75">
        <f t="shared" si="242"/>
        <v>104.50616427295054</v>
      </c>
      <c r="D1956" s="100">
        <f t="shared" si="239"/>
        <v>445.77777777777789</v>
      </c>
      <c r="E1956">
        <f t="shared" si="235"/>
        <v>0</v>
      </c>
      <c r="G1956">
        <v>1906</v>
      </c>
      <c r="H1956" s="15">
        <f t="shared" si="240"/>
        <v>3.3332641781299799E-2</v>
      </c>
      <c r="I1956">
        <f t="shared" si="241"/>
        <v>168.03817950809795</v>
      </c>
      <c r="J1956">
        <f t="shared" si="236"/>
        <v>497.98577438748589</v>
      </c>
      <c r="K1956" s="30">
        <f t="shared" si="237"/>
        <v>8266.3065654562142</v>
      </c>
    </row>
    <row r="1957" spans="1:11" x14ac:dyDescent="0.25">
      <c r="A1957" s="29">
        <v>1907</v>
      </c>
      <c r="B1957" s="99">
        <f t="shared" si="238"/>
        <v>0</v>
      </c>
      <c r="C1957" s="75">
        <f t="shared" si="242"/>
        <v>104.50616427295054</v>
      </c>
      <c r="D1957" s="100">
        <f t="shared" si="239"/>
        <v>445.77777777777789</v>
      </c>
      <c r="E1957">
        <f t="shared" si="235"/>
        <v>0</v>
      </c>
      <c r="G1957">
        <v>1907</v>
      </c>
      <c r="H1957" s="15">
        <f t="shared" si="240"/>
        <v>3.3332641781299799E-2</v>
      </c>
      <c r="I1957">
        <f t="shared" si="241"/>
        <v>168.07151214987925</v>
      </c>
      <c r="J1957">
        <f t="shared" si="236"/>
        <v>497.99483182248503</v>
      </c>
      <c r="K1957" s="30">
        <f t="shared" si="237"/>
        <v>8266.6070583487926</v>
      </c>
    </row>
    <row r="1958" spans="1:11" x14ac:dyDescent="0.25">
      <c r="A1958" s="29">
        <v>1908</v>
      </c>
      <c r="B1958" s="99">
        <f t="shared" si="238"/>
        <v>0</v>
      </c>
      <c r="C1958" s="75">
        <f t="shared" si="242"/>
        <v>104.50616427295054</v>
      </c>
      <c r="D1958" s="100">
        <f t="shared" si="239"/>
        <v>445.77777777777789</v>
      </c>
      <c r="E1958">
        <f t="shared" si="235"/>
        <v>0</v>
      </c>
      <c r="G1958">
        <v>1908</v>
      </c>
      <c r="H1958" s="15">
        <f t="shared" si="240"/>
        <v>3.3332641781299799E-2</v>
      </c>
      <c r="I1958">
        <f t="shared" si="241"/>
        <v>168.10484479166055</v>
      </c>
      <c r="J1958">
        <f t="shared" si="236"/>
        <v>498.00387693254328</v>
      </c>
      <c r="K1958" s="30">
        <f t="shared" si="237"/>
        <v>8266.9071475738547</v>
      </c>
    </row>
    <row r="1959" spans="1:11" x14ac:dyDescent="0.25">
      <c r="A1959" s="29">
        <v>1909</v>
      </c>
      <c r="B1959" s="99">
        <f t="shared" si="238"/>
        <v>0</v>
      </c>
      <c r="C1959" s="75">
        <f t="shared" si="242"/>
        <v>104.50616427295054</v>
      </c>
      <c r="D1959" s="100">
        <f t="shared" si="239"/>
        <v>445.77777777777789</v>
      </c>
      <c r="E1959">
        <f t="shared" si="235"/>
        <v>0</v>
      </c>
      <c r="G1959">
        <v>1909</v>
      </c>
      <c r="H1959" s="15">
        <f t="shared" si="240"/>
        <v>3.3332641781299799E-2</v>
      </c>
      <c r="I1959">
        <f t="shared" si="241"/>
        <v>168.13817743344185</v>
      </c>
      <c r="J1959">
        <f t="shared" si="236"/>
        <v>498.01290972111514</v>
      </c>
      <c r="K1959" s="30">
        <f t="shared" si="237"/>
        <v>8267.2068332237159</v>
      </c>
    </row>
    <row r="1960" spans="1:11" x14ac:dyDescent="0.25">
      <c r="A1960" s="29">
        <v>1910</v>
      </c>
      <c r="B1960" s="99">
        <f t="shared" si="238"/>
        <v>0</v>
      </c>
      <c r="C1960" s="75">
        <f t="shared" si="242"/>
        <v>104.50616427295054</v>
      </c>
      <c r="D1960" s="100">
        <f t="shared" si="239"/>
        <v>445.77777777777789</v>
      </c>
      <c r="E1960">
        <f t="shared" si="235"/>
        <v>0</v>
      </c>
      <c r="G1960">
        <v>1910</v>
      </c>
      <c r="H1960" s="15">
        <f t="shared" si="240"/>
        <v>3.3332641781299799E-2</v>
      </c>
      <c r="I1960">
        <f t="shared" si="241"/>
        <v>168.17151007522315</v>
      </c>
      <c r="J1960">
        <f t="shared" si="236"/>
        <v>498.02193019164912</v>
      </c>
      <c r="K1960" s="30">
        <f t="shared" si="237"/>
        <v>8267.5061153905317</v>
      </c>
    </row>
    <row r="1961" spans="1:11" x14ac:dyDescent="0.25">
      <c r="A1961" s="29">
        <v>1911</v>
      </c>
      <c r="B1961" s="99">
        <f t="shared" si="238"/>
        <v>0</v>
      </c>
      <c r="C1961" s="75">
        <f t="shared" si="242"/>
        <v>104.50616427295054</v>
      </c>
      <c r="D1961" s="100">
        <f t="shared" si="239"/>
        <v>445.77777777777789</v>
      </c>
      <c r="E1961">
        <f t="shared" si="235"/>
        <v>0</v>
      </c>
      <c r="G1961">
        <v>1911</v>
      </c>
      <c r="H1961" s="15">
        <f t="shared" si="240"/>
        <v>3.3332641781299799E-2</v>
      </c>
      <c r="I1961">
        <f t="shared" si="241"/>
        <v>168.20484271700445</v>
      </c>
      <c r="J1961">
        <f t="shared" si="236"/>
        <v>498.03093834758778</v>
      </c>
      <c r="K1961" s="30">
        <f t="shared" si="237"/>
        <v>8267.8049941662957</v>
      </c>
    </row>
    <row r="1962" spans="1:11" x14ac:dyDescent="0.25">
      <c r="A1962" s="29">
        <v>1912</v>
      </c>
      <c r="B1962" s="99">
        <f t="shared" si="238"/>
        <v>0</v>
      </c>
      <c r="C1962" s="75">
        <f t="shared" si="242"/>
        <v>104.50616427295054</v>
      </c>
      <c r="D1962" s="100">
        <f t="shared" si="239"/>
        <v>445.77777777777789</v>
      </c>
      <c r="E1962">
        <f t="shared" si="235"/>
        <v>0</v>
      </c>
      <c r="G1962">
        <v>1912</v>
      </c>
      <c r="H1962" s="15">
        <f t="shared" si="240"/>
        <v>3.3332641781299799E-2</v>
      </c>
      <c r="I1962">
        <f t="shared" si="241"/>
        <v>168.23817535878575</v>
      </c>
      <c r="J1962">
        <f t="shared" si="236"/>
        <v>498.0399341923677</v>
      </c>
      <c r="K1962" s="30">
        <f t="shared" si="237"/>
        <v>8268.1034696428451</v>
      </c>
    </row>
    <row r="1963" spans="1:11" x14ac:dyDescent="0.25">
      <c r="A1963" s="29">
        <v>1913</v>
      </c>
      <c r="B1963" s="99">
        <f t="shared" si="238"/>
        <v>0</v>
      </c>
      <c r="C1963" s="75">
        <f t="shared" si="242"/>
        <v>104.50616427295054</v>
      </c>
      <c r="D1963" s="100">
        <f t="shared" si="239"/>
        <v>445.77777777777789</v>
      </c>
      <c r="E1963">
        <f t="shared" si="235"/>
        <v>0</v>
      </c>
      <c r="G1963">
        <v>1913</v>
      </c>
      <c r="H1963" s="15">
        <f t="shared" si="240"/>
        <v>3.3332641781299799E-2</v>
      </c>
      <c r="I1963">
        <f t="shared" si="241"/>
        <v>168.27150800056705</v>
      </c>
      <c r="J1963">
        <f t="shared" si="236"/>
        <v>498.04891772941937</v>
      </c>
      <c r="K1963" s="30">
        <f t="shared" si="237"/>
        <v>8268.4015419118477</v>
      </c>
    </row>
    <row r="1964" spans="1:11" x14ac:dyDescent="0.25">
      <c r="A1964" s="29">
        <v>1914</v>
      </c>
      <c r="B1964" s="99">
        <f t="shared" si="238"/>
        <v>0</v>
      </c>
      <c r="C1964" s="75">
        <f t="shared" si="242"/>
        <v>104.50616427295054</v>
      </c>
      <c r="D1964" s="100">
        <f t="shared" si="239"/>
        <v>445.77777777777789</v>
      </c>
      <c r="E1964">
        <f t="shared" si="235"/>
        <v>0</v>
      </c>
      <c r="G1964">
        <v>1914</v>
      </c>
      <c r="H1964" s="15">
        <f t="shared" si="240"/>
        <v>3.3332641781299799E-2</v>
      </c>
      <c r="I1964">
        <f t="shared" si="241"/>
        <v>168.30484064234835</v>
      </c>
      <c r="J1964">
        <f t="shared" si="236"/>
        <v>498.05788896216745</v>
      </c>
      <c r="K1964" s="30">
        <f t="shared" si="237"/>
        <v>8268.6992110648262</v>
      </c>
    </row>
    <row r="1965" spans="1:11" x14ac:dyDescent="0.25">
      <c r="A1965" s="29">
        <v>1915</v>
      </c>
      <c r="B1965" s="99">
        <f t="shared" si="238"/>
        <v>0</v>
      </c>
      <c r="C1965" s="75">
        <f t="shared" si="242"/>
        <v>104.50616427295054</v>
      </c>
      <c r="D1965" s="100">
        <f t="shared" si="239"/>
        <v>445.77777777777789</v>
      </c>
      <c r="E1965">
        <f t="shared" si="235"/>
        <v>0</v>
      </c>
      <c r="G1965">
        <v>1915</v>
      </c>
      <c r="H1965" s="15">
        <f t="shared" si="240"/>
        <v>3.3332641781299799E-2</v>
      </c>
      <c r="I1965">
        <f t="shared" si="241"/>
        <v>168.33817328412965</v>
      </c>
      <c r="J1965">
        <f t="shared" si="236"/>
        <v>498.06684789403062</v>
      </c>
      <c r="K1965" s="30">
        <f t="shared" si="237"/>
        <v>8268.9964771931336</v>
      </c>
    </row>
    <row r="1966" spans="1:11" x14ac:dyDescent="0.25">
      <c r="A1966" s="29">
        <v>1916</v>
      </c>
      <c r="B1966" s="99">
        <f t="shared" si="238"/>
        <v>0</v>
      </c>
      <c r="C1966" s="75">
        <f t="shared" si="242"/>
        <v>104.50616427295054</v>
      </c>
      <c r="D1966" s="100">
        <f t="shared" si="239"/>
        <v>445.77777777777789</v>
      </c>
      <c r="E1966">
        <f t="shared" si="235"/>
        <v>0</v>
      </c>
      <c r="G1966">
        <v>1916</v>
      </c>
      <c r="H1966" s="15">
        <f t="shared" si="240"/>
        <v>3.3332641781299799E-2</v>
      </c>
      <c r="I1966">
        <f t="shared" si="241"/>
        <v>168.37150592591095</v>
      </c>
      <c r="J1966">
        <f t="shared" si="236"/>
        <v>498.07579452842162</v>
      </c>
      <c r="K1966" s="30">
        <f t="shared" si="237"/>
        <v>8269.293340387967</v>
      </c>
    </row>
    <row r="1967" spans="1:11" x14ac:dyDescent="0.25">
      <c r="A1967" s="29">
        <v>1917</v>
      </c>
      <c r="B1967" s="99">
        <f t="shared" si="238"/>
        <v>0</v>
      </c>
      <c r="C1967" s="75">
        <f t="shared" si="242"/>
        <v>104.50616427295054</v>
      </c>
      <c r="D1967" s="100">
        <f t="shared" si="239"/>
        <v>445.77777777777789</v>
      </c>
      <c r="E1967">
        <f t="shared" si="235"/>
        <v>0</v>
      </c>
      <c r="G1967">
        <v>1917</v>
      </c>
      <c r="H1967" s="15">
        <f t="shared" si="240"/>
        <v>3.3332641781299799E-2</v>
      </c>
      <c r="I1967">
        <f t="shared" si="241"/>
        <v>168.40483856769225</v>
      </c>
      <c r="J1967">
        <f t="shared" si="236"/>
        <v>498.08472886874711</v>
      </c>
      <c r="K1967" s="30">
        <f t="shared" si="237"/>
        <v>8269.5898007403648</v>
      </c>
    </row>
    <row r="1968" spans="1:11" x14ac:dyDescent="0.25">
      <c r="A1968" s="29">
        <v>1918</v>
      </c>
      <c r="B1968" s="99">
        <f t="shared" si="238"/>
        <v>0</v>
      </c>
      <c r="C1968" s="75">
        <f t="shared" si="242"/>
        <v>104.50616427295054</v>
      </c>
      <c r="D1968" s="100">
        <f t="shared" si="239"/>
        <v>445.77777777777789</v>
      </c>
      <c r="E1968">
        <f t="shared" si="235"/>
        <v>0</v>
      </c>
      <c r="G1968">
        <v>1918</v>
      </c>
      <c r="H1968" s="15">
        <f t="shared" si="240"/>
        <v>3.3332641781299799E-2</v>
      </c>
      <c r="I1968">
        <f t="shared" si="241"/>
        <v>168.43817120947355</v>
      </c>
      <c r="J1968">
        <f t="shared" si="236"/>
        <v>498.09365091840789</v>
      </c>
      <c r="K1968" s="30">
        <f t="shared" si="237"/>
        <v>8269.8858583412057</v>
      </c>
    </row>
    <row r="1969" spans="1:11" x14ac:dyDescent="0.25">
      <c r="A1969" s="29">
        <v>1919</v>
      </c>
      <c r="B1969" s="99">
        <f t="shared" si="238"/>
        <v>0</v>
      </c>
      <c r="C1969" s="75">
        <f t="shared" si="242"/>
        <v>104.50616427295054</v>
      </c>
      <c r="D1969" s="100">
        <f t="shared" si="239"/>
        <v>445.77777777777789</v>
      </c>
      <c r="E1969">
        <f t="shared" si="235"/>
        <v>0</v>
      </c>
      <c r="G1969">
        <v>1919</v>
      </c>
      <c r="H1969" s="15">
        <f t="shared" si="240"/>
        <v>3.3332641781299799E-2</v>
      </c>
      <c r="I1969">
        <f t="shared" si="241"/>
        <v>168.47150385125485</v>
      </c>
      <c r="J1969">
        <f t="shared" si="236"/>
        <v>498.102560680799</v>
      </c>
      <c r="K1969" s="30">
        <f t="shared" si="237"/>
        <v>8270.1815132812135</v>
      </c>
    </row>
    <row r="1970" spans="1:11" x14ac:dyDescent="0.25">
      <c r="A1970" s="29">
        <v>1920</v>
      </c>
      <c r="B1970" s="99">
        <f t="shared" si="238"/>
        <v>0</v>
      </c>
      <c r="C1970" s="75">
        <f t="shared" si="242"/>
        <v>104.50616427295054</v>
      </c>
      <c r="D1970" s="100">
        <f t="shared" si="239"/>
        <v>445.77777777777789</v>
      </c>
      <c r="E1970">
        <f t="shared" si="235"/>
        <v>0</v>
      </c>
      <c r="G1970">
        <v>1920</v>
      </c>
      <c r="H1970" s="15">
        <f t="shared" si="240"/>
        <v>3.3332641781299799E-2</v>
      </c>
      <c r="I1970">
        <f t="shared" si="241"/>
        <v>168.50483649303615</v>
      </c>
      <c r="J1970">
        <f t="shared" si="236"/>
        <v>498.11145815930934</v>
      </c>
      <c r="K1970" s="30">
        <f t="shared" si="237"/>
        <v>8270.4767656509484</v>
      </c>
    </row>
    <row r="1971" spans="1:11" x14ac:dyDescent="0.25">
      <c r="A1971" s="29">
        <v>1921</v>
      </c>
      <c r="B1971" s="99">
        <f t="shared" si="238"/>
        <v>0</v>
      </c>
      <c r="C1971" s="75">
        <f t="shared" si="242"/>
        <v>104.50616427295054</v>
      </c>
      <c r="D1971" s="100">
        <f t="shared" si="239"/>
        <v>445.77777777777789</v>
      </c>
      <c r="E1971">
        <f t="shared" ref="E1971:E2034" si="243">((D1971^2)+(D1971*D1972)+(D1972^2))*B1972/3</f>
        <v>0</v>
      </c>
      <c r="G1971">
        <v>1921</v>
      </c>
      <c r="H1971" s="15">
        <f t="shared" si="240"/>
        <v>3.3332641781299799E-2</v>
      </c>
      <c r="I1971">
        <f t="shared" si="241"/>
        <v>168.53816913481745</v>
      </c>
      <c r="J1971">
        <f t="shared" ref="J1971:J2034" si="244">IF($G$28&lt;$C$14,0,((($C$11^2)-((I1971-$C$13)^2))^0.5)+$C$16)</f>
        <v>498.12034335732187</v>
      </c>
      <c r="K1971" s="30">
        <f t="shared" ref="K1971:K2034" si="245">((J1971^2)+(J1971*J1972)+(J1972^2))*H1972/3</f>
        <v>8270.7716155408161</v>
      </c>
    </row>
    <row r="1972" spans="1:11" x14ac:dyDescent="0.25">
      <c r="A1972" s="29">
        <v>1922</v>
      </c>
      <c r="B1972" s="99">
        <f t="shared" ref="B1972:B2035" si="246">C1972-C1971</f>
        <v>0</v>
      </c>
      <c r="C1972" s="75">
        <f t="shared" si="242"/>
        <v>104.50616427295054</v>
      </c>
      <c r="D1972" s="100">
        <f t="shared" ref="D1972:D2035" si="247">IF($G$28&lt;$C$14,0,((($C$11^2)-((C1972-$C$13)^2))^0.5)+$C$16)</f>
        <v>445.77777777777789</v>
      </c>
      <c r="E1972">
        <f t="shared" si="243"/>
        <v>0</v>
      </c>
      <c r="G1972">
        <v>1922</v>
      </c>
      <c r="H1972" s="15">
        <f t="shared" ref="H1972:H2035" si="248">I1972-I1971</f>
        <v>3.3332641781299799E-2</v>
      </c>
      <c r="I1972">
        <f t="shared" ref="I1972:I2035" si="249">($G$27-$C$14)/2000+I1971</f>
        <v>168.57150177659875</v>
      </c>
      <c r="J1972">
        <f t="shared" si="244"/>
        <v>498.1292162782139</v>
      </c>
      <c r="K1972" s="30">
        <f t="shared" si="245"/>
        <v>8271.0660630410621</v>
      </c>
    </row>
    <row r="1973" spans="1:11" x14ac:dyDescent="0.25">
      <c r="A1973" s="29">
        <v>1923</v>
      </c>
      <c r="B1973" s="99">
        <f t="shared" si="246"/>
        <v>0</v>
      </c>
      <c r="C1973" s="75">
        <f t="shared" si="242"/>
        <v>104.50616427295054</v>
      </c>
      <c r="D1973" s="100">
        <f t="shared" si="247"/>
        <v>445.77777777777789</v>
      </c>
      <c r="E1973">
        <f t="shared" si="243"/>
        <v>0</v>
      </c>
      <c r="G1973">
        <v>1923</v>
      </c>
      <c r="H1973" s="15">
        <f t="shared" si="248"/>
        <v>3.3332641781299799E-2</v>
      </c>
      <c r="I1973">
        <f t="shared" si="249"/>
        <v>168.60483441838005</v>
      </c>
      <c r="J1973">
        <f t="shared" si="244"/>
        <v>498.13807692535653</v>
      </c>
      <c r="K1973" s="30">
        <f t="shared" si="245"/>
        <v>8271.3601082417736</v>
      </c>
    </row>
    <row r="1974" spans="1:11" x14ac:dyDescent="0.25">
      <c r="A1974" s="29">
        <v>1924</v>
      </c>
      <c r="B1974" s="99">
        <f t="shared" si="246"/>
        <v>0</v>
      </c>
      <c r="C1974" s="75">
        <f t="shared" si="242"/>
        <v>104.50616427295054</v>
      </c>
      <c r="D1974" s="100">
        <f t="shared" si="247"/>
        <v>445.77777777777789</v>
      </c>
      <c r="E1974">
        <f t="shared" si="243"/>
        <v>0</v>
      </c>
      <c r="G1974">
        <v>1924</v>
      </c>
      <c r="H1974" s="15">
        <f t="shared" si="248"/>
        <v>3.3332641781299799E-2</v>
      </c>
      <c r="I1974">
        <f t="shared" si="249"/>
        <v>168.63816706016135</v>
      </c>
      <c r="J1974">
        <f t="shared" si="244"/>
        <v>498.14692530211516</v>
      </c>
      <c r="K1974" s="30">
        <f t="shared" si="245"/>
        <v>8271.653751232885</v>
      </c>
    </row>
    <row r="1975" spans="1:11" x14ac:dyDescent="0.25">
      <c r="A1975" s="29">
        <v>1925</v>
      </c>
      <c r="B1975" s="99">
        <f t="shared" si="246"/>
        <v>0</v>
      </c>
      <c r="C1975" s="75">
        <f t="shared" si="242"/>
        <v>104.50616427295054</v>
      </c>
      <c r="D1975" s="100">
        <f t="shared" si="247"/>
        <v>445.77777777777789</v>
      </c>
      <c r="E1975">
        <f t="shared" si="243"/>
        <v>0</v>
      </c>
      <c r="G1975">
        <v>1925</v>
      </c>
      <c r="H1975" s="15">
        <f t="shared" si="248"/>
        <v>3.3332641781299799E-2</v>
      </c>
      <c r="I1975">
        <f t="shared" si="249"/>
        <v>168.67149970194265</v>
      </c>
      <c r="J1975">
        <f t="shared" si="244"/>
        <v>498.15576141184931</v>
      </c>
      <c r="K1975" s="30">
        <f t="shared" si="245"/>
        <v>8271.9469921041691</v>
      </c>
    </row>
    <row r="1976" spans="1:11" x14ac:dyDescent="0.25">
      <c r="A1976" s="29">
        <v>1926</v>
      </c>
      <c r="B1976" s="99">
        <f t="shared" si="246"/>
        <v>0</v>
      </c>
      <c r="C1976" s="75">
        <f t="shared" si="242"/>
        <v>104.50616427295054</v>
      </c>
      <c r="D1976" s="100">
        <f t="shared" si="247"/>
        <v>445.77777777777789</v>
      </c>
      <c r="E1976">
        <f t="shared" si="243"/>
        <v>0</v>
      </c>
      <c r="G1976">
        <v>1926</v>
      </c>
      <c r="H1976" s="15">
        <f t="shared" si="248"/>
        <v>3.3332641781299799E-2</v>
      </c>
      <c r="I1976">
        <f t="shared" si="249"/>
        <v>168.70483234372395</v>
      </c>
      <c r="J1976">
        <f t="shared" si="244"/>
        <v>498.16458525791245</v>
      </c>
      <c r="K1976" s="30">
        <f t="shared" si="245"/>
        <v>8272.2398309452419</v>
      </c>
    </row>
    <row r="1977" spans="1:11" x14ac:dyDescent="0.25">
      <c r="A1977" s="29">
        <v>1927</v>
      </c>
      <c r="B1977" s="99">
        <f t="shared" si="246"/>
        <v>0</v>
      </c>
      <c r="C1977" s="75">
        <f t="shared" si="242"/>
        <v>104.50616427295054</v>
      </c>
      <c r="D1977" s="100">
        <f t="shared" si="247"/>
        <v>445.77777777777789</v>
      </c>
      <c r="E1977">
        <f t="shared" si="243"/>
        <v>0</v>
      </c>
      <c r="G1977">
        <v>1927</v>
      </c>
      <c r="H1977" s="15">
        <f t="shared" si="248"/>
        <v>3.3332641781299799E-2</v>
      </c>
      <c r="I1977">
        <f t="shared" si="249"/>
        <v>168.73816498550525</v>
      </c>
      <c r="J1977">
        <f t="shared" si="244"/>
        <v>498.17339684365231</v>
      </c>
      <c r="K1977" s="30">
        <f t="shared" si="245"/>
        <v>8272.532267845565</v>
      </c>
    </row>
    <row r="1978" spans="1:11" x14ac:dyDescent="0.25">
      <c r="A1978" s="29">
        <v>1928</v>
      </c>
      <c r="B1978" s="99">
        <f t="shared" si="246"/>
        <v>0</v>
      </c>
      <c r="C1978" s="75">
        <f t="shared" si="242"/>
        <v>104.50616427295054</v>
      </c>
      <c r="D1978" s="100">
        <f t="shared" si="247"/>
        <v>445.77777777777789</v>
      </c>
      <c r="E1978">
        <f t="shared" si="243"/>
        <v>0</v>
      </c>
      <c r="G1978">
        <v>1928</v>
      </c>
      <c r="H1978" s="15">
        <f t="shared" si="248"/>
        <v>3.3332641781299799E-2</v>
      </c>
      <c r="I1978">
        <f t="shared" si="249"/>
        <v>168.77149762728655</v>
      </c>
      <c r="J1978">
        <f t="shared" si="244"/>
        <v>498.18219617241084</v>
      </c>
      <c r="K1978" s="30">
        <f t="shared" si="245"/>
        <v>8272.824302894438</v>
      </c>
    </row>
    <row r="1979" spans="1:11" x14ac:dyDescent="0.25">
      <c r="A1979" s="29">
        <v>1929</v>
      </c>
      <c r="B1979" s="99">
        <f t="shared" si="246"/>
        <v>0</v>
      </c>
      <c r="C1979" s="75">
        <f t="shared" si="242"/>
        <v>104.50616427295054</v>
      </c>
      <c r="D1979" s="100">
        <f t="shared" si="247"/>
        <v>445.77777777777789</v>
      </c>
      <c r="E1979">
        <f t="shared" si="243"/>
        <v>0</v>
      </c>
      <c r="G1979">
        <v>1929</v>
      </c>
      <c r="H1979" s="15">
        <f t="shared" si="248"/>
        <v>3.3332641781299799E-2</v>
      </c>
      <c r="I1979">
        <f t="shared" si="249"/>
        <v>168.80483026906785</v>
      </c>
      <c r="J1979">
        <f t="shared" si="244"/>
        <v>498.19098324752389</v>
      </c>
      <c r="K1979" s="30">
        <f t="shared" si="245"/>
        <v>8273.1159361810096</v>
      </c>
    </row>
    <row r="1980" spans="1:11" x14ac:dyDescent="0.25">
      <c r="A1980" s="29">
        <v>1930</v>
      </c>
      <c r="B1980" s="99">
        <f t="shared" si="246"/>
        <v>0</v>
      </c>
      <c r="C1980" s="75">
        <f t="shared" si="242"/>
        <v>104.50616427295054</v>
      </c>
      <c r="D1980" s="100">
        <f t="shared" si="247"/>
        <v>445.77777777777789</v>
      </c>
      <c r="E1980">
        <f t="shared" si="243"/>
        <v>0</v>
      </c>
      <c r="G1980">
        <v>1930</v>
      </c>
      <c r="H1980" s="15">
        <f t="shared" si="248"/>
        <v>3.3332641781299799E-2</v>
      </c>
      <c r="I1980">
        <f t="shared" si="249"/>
        <v>168.83816291084915</v>
      </c>
      <c r="J1980">
        <f t="shared" si="244"/>
        <v>498.19975807232163</v>
      </c>
      <c r="K1980" s="30">
        <f t="shared" si="245"/>
        <v>8273.4071677942684</v>
      </c>
    </row>
    <row r="1981" spans="1:11" x14ac:dyDescent="0.25">
      <c r="A1981" s="29">
        <v>1931</v>
      </c>
      <c r="B1981" s="99">
        <f t="shared" si="246"/>
        <v>0</v>
      </c>
      <c r="C1981" s="75">
        <f t="shared" si="242"/>
        <v>104.50616427295054</v>
      </c>
      <c r="D1981" s="100">
        <f t="shared" si="247"/>
        <v>445.77777777777789</v>
      </c>
      <c r="E1981">
        <f t="shared" si="243"/>
        <v>0</v>
      </c>
      <c r="G1981">
        <v>1931</v>
      </c>
      <c r="H1981" s="15">
        <f t="shared" si="248"/>
        <v>3.3332641781299799E-2</v>
      </c>
      <c r="I1981">
        <f t="shared" si="249"/>
        <v>168.87149555263045</v>
      </c>
      <c r="J1981">
        <f t="shared" si="244"/>
        <v>498.20852065012832</v>
      </c>
      <c r="K1981" s="30">
        <f t="shared" si="245"/>
        <v>8273.6979978230465</v>
      </c>
    </row>
    <row r="1982" spans="1:11" x14ac:dyDescent="0.25">
      <c r="A1982" s="29">
        <v>1932</v>
      </c>
      <c r="B1982" s="99">
        <f t="shared" si="246"/>
        <v>0</v>
      </c>
      <c r="C1982" s="75">
        <f t="shared" si="242"/>
        <v>104.50616427295054</v>
      </c>
      <c r="D1982" s="100">
        <f t="shared" si="247"/>
        <v>445.77777777777789</v>
      </c>
      <c r="E1982">
        <f t="shared" si="243"/>
        <v>0</v>
      </c>
      <c r="G1982">
        <v>1932</v>
      </c>
      <c r="H1982" s="15">
        <f t="shared" si="248"/>
        <v>3.3332641781299799E-2</v>
      </c>
      <c r="I1982">
        <f t="shared" si="249"/>
        <v>168.90482819441175</v>
      </c>
      <c r="J1982">
        <f t="shared" si="244"/>
        <v>498.21727098426237</v>
      </c>
      <c r="K1982" s="30">
        <f t="shared" si="245"/>
        <v>8273.9884263560234</v>
      </c>
    </row>
    <row r="1983" spans="1:11" x14ac:dyDescent="0.25">
      <c r="A1983" s="29">
        <v>1933</v>
      </c>
      <c r="B1983" s="99">
        <f t="shared" si="246"/>
        <v>0</v>
      </c>
      <c r="C1983" s="75">
        <f t="shared" si="242"/>
        <v>104.50616427295054</v>
      </c>
      <c r="D1983" s="100">
        <f t="shared" si="247"/>
        <v>445.77777777777789</v>
      </c>
      <c r="E1983">
        <f t="shared" si="243"/>
        <v>0</v>
      </c>
      <c r="G1983">
        <v>1933</v>
      </c>
      <c r="H1983" s="15">
        <f t="shared" si="248"/>
        <v>3.3332641781299799E-2</v>
      </c>
      <c r="I1983">
        <f t="shared" si="249"/>
        <v>168.93816083619305</v>
      </c>
      <c r="J1983">
        <f t="shared" si="244"/>
        <v>498.22600907803644</v>
      </c>
      <c r="K1983" s="30">
        <f t="shared" si="245"/>
        <v>8274.2784534817201</v>
      </c>
    </row>
    <row r="1984" spans="1:11" x14ac:dyDescent="0.25">
      <c r="A1984" s="29">
        <v>1934</v>
      </c>
      <c r="B1984" s="99">
        <f t="shared" si="246"/>
        <v>0</v>
      </c>
      <c r="C1984" s="75">
        <f t="shared" si="242"/>
        <v>104.50616427295054</v>
      </c>
      <c r="D1984" s="100">
        <f t="shared" si="247"/>
        <v>445.77777777777789</v>
      </c>
      <c r="E1984">
        <f t="shared" si="243"/>
        <v>0</v>
      </c>
      <c r="G1984">
        <v>1934</v>
      </c>
      <c r="H1984" s="15">
        <f t="shared" si="248"/>
        <v>3.3332641781299799E-2</v>
      </c>
      <c r="I1984">
        <f t="shared" si="249"/>
        <v>168.97149347797435</v>
      </c>
      <c r="J1984">
        <f t="shared" si="244"/>
        <v>498.23473493475728</v>
      </c>
      <c r="K1984" s="30">
        <f t="shared" si="245"/>
        <v>8274.5680792884996</v>
      </c>
    </row>
    <row r="1985" spans="1:11" x14ac:dyDescent="0.25">
      <c r="A1985" s="29">
        <v>1935</v>
      </c>
      <c r="B1985" s="99">
        <f t="shared" si="246"/>
        <v>0</v>
      </c>
      <c r="C1985" s="75">
        <f t="shared" si="242"/>
        <v>104.50616427295054</v>
      </c>
      <c r="D1985" s="100">
        <f t="shared" si="247"/>
        <v>445.77777777777789</v>
      </c>
      <c r="E1985">
        <f t="shared" si="243"/>
        <v>0</v>
      </c>
      <c r="G1985">
        <v>1935</v>
      </c>
      <c r="H1985" s="15">
        <f t="shared" si="248"/>
        <v>3.3332641781299799E-2</v>
      </c>
      <c r="I1985">
        <f t="shared" si="249"/>
        <v>169.00482611975565</v>
      </c>
      <c r="J1985">
        <f t="shared" si="244"/>
        <v>498.24344855772586</v>
      </c>
      <c r="K1985" s="30">
        <f t="shared" si="245"/>
        <v>8274.8573038645754</v>
      </c>
    </row>
    <row r="1986" spans="1:11" x14ac:dyDescent="0.25">
      <c r="A1986" s="29">
        <v>1936</v>
      </c>
      <c r="B1986" s="99">
        <f t="shared" si="246"/>
        <v>0</v>
      </c>
      <c r="C1986" s="75">
        <f t="shared" si="242"/>
        <v>104.50616427295054</v>
      </c>
      <c r="D1986" s="100">
        <f t="shared" si="247"/>
        <v>445.77777777777789</v>
      </c>
      <c r="E1986">
        <f t="shared" si="243"/>
        <v>0</v>
      </c>
      <c r="G1986">
        <v>1936</v>
      </c>
      <c r="H1986" s="15">
        <f t="shared" si="248"/>
        <v>3.3332641781299799E-2</v>
      </c>
      <c r="I1986">
        <f t="shared" si="249"/>
        <v>169.03815876153695</v>
      </c>
      <c r="J1986">
        <f t="shared" si="244"/>
        <v>498.25214995023737</v>
      </c>
      <c r="K1986" s="30">
        <f t="shared" si="245"/>
        <v>8275.1461272980014</v>
      </c>
    </row>
    <row r="1987" spans="1:11" x14ac:dyDescent="0.25">
      <c r="A1987" s="29">
        <v>1937</v>
      </c>
      <c r="B1987" s="99">
        <f t="shared" si="246"/>
        <v>0</v>
      </c>
      <c r="C1987" s="75">
        <f t="shared" si="242"/>
        <v>104.50616427295054</v>
      </c>
      <c r="D1987" s="100">
        <f t="shared" si="247"/>
        <v>445.77777777777789</v>
      </c>
      <c r="E1987">
        <f t="shared" si="243"/>
        <v>0</v>
      </c>
      <c r="G1987">
        <v>1937</v>
      </c>
      <c r="H1987" s="15">
        <f t="shared" si="248"/>
        <v>3.3332641781299799E-2</v>
      </c>
      <c r="I1987">
        <f t="shared" si="249"/>
        <v>169.07149140331825</v>
      </c>
      <c r="J1987">
        <f t="shared" si="244"/>
        <v>498.26083911558101</v>
      </c>
      <c r="K1987" s="30">
        <f t="shared" si="245"/>
        <v>8275.4345496766764</v>
      </c>
    </row>
    <row r="1988" spans="1:11" x14ac:dyDescent="0.25">
      <c r="A1988" s="29">
        <v>1938</v>
      </c>
      <c r="B1988" s="99">
        <f t="shared" si="246"/>
        <v>0</v>
      </c>
      <c r="C1988" s="75">
        <f t="shared" si="242"/>
        <v>104.50616427295054</v>
      </c>
      <c r="D1988" s="100">
        <f t="shared" si="247"/>
        <v>445.77777777777789</v>
      </c>
      <c r="E1988">
        <f t="shared" si="243"/>
        <v>0</v>
      </c>
      <c r="G1988">
        <v>1938</v>
      </c>
      <c r="H1988" s="15">
        <f t="shared" si="248"/>
        <v>3.3332641781299799E-2</v>
      </c>
      <c r="I1988">
        <f t="shared" si="249"/>
        <v>169.10482404509955</v>
      </c>
      <c r="J1988">
        <f t="shared" si="244"/>
        <v>498.26951605704051</v>
      </c>
      <c r="K1988" s="30">
        <f t="shared" si="245"/>
        <v>8275.7225710883449</v>
      </c>
    </row>
    <row r="1989" spans="1:11" x14ac:dyDescent="0.25">
      <c r="A1989" s="29">
        <v>1939</v>
      </c>
      <c r="B1989" s="99">
        <f t="shared" si="246"/>
        <v>0</v>
      </c>
      <c r="C1989" s="75">
        <f t="shared" si="242"/>
        <v>104.50616427295054</v>
      </c>
      <c r="D1989" s="100">
        <f t="shared" si="247"/>
        <v>445.77777777777789</v>
      </c>
      <c r="E1989">
        <f t="shared" si="243"/>
        <v>0</v>
      </c>
      <c r="G1989">
        <v>1939</v>
      </c>
      <c r="H1989" s="15">
        <f t="shared" si="248"/>
        <v>3.3332641781299799E-2</v>
      </c>
      <c r="I1989">
        <f t="shared" si="249"/>
        <v>169.13815668688085</v>
      </c>
      <c r="J1989">
        <f t="shared" si="244"/>
        <v>498.27818077789345</v>
      </c>
      <c r="K1989" s="30">
        <f t="shared" si="245"/>
        <v>8276.0101916205967</v>
      </c>
    </row>
    <row r="1990" spans="1:11" x14ac:dyDescent="0.25">
      <c r="A1990" s="29">
        <v>1940</v>
      </c>
      <c r="B1990" s="99">
        <f t="shared" si="246"/>
        <v>0</v>
      </c>
      <c r="C1990" s="75">
        <f t="shared" si="242"/>
        <v>104.50616427295054</v>
      </c>
      <c r="D1990" s="100">
        <f t="shared" si="247"/>
        <v>445.77777777777789</v>
      </c>
      <c r="E1990">
        <f t="shared" si="243"/>
        <v>0</v>
      </c>
      <c r="G1990">
        <v>1940</v>
      </c>
      <c r="H1990" s="15">
        <f t="shared" si="248"/>
        <v>3.3332641781299799E-2</v>
      </c>
      <c r="I1990">
        <f t="shared" si="249"/>
        <v>169.17148932866215</v>
      </c>
      <c r="J1990">
        <f t="shared" si="244"/>
        <v>498.28683328141182</v>
      </c>
      <c r="K1990" s="30">
        <f t="shared" si="245"/>
        <v>8276.2974113608634</v>
      </c>
    </row>
    <row r="1991" spans="1:11" x14ac:dyDescent="0.25">
      <c r="A1991" s="29">
        <v>1941</v>
      </c>
      <c r="B1991" s="99">
        <f t="shared" si="246"/>
        <v>0</v>
      </c>
      <c r="C1991" s="75">
        <f t="shared" si="242"/>
        <v>104.50616427295054</v>
      </c>
      <c r="D1991" s="100">
        <f t="shared" si="247"/>
        <v>445.77777777777789</v>
      </c>
      <c r="E1991">
        <f t="shared" si="243"/>
        <v>0</v>
      </c>
      <c r="G1991">
        <v>1941</v>
      </c>
      <c r="H1991" s="15">
        <f t="shared" si="248"/>
        <v>3.3332641781299799E-2</v>
      </c>
      <c r="I1991">
        <f t="shared" si="249"/>
        <v>169.20482197044345</v>
      </c>
      <c r="J1991">
        <f t="shared" si="244"/>
        <v>498.29547357086187</v>
      </c>
      <c r="K1991" s="30">
        <f t="shared" si="245"/>
        <v>8276.5842303964309</v>
      </c>
    </row>
    <row r="1992" spans="1:11" x14ac:dyDescent="0.25">
      <c r="A1992" s="29">
        <v>1942</v>
      </c>
      <c r="B1992" s="99">
        <f t="shared" si="246"/>
        <v>0</v>
      </c>
      <c r="C1992" s="75">
        <f t="shared" si="242"/>
        <v>104.50616427295054</v>
      </c>
      <c r="D1992" s="100">
        <f t="shared" si="247"/>
        <v>445.77777777777789</v>
      </c>
      <c r="E1992">
        <f t="shared" si="243"/>
        <v>0</v>
      </c>
      <c r="G1992">
        <v>1942</v>
      </c>
      <c r="H1992" s="15">
        <f t="shared" si="248"/>
        <v>3.3332641781299799E-2</v>
      </c>
      <c r="I1992">
        <f t="shared" si="249"/>
        <v>169.23815461222475</v>
      </c>
      <c r="J1992">
        <f t="shared" si="244"/>
        <v>498.30410164950399</v>
      </c>
      <c r="K1992" s="30">
        <f t="shared" si="245"/>
        <v>8276.8706488144253</v>
      </c>
    </row>
    <row r="1993" spans="1:11" x14ac:dyDescent="0.25">
      <c r="A1993" s="29">
        <v>1943</v>
      </c>
      <c r="B1993" s="99">
        <f t="shared" si="246"/>
        <v>0</v>
      </c>
      <c r="C1993" s="75">
        <f t="shared" si="242"/>
        <v>104.50616427295054</v>
      </c>
      <c r="D1993" s="100">
        <f t="shared" si="247"/>
        <v>445.77777777777789</v>
      </c>
      <c r="E1993">
        <f t="shared" si="243"/>
        <v>0</v>
      </c>
      <c r="G1993">
        <v>1943</v>
      </c>
      <c r="H1993" s="15">
        <f t="shared" si="248"/>
        <v>3.3332641781299799E-2</v>
      </c>
      <c r="I1993">
        <f t="shared" si="249"/>
        <v>169.27148725400605</v>
      </c>
      <c r="J1993">
        <f t="shared" si="244"/>
        <v>498.31271752059286</v>
      </c>
      <c r="K1993" s="30">
        <f t="shared" si="245"/>
        <v>8277.156666701816</v>
      </c>
    </row>
    <row r="1994" spans="1:11" x14ac:dyDescent="0.25">
      <c r="A1994" s="29">
        <v>1944</v>
      </c>
      <c r="B1994" s="99">
        <f t="shared" si="246"/>
        <v>0</v>
      </c>
      <c r="C1994" s="75">
        <f t="shared" si="242"/>
        <v>104.50616427295054</v>
      </c>
      <c r="D1994" s="100">
        <f t="shared" si="247"/>
        <v>445.77777777777789</v>
      </c>
      <c r="E1994">
        <f t="shared" si="243"/>
        <v>0</v>
      </c>
      <c r="G1994">
        <v>1944</v>
      </c>
      <c r="H1994" s="15">
        <f t="shared" si="248"/>
        <v>3.3332641781299799E-2</v>
      </c>
      <c r="I1994">
        <f t="shared" si="249"/>
        <v>169.30481989578735</v>
      </c>
      <c r="J1994">
        <f t="shared" si="244"/>
        <v>498.32132118737729</v>
      </c>
      <c r="K1994" s="30">
        <f t="shared" si="245"/>
        <v>8277.4422841454198</v>
      </c>
    </row>
    <row r="1995" spans="1:11" x14ac:dyDescent="0.25">
      <c r="A1995" s="29">
        <v>1945</v>
      </c>
      <c r="B1995" s="99">
        <f t="shared" si="246"/>
        <v>0</v>
      </c>
      <c r="C1995" s="75">
        <f t="shared" si="242"/>
        <v>104.50616427295054</v>
      </c>
      <c r="D1995" s="100">
        <f t="shared" si="247"/>
        <v>445.77777777777789</v>
      </c>
      <c r="E1995">
        <f t="shared" si="243"/>
        <v>0</v>
      </c>
      <c r="G1995">
        <v>1945</v>
      </c>
      <c r="H1995" s="15">
        <f t="shared" si="248"/>
        <v>3.3332641781299799E-2</v>
      </c>
      <c r="I1995">
        <f t="shared" si="249"/>
        <v>169.33815253756865</v>
      </c>
      <c r="J1995">
        <f t="shared" si="244"/>
        <v>498.32991265310039</v>
      </c>
      <c r="K1995" s="30">
        <f t="shared" si="245"/>
        <v>8277.7275012319042</v>
      </c>
    </row>
    <row r="1996" spans="1:11" x14ac:dyDescent="0.25">
      <c r="A1996" s="29">
        <v>1946</v>
      </c>
      <c r="B1996" s="99">
        <f t="shared" si="246"/>
        <v>0</v>
      </c>
      <c r="C1996" s="75">
        <f t="shared" si="242"/>
        <v>104.50616427295054</v>
      </c>
      <c r="D1996" s="100">
        <f t="shared" si="247"/>
        <v>445.77777777777789</v>
      </c>
      <c r="E1996">
        <f t="shared" si="243"/>
        <v>0</v>
      </c>
      <c r="G1996">
        <v>1946</v>
      </c>
      <c r="H1996" s="15">
        <f t="shared" si="248"/>
        <v>3.3332641781299799E-2</v>
      </c>
      <c r="I1996">
        <f t="shared" si="249"/>
        <v>169.37148517934995</v>
      </c>
      <c r="J1996">
        <f t="shared" si="244"/>
        <v>498.33849192099967</v>
      </c>
      <c r="K1996" s="30">
        <f t="shared" si="245"/>
        <v>8278.0123180477804</v>
      </c>
    </row>
    <row r="1997" spans="1:11" x14ac:dyDescent="0.25">
      <c r="A1997" s="29">
        <v>1947</v>
      </c>
      <c r="B1997" s="99">
        <f t="shared" si="246"/>
        <v>0</v>
      </c>
      <c r="C1997" s="75">
        <f t="shared" si="242"/>
        <v>104.50616427295054</v>
      </c>
      <c r="D1997" s="100">
        <f t="shared" si="247"/>
        <v>445.77777777777789</v>
      </c>
      <c r="E1997">
        <f t="shared" si="243"/>
        <v>0</v>
      </c>
      <c r="G1997">
        <v>1947</v>
      </c>
      <c r="H1997" s="15">
        <f t="shared" si="248"/>
        <v>3.3332641781299799E-2</v>
      </c>
      <c r="I1997">
        <f t="shared" si="249"/>
        <v>169.40481782113125</v>
      </c>
      <c r="J1997">
        <f t="shared" si="244"/>
        <v>498.34705899430668</v>
      </c>
      <c r="K1997" s="30">
        <f t="shared" si="245"/>
        <v>8278.2967346794012</v>
      </c>
    </row>
    <row r="1998" spans="1:11" x14ac:dyDescent="0.25">
      <c r="A1998" s="29">
        <v>1948</v>
      </c>
      <c r="B1998" s="99">
        <f t="shared" si="246"/>
        <v>0</v>
      </c>
      <c r="C1998" s="75">
        <f t="shared" si="242"/>
        <v>104.50616427295054</v>
      </c>
      <c r="D1998" s="100">
        <f t="shared" si="247"/>
        <v>445.77777777777789</v>
      </c>
      <c r="E1998">
        <f t="shared" si="243"/>
        <v>0</v>
      </c>
      <c r="G1998">
        <v>1948</v>
      </c>
      <c r="H1998" s="15">
        <f t="shared" si="248"/>
        <v>3.3332641781299799E-2</v>
      </c>
      <c r="I1998">
        <f t="shared" si="249"/>
        <v>169.43815046291255</v>
      </c>
      <c r="J1998">
        <f t="shared" si="244"/>
        <v>498.35561387624739</v>
      </c>
      <c r="K1998" s="30">
        <f t="shared" si="245"/>
        <v>8278.5807512129777</v>
      </c>
    </row>
    <row r="1999" spans="1:11" x14ac:dyDescent="0.25">
      <c r="A1999" s="29">
        <v>1949</v>
      </c>
      <c r="B1999" s="99">
        <f t="shared" si="246"/>
        <v>0</v>
      </c>
      <c r="C1999" s="75">
        <f t="shared" si="242"/>
        <v>104.50616427295054</v>
      </c>
      <c r="D1999" s="100">
        <f t="shared" si="247"/>
        <v>445.77777777777789</v>
      </c>
      <c r="E1999">
        <f t="shared" si="243"/>
        <v>0</v>
      </c>
      <c r="G1999">
        <v>1949</v>
      </c>
      <c r="H1999" s="15">
        <f t="shared" si="248"/>
        <v>3.3332641781299799E-2</v>
      </c>
      <c r="I1999">
        <f t="shared" si="249"/>
        <v>169.47148310469385</v>
      </c>
      <c r="J1999">
        <f t="shared" si="244"/>
        <v>498.36415657004198</v>
      </c>
      <c r="K1999" s="30">
        <f t="shared" si="245"/>
        <v>8278.8643677345553</v>
      </c>
    </row>
    <row r="2000" spans="1:11" x14ac:dyDescent="0.25">
      <c r="A2000" s="29">
        <v>1950</v>
      </c>
      <c r="B2000" s="99">
        <f t="shared" si="246"/>
        <v>0</v>
      </c>
      <c r="C2000" s="75">
        <f t="shared" ref="C2000:C2049" si="250">($C$37-$C$36)/2000+C1999</f>
        <v>104.50616427295054</v>
      </c>
      <c r="D2000" s="100">
        <f t="shared" si="247"/>
        <v>445.77777777777789</v>
      </c>
      <c r="E2000">
        <f t="shared" si="243"/>
        <v>0</v>
      </c>
      <c r="G2000">
        <v>1950</v>
      </c>
      <c r="H2000" s="15">
        <f t="shared" si="248"/>
        <v>3.3332641781299799E-2</v>
      </c>
      <c r="I2000">
        <f t="shared" si="249"/>
        <v>169.50481574647515</v>
      </c>
      <c r="J2000">
        <f t="shared" si="244"/>
        <v>498.3726870789049</v>
      </c>
      <c r="K2000" s="30">
        <f t="shared" si="245"/>
        <v>8279.1475843300323</v>
      </c>
    </row>
    <row r="2001" spans="1:11" x14ac:dyDescent="0.25">
      <c r="A2001" s="29">
        <v>1951</v>
      </c>
      <c r="B2001" s="99">
        <f t="shared" si="246"/>
        <v>0</v>
      </c>
      <c r="C2001" s="75">
        <f t="shared" si="250"/>
        <v>104.50616427295054</v>
      </c>
      <c r="D2001" s="100">
        <f t="shared" si="247"/>
        <v>445.77777777777789</v>
      </c>
      <c r="E2001">
        <f t="shared" si="243"/>
        <v>0</v>
      </c>
      <c r="G2001">
        <v>1951</v>
      </c>
      <c r="H2001" s="15">
        <f t="shared" si="248"/>
        <v>3.3332641781299799E-2</v>
      </c>
      <c r="I2001">
        <f t="shared" si="249"/>
        <v>169.53814838825645</v>
      </c>
      <c r="J2001">
        <f t="shared" si="244"/>
        <v>498.3812054060449</v>
      </c>
      <c r="K2001" s="30">
        <f t="shared" si="245"/>
        <v>8279.4304010851574</v>
      </c>
    </row>
    <row r="2002" spans="1:11" x14ac:dyDescent="0.25">
      <c r="A2002" s="29">
        <v>1952</v>
      </c>
      <c r="B2002" s="99">
        <f t="shared" si="246"/>
        <v>0</v>
      </c>
      <c r="C2002" s="75">
        <f t="shared" si="250"/>
        <v>104.50616427295054</v>
      </c>
      <c r="D2002" s="100">
        <f t="shared" si="247"/>
        <v>445.77777777777789</v>
      </c>
      <c r="E2002">
        <f t="shared" si="243"/>
        <v>0</v>
      </c>
      <c r="G2002">
        <v>1952</v>
      </c>
      <c r="H2002" s="15">
        <f t="shared" si="248"/>
        <v>3.3332641781299799E-2</v>
      </c>
      <c r="I2002">
        <f t="shared" si="249"/>
        <v>169.57148103003775</v>
      </c>
      <c r="J2002">
        <f t="shared" si="244"/>
        <v>498.38971155466504</v>
      </c>
      <c r="K2002" s="30">
        <f t="shared" si="245"/>
        <v>8279.7128180855216</v>
      </c>
    </row>
    <row r="2003" spans="1:11" x14ac:dyDescent="0.25">
      <c r="A2003" s="29">
        <v>1953</v>
      </c>
      <c r="B2003" s="99">
        <f t="shared" si="246"/>
        <v>0</v>
      </c>
      <c r="C2003" s="75">
        <f t="shared" si="250"/>
        <v>104.50616427295054</v>
      </c>
      <c r="D2003" s="100">
        <f t="shared" si="247"/>
        <v>445.77777777777789</v>
      </c>
      <c r="E2003">
        <f t="shared" si="243"/>
        <v>0</v>
      </c>
      <c r="G2003">
        <v>1953</v>
      </c>
      <c r="H2003" s="15">
        <f t="shared" si="248"/>
        <v>3.3332641781299799E-2</v>
      </c>
      <c r="I2003">
        <f t="shared" si="249"/>
        <v>169.60481367181904</v>
      </c>
      <c r="J2003">
        <f t="shared" si="244"/>
        <v>498.39820552796277</v>
      </c>
      <c r="K2003" s="30">
        <f t="shared" si="245"/>
        <v>8279.9948354165663</v>
      </c>
    </row>
    <row r="2004" spans="1:11" x14ac:dyDescent="0.25">
      <c r="A2004" s="29">
        <v>1954</v>
      </c>
      <c r="B2004" s="99">
        <f t="shared" si="246"/>
        <v>0</v>
      </c>
      <c r="C2004" s="75">
        <f t="shared" si="250"/>
        <v>104.50616427295054</v>
      </c>
      <c r="D2004" s="100">
        <f t="shared" si="247"/>
        <v>445.77777777777789</v>
      </c>
      <c r="E2004">
        <f t="shared" si="243"/>
        <v>0</v>
      </c>
      <c r="G2004">
        <v>1954</v>
      </c>
      <c r="H2004" s="15">
        <f t="shared" si="248"/>
        <v>3.3332641781299799E-2</v>
      </c>
      <c r="I2004">
        <f t="shared" si="249"/>
        <v>169.63814631360034</v>
      </c>
      <c r="J2004">
        <f t="shared" si="244"/>
        <v>498.40668732912957</v>
      </c>
      <c r="K2004" s="30">
        <f t="shared" si="245"/>
        <v>8280.2764531635803</v>
      </c>
    </row>
    <row r="2005" spans="1:11" x14ac:dyDescent="0.25">
      <c r="A2005" s="29">
        <v>1955</v>
      </c>
      <c r="B2005" s="99">
        <f t="shared" si="246"/>
        <v>0</v>
      </c>
      <c r="C2005" s="75">
        <f t="shared" si="250"/>
        <v>104.50616427295054</v>
      </c>
      <c r="D2005" s="100">
        <f t="shared" si="247"/>
        <v>445.77777777777789</v>
      </c>
      <c r="E2005">
        <f t="shared" si="243"/>
        <v>0</v>
      </c>
      <c r="G2005">
        <v>1955</v>
      </c>
      <c r="H2005" s="15">
        <f t="shared" si="248"/>
        <v>3.3332641781299799E-2</v>
      </c>
      <c r="I2005">
        <f t="shared" si="249"/>
        <v>169.67147895538164</v>
      </c>
      <c r="J2005">
        <f t="shared" si="244"/>
        <v>498.41515696135156</v>
      </c>
      <c r="K2005" s="30">
        <f t="shared" si="245"/>
        <v>8280.5576714116996</v>
      </c>
    </row>
    <row r="2006" spans="1:11" x14ac:dyDescent="0.25">
      <c r="A2006" s="29">
        <v>1956</v>
      </c>
      <c r="B2006" s="99">
        <f t="shared" si="246"/>
        <v>0</v>
      </c>
      <c r="C2006" s="75">
        <f t="shared" si="250"/>
        <v>104.50616427295054</v>
      </c>
      <c r="D2006" s="100">
        <f t="shared" si="247"/>
        <v>445.77777777777789</v>
      </c>
      <c r="E2006">
        <f t="shared" si="243"/>
        <v>0</v>
      </c>
      <c r="G2006">
        <v>1956</v>
      </c>
      <c r="H2006" s="15">
        <f t="shared" si="248"/>
        <v>3.3332641781299799E-2</v>
      </c>
      <c r="I2006">
        <f t="shared" si="249"/>
        <v>169.70481159716294</v>
      </c>
      <c r="J2006">
        <f t="shared" si="244"/>
        <v>498.42361442780896</v>
      </c>
      <c r="K2006" s="30">
        <f t="shared" si="245"/>
        <v>8280.8384902459056</v>
      </c>
    </row>
    <row r="2007" spans="1:11" x14ac:dyDescent="0.25">
      <c r="A2007" s="29">
        <v>1957</v>
      </c>
      <c r="B2007" s="99">
        <f t="shared" si="246"/>
        <v>0</v>
      </c>
      <c r="C2007" s="75">
        <f t="shared" si="250"/>
        <v>104.50616427295054</v>
      </c>
      <c r="D2007" s="100">
        <f t="shared" si="247"/>
        <v>445.77777777777789</v>
      </c>
      <c r="E2007">
        <f t="shared" si="243"/>
        <v>0</v>
      </c>
      <c r="G2007">
        <v>1957</v>
      </c>
      <c r="H2007" s="15">
        <f t="shared" si="248"/>
        <v>3.3332641781299799E-2</v>
      </c>
      <c r="I2007">
        <f t="shared" si="249"/>
        <v>169.73814423894424</v>
      </c>
      <c r="J2007">
        <f t="shared" si="244"/>
        <v>498.43205973167636</v>
      </c>
      <c r="K2007" s="30">
        <f t="shared" si="245"/>
        <v>8281.118909751036</v>
      </c>
    </row>
    <row r="2008" spans="1:11" x14ac:dyDescent="0.25">
      <c r="A2008" s="29">
        <v>1958</v>
      </c>
      <c r="B2008" s="99">
        <f t="shared" si="246"/>
        <v>0</v>
      </c>
      <c r="C2008" s="75">
        <f t="shared" si="250"/>
        <v>104.50616427295054</v>
      </c>
      <c r="D2008" s="100">
        <f t="shared" si="247"/>
        <v>445.77777777777789</v>
      </c>
      <c r="E2008">
        <f t="shared" si="243"/>
        <v>0</v>
      </c>
      <c r="G2008">
        <v>1958</v>
      </c>
      <c r="H2008" s="15">
        <f t="shared" si="248"/>
        <v>3.3332641781299799E-2</v>
      </c>
      <c r="I2008">
        <f t="shared" si="249"/>
        <v>169.77147688072554</v>
      </c>
      <c r="J2008">
        <f t="shared" si="244"/>
        <v>498.44049287612279</v>
      </c>
      <c r="K2008" s="30">
        <f t="shared" si="245"/>
        <v>8281.3989300117719</v>
      </c>
    </row>
    <row r="2009" spans="1:11" x14ac:dyDescent="0.25">
      <c r="A2009" s="29">
        <v>1959</v>
      </c>
      <c r="B2009" s="99">
        <f t="shared" si="246"/>
        <v>0</v>
      </c>
      <c r="C2009" s="75">
        <f t="shared" si="250"/>
        <v>104.50616427295054</v>
      </c>
      <c r="D2009" s="100">
        <f t="shared" si="247"/>
        <v>445.77777777777789</v>
      </c>
      <c r="E2009">
        <f t="shared" si="243"/>
        <v>0</v>
      </c>
      <c r="G2009">
        <v>1959</v>
      </c>
      <c r="H2009" s="15">
        <f t="shared" si="248"/>
        <v>3.3332641781299799E-2</v>
      </c>
      <c r="I2009">
        <f t="shared" si="249"/>
        <v>169.80480952250684</v>
      </c>
      <c r="J2009">
        <f t="shared" si="244"/>
        <v>498.44891386431152</v>
      </c>
      <c r="K2009" s="30">
        <f t="shared" si="245"/>
        <v>8281.67855111264</v>
      </c>
    </row>
    <row r="2010" spans="1:11" x14ac:dyDescent="0.25">
      <c r="A2010" s="29">
        <v>1960</v>
      </c>
      <c r="B2010" s="99">
        <f t="shared" si="246"/>
        <v>0</v>
      </c>
      <c r="C2010" s="75">
        <f t="shared" si="250"/>
        <v>104.50616427295054</v>
      </c>
      <c r="D2010" s="100">
        <f t="shared" si="247"/>
        <v>445.77777777777789</v>
      </c>
      <c r="E2010">
        <f t="shared" si="243"/>
        <v>0</v>
      </c>
      <c r="G2010">
        <v>1960</v>
      </c>
      <c r="H2010" s="15">
        <f t="shared" si="248"/>
        <v>3.3332641781299799E-2</v>
      </c>
      <c r="I2010">
        <f t="shared" si="249"/>
        <v>169.83814216428814</v>
      </c>
      <c r="J2010">
        <f t="shared" si="244"/>
        <v>498.45732269940015</v>
      </c>
      <c r="K2010" s="30">
        <f t="shared" si="245"/>
        <v>8281.9577731380214</v>
      </c>
    </row>
    <row r="2011" spans="1:11" x14ac:dyDescent="0.25">
      <c r="A2011" s="29">
        <v>1961</v>
      </c>
      <c r="B2011" s="99">
        <f t="shared" si="246"/>
        <v>0</v>
      </c>
      <c r="C2011" s="75">
        <f t="shared" si="250"/>
        <v>104.50616427295054</v>
      </c>
      <c r="D2011" s="100">
        <f t="shared" si="247"/>
        <v>445.77777777777789</v>
      </c>
      <c r="E2011">
        <f t="shared" si="243"/>
        <v>0</v>
      </c>
      <c r="G2011">
        <v>1961</v>
      </c>
      <c r="H2011" s="15">
        <f t="shared" si="248"/>
        <v>3.3332641781299799E-2</v>
      </c>
      <c r="I2011">
        <f t="shared" si="249"/>
        <v>169.87147480606944</v>
      </c>
      <c r="J2011">
        <f t="shared" si="244"/>
        <v>498.46571938454071</v>
      </c>
      <c r="K2011" s="30">
        <f t="shared" si="245"/>
        <v>8282.2365961721425</v>
      </c>
    </row>
    <row r="2012" spans="1:11" x14ac:dyDescent="0.25">
      <c r="A2012" s="29">
        <v>1962</v>
      </c>
      <c r="B2012" s="99">
        <f t="shared" si="246"/>
        <v>0</v>
      </c>
      <c r="C2012" s="75">
        <f t="shared" si="250"/>
        <v>104.50616427295054</v>
      </c>
      <c r="D2012" s="100">
        <f t="shared" si="247"/>
        <v>445.77777777777789</v>
      </c>
      <c r="E2012">
        <f t="shared" si="243"/>
        <v>0</v>
      </c>
      <c r="G2012">
        <v>1962</v>
      </c>
      <c r="H2012" s="15">
        <f t="shared" si="248"/>
        <v>3.3332641781299799E-2</v>
      </c>
      <c r="I2012">
        <f t="shared" si="249"/>
        <v>169.90480744785074</v>
      </c>
      <c r="J2012">
        <f t="shared" si="244"/>
        <v>498.47410392287952</v>
      </c>
      <c r="K2012" s="30">
        <f t="shared" si="245"/>
        <v>8282.5150202990826</v>
      </c>
    </row>
    <row r="2013" spans="1:11" x14ac:dyDescent="0.25">
      <c r="A2013" s="29">
        <v>1963</v>
      </c>
      <c r="B2013" s="99">
        <f t="shared" si="246"/>
        <v>0</v>
      </c>
      <c r="C2013" s="75">
        <f t="shared" si="250"/>
        <v>104.50616427295054</v>
      </c>
      <c r="D2013" s="100">
        <f t="shared" si="247"/>
        <v>445.77777777777789</v>
      </c>
      <c r="E2013">
        <f t="shared" si="243"/>
        <v>0</v>
      </c>
      <c r="G2013">
        <v>1963</v>
      </c>
      <c r="H2013" s="15">
        <f t="shared" si="248"/>
        <v>3.3332641781299799E-2</v>
      </c>
      <c r="I2013">
        <f t="shared" si="249"/>
        <v>169.93814008963204</v>
      </c>
      <c r="J2013">
        <f t="shared" si="244"/>
        <v>498.48247631755726</v>
      </c>
      <c r="K2013" s="30">
        <f t="shared" si="245"/>
        <v>8282.7930456027661</v>
      </c>
    </row>
    <row r="2014" spans="1:11" x14ac:dyDescent="0.25">
      <c r="A2014" s="29">
        <v>1964</v>
      </c>
      <c r="B2014" s="99">
        <f t="shared" si="246"/>
        <v>0</v>
      </c>
      <c r="C2014" s="75">
        <f t="shared" si="250"/>
        <v>104.50616427295054</v>
      </c>
      <c r="D2014" s="100">
        <f t="shared" si="247"/>
        <v>445.77777777777789</v>
      </c>
      <c r="E2014">
        <f t="shared" si="243"/>
        <v>0</v>
      </c>
      <c r="G2014">
        <v>1964</v>
      </c>
      <c r="H2014" s="15">
        <f t="shared" si="248"/>
        <v>3.3332641781299799E-2</v>
      </c>
      <c r="I2014">
        <f t="shared" si="249"/>
        <v>169.97147273141334</v>
      </c>
      <c r="J2014">
        <f t="shared" si="244"/>
        <v>498.49083657170905</v>
      </c>
      <c r="K2014" s="30">
        <f t="shared" si="245"/>
        <v>8283.0706721669721</v>
      </c>
    </row>
    <row r="2015" spans="1:11" x14ac:dyDescent="0.25">
      <c r="A2015" s="29">
        <v>1965</v>
      </c>
      <c r="B2015" s="99">
        <f t="shared" si="246"/>
        <v>0</v>
      </c>
      <c r="C2015" s="75">
        <f t="shared" si="250"/>
        <v>104.50616427295054</v>
      </c>
      <c r="D2015" s="100">
        <f t="shared" si="247"/>
        <v>445.77777777777789</v>
      </c>
      <c r="E2015">
        <f t="shared" si="243"/>
        <v>0</v>
      </c>
      <c r="G2015">
        <v>1965</v>
      </c>
      <c r="H2015" s="15">
        <f t="shared" si="248"/>
        <v>3.3332641781299799E-2</v>
      </c>
      <c r="I2015">
        <f t="shared" si="249"/>
        <v>170.00480537319464</v>
      </c>
      <c r="J2015">
        <f t="shared" si="244"/>
        <v>498.49918468846431</v>
      </c>
      <c r="K2015" s="30">
        <f t="shared" si="245"/>
        <v>8283.3479000753232</v>
      </c>
    </row>
    <row r="2016" spans="1:11" x14ac:dyDescent="0.25">
      <c r="A2016" s="29">
        <v>1966</v>
      </c>
      <c r="B2016" s="99">
        <f t="shared" si="246"/>
        <v>0</v>
      </c>
      <c r="C2016" s="75">
        <f t="shared" si="250"/>
        <v>104.50616427295054</v>
      </c>
      <c r="D2016" s="100">
        <f t="shared" si="247"/>
        <v>445.77777777777789</v>
      </c>
      <c r="E2016">
        <f t="shared" si="243"/>
        <v>0</v>
      </c>
      <c r="G2016">
        <v>1966</v>
      </c>
      <c r="H2016" s="15">
        <f t="shared" si="248"/>
        <v>3.3332641781299799E-2</v>
      </c>
      <c r="I2016">
        <f t="shared" si="249"/>
        <v>170.03813801497594</v>
      </c>
      <c r="J2016">
        <f t="shared" si="244"/>
        <v>498.50752067094697</v>
      </c>
      <c r="K2016" s="30">
        <f t="shared" si="245"/>
        <v>8283.6247294112964</v>
      </c>
    </row>
    <row r="2017" spans="1:11" x14ac:dyDescent="0.25">
      <c r="A2017" s="29">
        <v>1967</v>
      </c>
      <c r="B2017" s="99">
        <f t="shared" si="246"/>
        <v>0</v>
      </c>
      <c r="C2017" s="75">
        <f t="shared" si="250"/>
        <v>104.50616427295054</v>
      </c>
      <c r="D2017" s="100">
        <f t="shared" si="247"/>
        <v>445.77777777777789</v>
      </c>
      <c r="E2017">
        <f t="shared" si="243"/>
        <v>0</v>
      </c>
      <c r="G2017">
        <v>1967</v>
      </c>
      <c r="H2017" s="15">
        <f t="shared" si="248"/>
        <v>3.3332641781299799E-2</v>
      </c>
      <c r="I2017">
        <f t="shared" si="249"/>
        <v>170.07147065675724</v>
      </c>
      <c r="J2017">
        <f t="shared" si="244"/>
        <v>498.51584452227519</v>
      </c>
      <c r="K2017" s="30">
        <f t="shared" si="245"/>
        <v>8283.9011602582159</v>
      </c>
    </row>
    <row r="2018" spans="1:11" x14ac:dyDescent="0.25">
      <c r="A2018" s="29">
        <v>1968</v>
      </c>
      <c r="B2018" s="99">
        <f t="shared" si="246"/>
        <v>0</v>
      </c>
      <c r="C2018" s="75">
        <f t="shared" si="250"/>
        <v>104.50616427295054</v>
      </c>
      <c r="D2018" s="100">
        <f t="shared" si="247"/>
        <v>445.77777777777789</v>
      </c>
      <c r="E2018">
        <f t="shared" si="243"/>
        <v>0</v>
      </c>
      <c r="G2018">
        <v>1968</v>
      </c>
      <c r="H2018" s="15">
        <f t="shared" si="248"/>
        <v>3.3332641781299799E-2</v>
      </c>
      <c r="I2018">
        <f t="shared" si="249"/>
        <v>170.10480329853854</v>
      </c>
      <c r="J2018">
        <f t="shared" si="244"/>
        <v>498.52415624556158</v>
      </c>
      <c r="K2018" s="30">
        <f t="shared" si="245"/>
        <v>8284.1771926992606</v>
      </c>
    </row>
    <row r="2019" spans="1:11" x14ac:dyDescent="0.25">
      <c r="A2019" s="29">
        <v>1969</v>
      </c>
      <c r="B2019" s="99">
        <f t="shared" si="246"/>
        <v>0</v>
      </c>
      <c r="C2019" s="75">
        <f t="shared" si="250"/>
        <v>104.50616427295054</v>
      </c>
      <c r="D2019" s="100">
        <f t="shared" si="247"/>
        <v>445.77777777777789</v>
      </c>
      <c r="E2019">
        <f t="shared" si="243"/>
        <v>0</v>
      </c>
      <c r="G2019">
        <v>1969</v>
      </c>
      <c r="H2019" s="15">
        <f t="shared" si="248"/>
        <v>3.3332641781299799E-2</v>
      </c>
      <c r="I2019">
        <f t="shared" si="249"/>
        <v>170.13813594031984</v>
      </c>
      <c r="J2019">
        <f t="shared" si="244"/>
        <v>498.53245584391317</v>
      </c>
      <c r="K2019" s="30">
        <f t="shared" si="245"/>
        <v>8284.4528268174527</v>
      </c>
    </row>
    <row r="2020" spans="1:11" x14ac:dyDescent="0.25">
      <c r="A2020" s="29">
        <v>1970</v>
      </c>
      <c r="B2020" s="99">
        <f t="shared" si="246"/>
        <v>0</v>
      </c>
      <c r="C2020" s="75">
        <f t="shared" si="250"/>
        <v>104.50616427295054</v>
      </c>
      <c r="D2020" s="100">
        <f t="shared" si="247"/>
        <v>445.77777777777789</v>
      </c>
      <c r="E2020">
        <f t="shared" si="243"/>
        <v>0</v>
      </c>
      <c r="G2020">
        <v>1970</v>
      </c>
      <c r="H2020" s="15">
        <f t="shared" si="248"/>
        <v>3.3332641781299799E-2</v>
      </c>
      <c r="I2020">
        <f t="shared" si="249"/>
        <v>170.17146858210114</v>
      </c>
      <c r="J2020">
        <f t="shared" si="244"/>
        <v>498.54074332043149</v>
      </c>
      <c r="K2020" s="30">
        <f t="shared" si="245"/>
        <v>8284.728062695669</v>
      </c>
    </row>
    <row r="2021" spans="1:11" x14ac:dyDescent="0.25">
      <c r="A2021" s="29">
        <v>1971</v>
      </c>
      <c r="B2021" s="99">
        <f t="shared" si="246"/>
        <v>0</v>
      </c>
      <c r="C2021" s="75">
        <f t="shared" si="250"/>
        <v>104.50616427295054</v>
      </c>
      <c r="D2021" s="100">
        <f t="shared" si="247"/>
        <v>445.77777777777789</v>
      </c>
      <c r="E2021">
        <f t="shared" si="243"/>
        <v>0</v>
      </c>
      <c r="G2021">
        <v>1971</v>
      </c>
      <c r="H2021" s="15">
        <f t="shared" si="248"/>
        <v>3.3332641781299799E-2</v>
      </c>
      <c r="I2021">
        <f t="shared" si="249"/>
        <v>170.20480122388244</v>
      </c>
      <c r="J2021">
        <f t="shared" si="244"/>
        <v>498.54901867821229</v>
      </c>
      <c r="K2021" s="30">
        <f t="shared" si="245"/>
        <v>8285.0029004166445</v>
      </c>
    </row>
    <row r="2022" spans="1:11" x14ac:dyDescent="0.25">
      <c r="A2022" s="29">
        <v>1972</v>
      </c>
      <c r="B2022" s="99">
        <f t="shared" si="246"/>
        <v>0</v>
      </c>
      <c r="C2022" s="75">
        <f t="shared" si="250"/>
        <v>104.50616427295054</v>
      </c>
      <c r="D2022" s="100">
        <f t="shared" si="247"/>
        <v>445.77777777777789</v>
      </c>
      <c r="E2022">
        <f t="shared" si="243"/>
        <v>0</v>
      </c>
      <c r="G2022">
        <v>1972</v>
      </c>
      <c r="H2022" s="15">
        <f t="shared" si="248"/>
        <v>3.3332641781299799E-2</v>
      </c>
      <c r="I2022">
        <f t="shared" si="249"/>
        <v>170.23813386566374</v>
      </c>
      <c r="J2022">
        <f t="shared" si="244"/>
        <v>498.55728192034587</v>
      </c>
      <c r="K2022" s="30">
        <f t="shared" si="245"/>
        <v>8285.2773400629467</v>
      </c>
    </row>
    <row r="2023" spans="1:11" x14ac:dyDescent="0.25">
      <c r="A2023" s="29">
        <v>1973</v>
      </c>
      <c r="B2023" s="99">
        <f t="shared" si="246"/>
        <v>0</v>
      </c>
      <c r="C2023" s="75">
        <f t="shared" si="250"/>
        <v>104.50616427295054</v>
      </c>
      <c r="D2023" s="100">
        <f t="shared" si="247"/>
        <v>445.77777777777789</v>
      </c>
      <c r="E2023">
        <f t="shared" si="243"/>
        <v>0</v>
      </c>
      <c r="G2023">
        <v>1973</v>
      </c>
      <c r="H2023" s="15">
        <f t="shared" si="248"/>
        <v>3.3332641781299799E-2</v>
      </c>
      <c r="I2023">
        <f t="shared" si="249"/>
        <v>170.27146650744504</v>
      </c>
      <c r="J2023">
        <f t="shared" si="244"/>
        <v>498.56553304991689</v>
      </c>
      <c r="K2023" s="30">
        <f t="shared" si="245"/>
        <v>8285.5513817170104</v>
      </c>
    </row>
    <row r="2024" spans="1:11" x14ac:dyDescent="0.25">
      <c r="A2024" s="29">
        <v>1974</v>
      </c>
      <c r="B2024" s="99">
        <f t="shared" si="246"/>
        <v>0</v>
      </c>
      <c r="C2024" s="75">
        <f t="shared" si="250"/>
        <v>104.50616427295054</v>
      </c>
      <c r="D2024" s="100">
        <f t="shared" si="247"/>
        <v>445.77777777777789</v>
      </c>
      <c r="E2024">
        <f t="shared" si="243"/>
        <v>0</v>
      </c>
      <c r="G2024">
        <v>1974</v>
      </c>
      <c r="H2024" s="15">
        <f t="shared" si="248"/>
        <v>3.3332641781299799E-2</v>
      </c>
      <c r="I2024">
        <f t="shared" si="249"/>
        <v>170.30479914922634</v>
      </c>
      <c r="J2024">
        <f t="shared" si="244"/>
        <v>498.57377207000462</v>
      </c>
      <c r="K2024" s="30">
        <f t="shared" si="245"/>
        <v>8285.8250254611175</v>
      </c>
    </row>
    <row r="2025" spans="1:11" x14ac:dyDescent="0.25">
      <c r="A2025" s="29">
        <v>1975</v>
      </c>
      <c r="B2025" s="99">
        <f t="shared" si="246"/>
        <v>0</v>
      </c>
      <c r="C2025" s="75">
        <f t="shared" si="250"/>
        <v>104.50616427295054</v>
      </c>
      <c r="D2025" s="100">
        <f t="shared" si="247"/>
        <v>445.77777777777789</v>
      </c>
      <c r="E2025">
        <f t="shared" si="243"/>
        <v>0</v>
      </c>
      <c r="G2025">
        <v>1975</v>
      </c>
      <c r="H2025" s="15">
        <f t="shared" si="248"/>
        <v>3.3332641781299799E-2</v>
      </c>
      <c r="I2025">
        <f t="shared" si="249"/>
        <v>170.33813179100764</v>
      </c>
      <c r="J2025">
        <f t="shared" si="244"/>
        <v>498.58199898368252</v>
      </c>
      <c r="K2025" s="30">
        <f t="shared" si="245"/>
        <v>8286.0982713773974</v>
      </c>
    </row>
    <row r="2026" spans="1:11" x14ac:dyDescent="0.25">
      <c r="A2026" s="29">
        <v>1976</v>
      </c>
      <c r="B2026" s="99">
        <f t="shared" si="246"/>
        <v>0</v>
      </c>
      <c r="C2026" s="75">
        <f t="shared" si="250"/>
        <v>104.50616427295054</v>
      </c>
      <c r="D2026" s="100">
        <f t="shared" si="247"/>
        <v>445.77777777777789</v>
      </c>
      <c r="E2026">
        <f t="shared" si="243"/>
        <v>0</v>
      </c>
      <c r="G2026">
        <v>1976</v>
      </c>
      <c r="H2026" s="15">
        <f t="shared" si="248"/>
        <v>3.3332641781299799E-2</v>
      </c>
      <c r="I2026">
        <f t="shared" si="249"/>
        <v>170.37146443278894</v>
      </c>
      <c r="J2026">
        <f t="shared" si="244"/>
        <v>498.59021379401867</v>
      </c>
      <c r="K2026" s="30">
        <f t="shared" si="245"/>
        <v>8286.3711195478336</v>
      </c>
    </row>
    <row r="2027" spans="1:11" x14ac:dyDescent="0.25">
      <c r="A2027" s="29">
        <v>1977</v>
      </c>
      <c r="B2027" s="99">
        <f t="shared" si="246"/>
        <v>0</v>
      </c>
      <c r="C2027" s="75">
        <f t="shared" si="250"/>
        <v>104.50616427295054</v>
      </c>
      <c r="D2027" s="100">
        <f t="shared" si="247"/>
        <v>445.77777777777789</v>
      </c>
      <c r="E2027">
        <f t="shared" si="243"/>
        <v>0</v>
      </c>
      <c r="G2027">
        <v>1977</v>
      </c>
      <c r="H2027" s="15">
        <f t="shared" si="248"/>
        <v>3.3332641781299799E-2</v>
      </c>
      <c r="I2027">
        <f t="shared" si="249"/>
        <v>170.40479707457024</v>
      </c>
      <c r="J2027">
        <f t="shared" si="244"/>
        <v>498.59841650407549</v>
      </c>
      <c r="K2027" s="30">
        <f t="shared" si="245"/>
        <v>8286.6435700542625</v>
      </c>
    </row>
    <row r="2028" spans="1:11" x14ac:dyDescent="0.25">
      <c r="A2028" s="29">
        <v>1978</v>
      </c>
      <c r="B2028" s="99">
        <f t="shared" si="246"/>
        <v>0</v>
      </c>
      <c r="C2028" s="75">
        <f t="shared" si="250"/>
        <v>104.50616427295054</v>
      </c>
      <c r="D2028" s="100">
        <f t="shared" si="247"/>
        <v>445.77777777777789</v>
      </c>
      <c r="E2028">
        <f t="shared" si="243"/>
        <v>0</v>
      </c>
      <c r="G2028">
        <v>1978</v>
      </c>
      <c r="H2028" s="15">
        <f t="shared" si="248"/>
        <v>3.3332641781299799E-2</v>
      </c>
      <c r="I2028">
        <f t="shared" si="249"/>
        <v>170.43812971635154</v>
      </c>
      <c r="J2028">
        <f t="shared" si="244"/>
        <v>498.60660711690991</v>
      </c>
      <c r="K2028" s="30">
        <f t="shared" si="245"/>
        <v>8286.9156229783712</v>
      </c>
    </row>
    <row r="2029" spans="1:11" x14ac:dyDescent="0.25">
      <c r="A2029" s="29">
        <v>1979</v>
      </c>
      <c r="B2029" s="99">
        <f t="shared" si="246"/>
        <v>0</v>
      </c>
      <c r="C2029" s="75">
        <f t="shared" si="250"/>
        <v>104.50616427295054</v>
      </c>
      <c r="D2029" s="100">
        <f t="shared" si="247"/>
        <v>445.77777777777789</v>
      </c>
      <c r="E2029">
        <f t="shared" si="243"/>
        <v>0</v>
      </c>
      <c r="G2029">
        <v>1979</v>
      </c>
      <c r="H2029" s="15">
        <f t="shared" si="248"/>
        <v>3.3332641781299799E-2</v>
      </c>
      <c r="I2029">
        <f t="shared" si="249"/>
        <v>170.47146235813284</v>
      </c>
      <c r="J2029">
        <f t="shared" si="244"/>
        <v>498.61478563557336</v>
      </c>
      <c r="K2029" s="30">
        <f t="shared" si="245"/>
        <v>8287.1872784016959</v>
      </c>
    </row>
    <row r="2030" spans="1:11" x14ac:dyDescent="0.25">
      <c r="A2030" s="29">
        <v>1980</v>
      </c>
      <c r="B2030" s="99">
        <f t="shared" si="246"/>
        <v>0</v>
      </c>
      <c r="C2030" s="75">
        <f t="shared" si="250"/>
        <v>104.50616427295054</v>
      </c>
      <c r="D2030" s="100">
        <f t="shared" si="247"/>
        <v>445.77777777777789</v>
      </c>
      <c r="E2030">
        <f t="shared" si="243"/>
        <v>0</v>
      </c>
      <c r="G2030">
        <v>1980</v>
      </c>
      <c r="H2030" s="15">
        <f t="shared" si="248"/>
        <v>3.3332641781299799E-2</v>
      </c>
      <c r="I2030">
        <f t="shared" si="249"/>
        <v>170.50479499991414</v>
      </c>
      <c r="J2030">
        <f t="shared" si="244"/>
        <v>498.62295206311171</v>
      </c>
      <c r="K2030" s="30">
        <f t="shared" si="245"/>
        <v>8287.4585364056311</v>
      </c>
    </row>
    <row r="2031" spans="1:11" x14ac:dyDescent="0.25">
      <c r="A2031" s="29">
        <v>1981</v>
      </c>
      <c r="B2031" s="99">
        <f t="shared" si="246"/>
        <v>0</v>
      </c>
      <c r="C2031" s="75">
        <f t="shared" si="250"/>
        <v>104.50616427295054</v>
      </c>
      <c r="D2031" s="100">
        <f t="shared" si="247"/>
        <v>445.77777777777789</v>
      </c>
      <c r="E2031">
        <f t="shared" si="243"/>
        <v>0</v>
      </c>
      <c r="G2031">
        <v>1981</v>
      </c>
      <c r="H2031" s="15">
        <f t="shared" si="248"/>
        <v>3.3332641781299799E-2</v>
      </c>
      <c r="I2031">
        <f t="shared" si="249"/>
        <v>170.53812764169544</v>
      </c>
      <c r="J2031">
        <f t="shared" si="244"/>
        <v>498.63110640256525</v>
      </c>
      <c r="K2031" s="30">
        <f t="shared" si="245"/>
        <v>8287.7293970714181</v>
      </c>
    </row>
    <row r="2032" spans="1:11" x14ac:dyDescent="0.25">
      <c r="A2032" s="29">
        <v>1982</v>
      </c>
      <c r="B2032" s="99">
        <f t="shared" si="246"/>
        <v>0</v>
      </c>
      <c r="C2032" s="75">
        <f t="shared" si="250"/>
        <v>104.50616427295054</v>
      </c>
      <c r="D2032" s="100">
        <f t="shared" si="247"/>
        <v>445.77777777777789</v>
      </c>
      <c r="E2032">
        <f t="shared" si="243"/>
        <v>0</v>
      </c>
      <c r="G2032">
        <v>1982</v>
      </c>
      <c r="H2032" s="15">
        <f t="shared" si="248"/>
        <v>3.3332641781299799E-2</v>
      </c>
      <c r="I2032">
        <f t="shared" si="249"/>
        <v>170.57146028347674</v>
      </c>
      <c r="J2032">
        <f t="shared" si="244"/>
        <v>498.6392486569689</v>
      </c>
      <c r="K2032" s="30">
        <f t="shared" si="245"/>
        <v>8287.9998604801567</v>
      </c>
    </row>
    <row r="2033" spans="1:11" x14ac:dyDescent="0.25">
      <c r="A2033" s="29">
        <v>1983</v>
      </c>
      <c r="B2033" s="99">
        <f t="shared" si="246"/>
        <v>0</v>
      </c>
      <c r="C2033" s="75">
        <f t="shared" si="250"/>
        <v>104.50616427295054</v>
      </c>
      <c r="D2033" s="100">
        <f t="shared" si="247"/>
        <v>445.77777777777789</v>
      </c>
      <c r="E2033">
        <f t="shared" si="243"/>
        <v>0</v>
      </c>
      <c r="G2033">
        <v>1983</v>
      </c>
      <c r="H2033" s="15">
        <f t="shared" si="248"/>
        <v>3.3332641781299799E-2</v>
      </c>
      <c r="I2033">
        <f t="shared" si="249"/>
        <v>170.60479292525804</v>
      </c>
      <c r="J2033">
        <f t="shared" si="244"/>
        <v>498.64737882935185</v>
      </c>
      <c r="K2033" s="30">
        <f t="shared" si="245"/>
        <v>8288.26992671279</v>
      </c>
    </row>
    <row r="2034" spans="1:11" x14ac:dyDescent="0.25">
      <c r="A2034" s="29">
        <v>1984</v>
      </c>
      <c r="B2034" s="99">
        <f t="shared" si="246"/>
        <v>0</v>
      </c>
      <c r="C2034" s="75">
        <f t="shared" si="250"/>
        <v>104.50616427295054</v>
      </c>
      <c r="D2034" s="100">
        <f t="shared" si="247"/>
        <v>445.77777777777789</v>
      </c>
      <c r="E2034">
        <f t="shared" si="243"/>
        <v>0</v>
      </c>
      <c r="G2034">
        <v>1984</v>
      </c>
      <c r="H2034" s="15">
        <f t="shared" si="248"/>
        <v>3.3332641781299799E-2</v>
      </c>
      <c r="I2034">
        <f t="shared" si="249"/>
        <v>170.63812556703934</v>
      </c>
      <c r="J2034">
        <f t="shared" si="244"/>
        <v>498.65549692273805</v>
      </c>
      <c r="K2034" s="30">
        <f t="shared" si="245"/>
        <v>8288.5395958501231</v>
      </c>
    </row>
    <row r="2035" spans="1:11" x14ac:dyDescent="0.25">
      <c r="A2035" s="29">
        <v>1985</v>
      </c>
      <c r="B2035" s="99">
        <f t="shared" si="246"/>
        <v>0</v>
      </c>
      <c r="C2035" s="75">
        <f t="shared" si="250"/>
        <v>104.50616427295054</v>
      </c>
      <c r="D2035" s="100">
        <f t="shared" si="247"/>
        <v>445.77777777777789</v>
      </c>
      <c r="E2035">
        <f t="shared" ref="E2035:E2049" si="251">((D2035^2)+(D2035*D2036)+(D2036^2))*B2036/3</f>
        <v>0</v>
      </c>
      <c r="G2035">
        <v>1985</v>
      </c>
      <c r="H2035" s="15">
        <f t="shared" si="248"/>
        <v>3.3332641781299799E-2</v>
      </c>
      <c r="I2035">
        <f t="shared" si="249"/>
        <v>170.67145820882064</v>
      </c>
      <c r="J2035">
        <f t="shared" ref="J2035:J2049" si="252">IF($G$28&lt;$C$14,0,((($C$11^2)-((I2035-$C$13)^2))^0.5)+$C$16)</f>
        <v>498.66360294014567</v>
      </c>
      <c r="K2035" s="30">
        <f t="shared" ref="K2035:K2048" si="253">((J2035^2)+(J2035*J2036)+(J2036^2))*H2036/3</f>
        <v>8288.8088679728116</v>
      </c>
    </row>
    <row r="2036" spans="1:11" x14ac:dyDescent="0.25">
      <c r="A2036" s="29">
        <v>1986</v>
      </c>
      <c r="B2036" s="99">
        <f t="shared" ref="B2036:B2049" si="254">C2036-C2035</f>
        <v>0</v>
      </c>
      <c r="C2036" s="75">
        <f t="shared" si="250"/>
        <v>104.50616427295054</v>
      </c>
      <c r="D2036" s="100">
        <f t="shared" ref="D2036:D2049" si="255">IF($G$28&lt;$C$14,0,((($C$11^2)-((C2036-$C$13)^2))^0.5)+$C$16)</f>
        <v>445.77777777777789</v>
      </c>
      <c r="E2036">
        <f t="shared" si="251"/>
        <v>0</v>
      </c>
      <c r="G2036">
        <v>1986</v>
      </c>
      <c r="H2036" s="15">
        <f t="shared" ref="H2036:H2049" si="256">I2036-I2035</f>
        <v>3.3332641781299799E-2</v>
      </c>
      <c r="I2036">
        <f t="shared" ref="I2036:I2049" si="257">($G$27-$C$14)/2000+I2035</f>
        <v>170.70479085060194</v>
      </c>
      <c r="J2036">
        <f t="shared" si="252"/>
        <v>498.67169688458762</v>
      </c>
      <c r="K2036" s="30">
        <f t="shared" si="253"/>
        <v>8289.0777431613606</v>
      </c>
    </row>
    <row r="2037" spans="1:11" x14ac:dyDescent="0.25">
      <c r="A2037" s="29">
        <v>1987</v>
      </c>
      <c r="B2037" s="99">
        <f t="shared" si="254"/>
        <v>0</v>
      </c>
      <c r="C2037" s="75">
        <f t="shared" si="250"/>
        <v>104.50616427295054</v>
      </c>
      <c r="D2037" s="100">
        <f t="shared" si="255"/>
        <v>445.77777777777789</v>
      </c>
      <c r="E2037">
        <f t="shared" si="251"/>
        <v>0</v>
      </c>
      <c r="G2037">
        <v>1987</v>
      </c>
      <c r="H2037" s="15">
        <f t="shared" si="256"/>
        <v>3.3332641781299799E-2</v>
      </c>
      <c r="I2037">
        <f t="shared" si="257"/>
        <v>170.73812349238324</v>
      </c>
      <c r="J2037">
        <f t="shared" si="252"/>
        <v>498.67977875907116</v>
      </c>
      <c r="K2037" s="30">
        <f t="shared" si="253"/>
        <v>8289.346221496131</v>
      </c>
    </row>
    <row r="2038" spans="1:11" x14ac:dyDescent="0.25">
      <c r="A2038" s="29">
        <v>1988</v>
      </c>
      <c r="B2038" s="99">
        <f t="shared" si="254"/>
        <v>0</v>
      </c>
      <c r="C2038" s="75">
        <f t="shared" si="250"/>
        <v>104.50616427295054</v>
      </c>
      <c r="D2038" s="100">
        <f t="shared" si="255"/>
        <v>445.77777777777789</v>
      </c>
      <c r="E2038">
        <f t="shared" si="251"/>
        <v>0</v>
      </c>
      <c r="G2038">
        <v>1988</v>
      </c>
      <c r="H2038" s="15">
        <f t="shared" si="256"/>
        <v>3.3332641781299799E-2</v>
      </c>
      <c r="I2038">
        <f t="shared" si="257"/>
        <v>170.77145613416454</v>
      </c>
      <c r="J2038">
        <f t="shared" si="252"/>
        <v>498.68784856659818</v>
      </c>
      <c r="K2038" s="30">
        <f t="shared" si="253"/>
        <v>8289.6143030573385</v>
      </c>
    </row>
    <row r="2039" spans="1:11" x14ac:dyDescent="0.25">
      <c r="A2039" s="29">
        <v>1989</v>
      </c>
      <c r="B2039" s="99">
        <f t="shared" si="254"/>
        <v>0</v>
      </c>
      <c r="C2039" s="75">
        <f t="shared" si="250"/>
        <v>104.50616427295054</v>
      </c>
      <c r="D2039" s="100">
        <f t="shared" si="255"/>
        <v>445.77777777777789</v>
      </c>
      <c r="E2039">
        <f t="shared" si="251"/>
        <v>0</v>
      </c>
      <c r="G2039">
        <v>1989</v>
      </c>
      <c r="H2039" s="15">
        <f t="shared" si="256"/>
        <v>3.3332641781299799E-2</v>
      </c>
      <c r="I2039">
        <f t="shared" si="257"/>
        <v>170.80478877594584</v>
      </c>
      <c r="J2039">
        <f t="shared" si="252"/>
        <v>498.69590631016507</v>
      </c>
      <c r="K2039" s="30">
        <f t="shared" si="253"/>
        <v>8289.8819879250532</v>
      </c>
    </row>
    <row r="2040" spans="1:11" x14ac:dyDescent="0.25">
      <c r="A2040" s="29">
        <v>1990</v>
      </c>
      <c r="B2040" s="99">
        <f t="shared" si="254"/>
        <v>0</v>
      </c>
      <c r="C2040" s="75">
        <f t="shared" si="250"/>
        <v>104.50616427295054</v>
      </c>
      <c r="D2040" s="100">
        <f t="shared" si="255"/>
        <v>445.77777777777789</v>
      </c>
      <c r="E2040">
        <f t="shared" si="251"/>
        <v>0</v>
      </c>
      <c r="G2040">
        <v>1990</v>
      </c>
      <c r="H2040" s="15">
        <f t="shared" si="256"/>
        <v>3.3332641781299799E-2</v>
      </c>
      <c r="I2040">
        <f t="shared" si="257"/>
        <v>170.83812141772714</v>
      </c>
      <c r="J2040">
        <f t="shared" si="252"/>
        <v>498.70395199276271</v>
      </c>
      <c r="K2040" s="30">
        <f t="shared" si="253"/>
        <v>8290.1492761791942</v>
      </c>
    </row>
    <row r="2041" spans="1:11" x14ac:dyDescent="0.25">
      <c r="A2041" s="29">
        <v>1991</v>
      </c>
      <c r="B2041" s="99">
        <f t="shared" si="254"/>
        <v>0</v>
      </c>
      <c r="C2041" s="75">
        <f t="shared" si="250"/>
        <v>104.50616427295054</v>
      </c>
      <c r="D2041" s="100">
        <f t="shared" si="255"/>
        <v>445.77777777777789</v>
      </c>
      <c r="E2041">
        <f t="shared" si="251"/>
        <v>0</v>
      </c>
      <c r="G2041">
        <v>1991</v>
      </c>
      <c r="H2041" s="15">
        <f t="shared" si="256"/>
        <v>3.3332641781299799E-2</v>
      </c>
      <c r="I2041">
        <f t="shared" si="257"/>
        <v>170.87145405950844</v>
      </c>
      <c r="J2041">
        <f t="shared" si="252"/>
        <v>498.71198561737657</v>
      </c>
      <c r="K2041" s="30">
        <f t="shared" si="253"/>
        <v>8290.4161678995388</v>
      </c>
    </row>
    <row r="2042" spans="1:11" x14ac:dyDescent="0.25">
      <c r="A2042" s="29">
        <v>1992</v>
      </c>
      <c r="B2042" s="99">
        <f t="shared" si="254"/>
        <v>0</v>
      </c>
      <c r="C2042" s="75">
        <f t="shared" si="250"/>
        <v>104.50616427295054</v>
      </c>
      <c r="D2042" s="100">
        <f t="shared" si="255"/>
        <v>445.77777777777789</v>
      </c>
      <c r="E2042">
        <f t="shared" si="251"/>
        <v>0</v>
      </c>
      <c r="G2042">
        <v>1992</v>
      </c>
      <c r="H2042" s="15">
        <f t="shared" si="256"/>
        <v>3.3332641781299799E-2</v>
      </c>
      <c r="I2042">
        <f t="shared" si="257"/>
        <v>170.90478670128974</v>
      </c>
      <c r="J2042">
        <f t="shared" si="252"/>
        <v>498.72000718698655</v>
      </c>
      <c r="K2042" s="30">
        <f t="shared" si="253"/>
        <v>8290.682663165715</v>
      </c>
    </row>
    <row r="2043" spans="1:11" x14ac:dyDescent="0.25">
      <c r="A2043" s="29">
        <v>1993</v>
      </c>
      <c r="B2043" s="99">
        <f t="shared" si="254"/>
        <v>0</v>
      </c>
      <c r="C2043" s="75">
        <f t="shared" si="250"/>
        <v>104.50616427295054</v>
      </c>
      <c r="D2043" s="100">
        <f t="shared" si="255"/>
        <v>445.77777777777789</v>
      </c>
      <c r="E2043">
        <f t="shared" si="251"/>
        <v>0</v>
      </c>
      <c r="G2043">
        <v>1993</v>
      </c>
      <c r="H2043" s="15">
        <f t="shared" si="256"/>
        <v>3.3332641781299799E-2</v>
      </c>
      <c r="I2043">
        <f t="shared" si="257"/>
        <v>170.93811934307104</v>
      </c>
      <c r="J2043">
        <f t="shared" si="252"/>
        <v>498.72801670456727</v>
      </c>
      <c r="K2043" s="30">
        <f t="shared" si="253"/>
        <v>8290.948762057209</v>
      </c>
    </row>
    <row r="2044" spans="1:11" x14ac:dyDescent="0.25">
      <c r="A2044" s="29">
        <v>1994</v>
      </c>
      <c r="B2044" s="99">
        <f t="shared" si="254"/>
        <v>0</v>
      </c>
      <c r="C2044" s="75">
        <f t="shared" si="250"/>
        <v>104.50616427295054</v>
      </c>
      <c r="D2044" s="100">
        <f t="shared" si="255"/>
        <v>445.77777777777789</v>
      </c>
      <c r="E2044">
        <f t="shared" si="251"/>
        <v>0</v>
      </c>
      <c r="G2044">
        <v>1994</v>
      </c>
      <c r="H2044" s="15">
        <f t="shared" si="256"/>
        <v>3.3332641781299799E-2</v>
      </c>
      <c r="I2044">
        <f t="shared" si="257"/>
        <v>170.97145198485234</v>
      </c>
      <c r="J2044">
        <f t="shared" si="252"/>
        <v>498.73601417308771</v>
      </c>
      <c r="K2044" s="30">
        <f t="shared" si="253"/>
        <v>8291.2144646533579</v>
      </c>
    </row>
    <row r="2045" spans="1:11" x14ac:dyDescent="0.25">
      <c r="A2045" s="29">
        <v>1995</v>
      </c>
      <c r="B2045" s="99">
        <f t="shared" si="254"/>
        <v>0</v>
      </c>
      <c r="C2045" s="75">
        <f t="shared" si="250"/>
        <v>104.50616427295054</v>
      </c>
      <c r="D2045" s="100">
        <f t="shared" si="255"/>
        <v>445.77777777777789</v>
      </c>
      <c r="E2045">
        <f t="shared" si="251"/>
        <v>0</v>
      </c>
      <c r="G2045">
        <v>1995</v>
      </c>
      <c r="H2045" s="15">
        <f t="shared" si="256"/>
        <v>3.3332641781299799E-2</v>
      </c>
      <c r="I2045">
        <f t="shared" si="257"/>
        <v>171.00478462663364</v>
      </c>
      <c r="J2045">
        <f t="shared" si="252"/>
        <v>498.74399959551164</v>
      </c>
      <c r="K2045" s="30">
        <f t="shared" si="253"/>
        <v>8291.4797710333587</v>
      </c>
    </row>
    <row r="2046" spans="1:11" x14ac:dyDescent="0.25">
      <c r="A2046" s="29">
        <v>1996</v>
      </c>
      <c r="B2046" s="99">
        <f t="shared" si="254"/>
        <v>0</v>
      </c>
      <c r="C2046" s="75">
        <f t="shared" si="250"/>
        <v>104.50616427295054</v>
      </c>
      <c r="D2046" s="100">
        <f t="shared" si="255"/>
        <v>445.77777777777789</v>
      </c>
      <c r="E2046">
        <f t="shared" si="251"/>
        <v>0</v>
      </c>
      <c r="G2046">
        <v>1996</v>
      </c>
      <c r="H2046" s="15">
        <f t="shared" si="256"/>
        <v>3.3332641781299799E-2</v>
      </c>
      <c r="I2046">
        <f t="shared" si="257"/>
        <v>171.03811726841494</v>
      </c>
      <c r="J2046">
        <f t="shared" si="252"/>
        <v>498.75197297479724</v>
      </c>
      <c r="K2046" s="30">
        <f t="shared" si="253"/>
        <v>8291.7446812762573</v>
      </c>
    </row>
    <row r="2047" spans="1:11" x14ac:dyDescent="0.25">
      <c r="A2047" s="29">
        <v>1997</v>
      </c>
      <c r="B2047" s="99">
        <f t="shared" si="254"/>
        <v>0</v>
      </c>
      <c r="C2047" s="75">
        <f t="shared" si="250"/>
        <v>104.50616427295054</v>
      </c>
      <c r="D2047" s="100">
        <f t="shared" si="255"/>
        <v>445.77777777777789</v>
      </c>
      <c r="E2047">
        <f t="shared" si="251"/>
        <v>0</v>
      </c>
      <c r="G2047">
        <v>1997</v>
      </c>
      <c r="H2047" s="15">
        <f t="shared" si="256"/>
        <v>3.3332641781299799E-2</v>
      </c>
      <c r="I2047">
        <f t="shared" si="257"/>
        <v>171.07144991019624</v>
      </c>
      <c r="J2047">
        <f t="shared" si="252"/>
        <v>498.75993431389725</v>
      </c>
      <c r="K2047" s="30">
        <f t="shared" si="253"/>
        <v>8292.0091954609543</v>
      </c>
    </row>
    <row r="2048" spans="1:11" x14ac:dyDescent="0.25">
      <c r="A2048" s="29">
        <v>1998</v>
      </c>
      <c r="B2048" s="99">
        <f t="shared" si="254"/>
        <v>0</v>
      </c>
      <c r="C2048" s="75">
        <f t="shared" si="250"/>
        <v>104.50616427295054</v>
      </c>
      <c r="D2048" s="100">
        <f t="shared" si="255"/>
        <v>445.77777777777789</v>
      </c>
      <c r="E2048">
        <f t="shared" si="251"/>
        <v>0</v>
      </c>
      <c r="G2048">
        <v>1998</v>
      </c>
      <c r="H2048" s="15">
        <f t="shared" si="256"/>
        <v>3.3332641781299799E-2</v>
      </c>
      <c r="I2048">
        <f t="shared" si="257"/>
        <v>171.10478255197754</v>
      </c>
      <c r="J2048">
        <f t="shared" si="252"/>
        <v>498.76788361575905</v>
      </c>
      <c r="K2048" s="30">
        <f t="shared" si="253"/>
        <v>8292.2733136662137</v>
      </c>
    </row>
    <row r="2049" spans="1:11" ht="15.75" thickBot="1" x14ac:dyDescent="0.3">
      <c r="A2049" s="33">
        <v>1999</v>
      </c>
      <c r="B2049" s="97">
        <f t="shared" si="254"/>
        <v>0</v>
      </c>
      <c r="C2049" s="77">
        <f t="shared" si="250"/>
        <v>104.50616427295054</v>
      </c>
      <c r="D2049" s="98">
        <f t="shared" si="255"/>
        <v>445.77777777777789</v>
      </c>
      <c r="E2049" s="76">
        <f t="shared" si="251"/>
        <v>0</v>
      </c>
      <c r="F2049" s="76"/>
      <c r="G2049" s="76">
        <v>1999</v>
      </c>
      <c r="H2049" s="15">
        <f t="shared" si="256"/>
        <v>3.3332641781299799E-2</v>
      </c>
      <c r="I2049" s="76">
        <f t="shared" si="257"/>
        <v>171.13811519375884</v>
      </c>
      <c r="J2049" s="76">
        <f t="shared" si="252"/>
        <v>498.77582088332463</v>
      </c>
      <c r="K2049" s="34"/>
    </row>
  </sheetData>
  <mergeCells count="11">
    <mergeCell ref="M2:R2"/>
    <mergeCell ref="A3:F3"/>
    <mergeCell ref="A7:F7"/>
    <mergeCell ref="A18:F18"/>
    <mergeCell ref="A24:C24"/>
    <mergeCell ref="E24:G24"/>
    <mergeCell ref="B29:C29"/>
    <mergeCell ref="F29:G29"/>
    <mergeCell ref="A48:E48"/>
    <mergeCell ref="G48:K48"/>
    <mergeCell ref="A47:K47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9EB5-A9FA-4A04-A07A-68C7672A053F}">
  <sheetPr>
    <tabColor theme="2"/>
  </sheetPr>
  <dimension ref="B1:BM38"/>
  <sheetViews>
    <sheetView zoomScale="55" zoomScaleNormal="55" workbookViewId="0">
      <selection activeCell="U6" sqref="U6"/>
    </sheetView>
  </sheetViews>
  <sheetFormatPr defaultRowHeight="15" x14ac:dyDescent="0.25"/>
  <cols>
    <col min="2" max="2" width="23.5703125" customWidth="1"/>
    <col min="3" max="3" width="13" customWidth="1"/>
    <col min="6" max="6" width="10" customWidth="1"/>
    <col min="7" max="7" width="17.85546875" customWidth="1"/>
    <col min="8" max="8" width="17" customWidth="1"/>
    <col min="9" max="9" width="16.7109375" customWidth="1"/>
    <col min="10" max="10" width="16.7109375" style="70" customWidth="1"/>
    <col min="11" max="17" width="16.7109375" customWidth="1"/>
    <col min="20" max="20" width="8" bestFit="1" customWidth="1"/>
    <col min="21" max="21" width="8.85546875" bestFit="1" customWidth="1"/>
    <col min="22" max="22" width="8" bestFit="1" customWidth="1"/>
    <col min="23" max="23" width="8.85546875" bestFit="1" customWidth="1"/>
    <col min="24" max="24" width="8" bestFit="1" customWidth="1"/>
    <col min="25" max="25" width="8.85546875" bestFit="1" customWidth="1"/>
    <col min="26" max="26" width="8" bestFit="1" customWidth="1"/>
    <col min="27" max="27" width="8.85546875" bestFit="1" customWidth="1"/>
    <col min="28" max="28" width="8" bestFit="1" customWidth="1"/>
    <col min="29" max="29" width="8.85546875" bestFit="1" customWidth="1"/>
    <col min="30" max="30" width="8" bestFit="1" customWidth="1"/>
    <col min="31" max="31" width="8.85546875" bestFit="1" customWidth="1"/>
    <col min="32" max="32" width="8" bestFit="1" customWidth="1"/>
    <col min="33" max="33" width="8.85546875" bestFit="1" customWidth="1"/>
    <col min="34" max="34" width="8" bestFit="1" customWidth="1"/>
    <col min="35" max="35" width="8.85546875" bestFit="1" customWidth="1"/>
    <col min="36" max="36" width="8" bestFit="1" customWidth="1"/>
    <col min="37" max="37" width="8.85546875" bestFit="1" customWidth="1"/>
    <col min="38" max="39" width="8.85546875" customWidth="1"/>
    <col min="40" max="40" width="4.28515625" customWidth="1"/>
    <col min="41" max="41" width="8" bestFit="1" customWidth="1"/>
    <col min="42" max="42" width="8.85546875" bestFit="1" customWidth="1"/>
    <col min="43" max="43" width="8" bestFit="1" customWidth="1"/>
    <col min="44" max="44" width="8.85546875" bestFit="1" customWidth="1"/>
    <col min="45" max="45" width="8" bestFit="1" customWidth="1"/>
    <col min="46" max="46" width="8.85546875" bestFit="1" customWidth="1"/>
    <col min="47" max="47" width="5.140625" customWidth="1"/>
    <col min="48" max="48" width="8" bestFit="1" customWidth="1"/>
    <col min="49" max="49" width="8.85546875" bestFit="1" customWidth="1"/>
    <col min="50" max="50" width="8" bestFit="1" customWidth="1"/>
    <col min="51" max="51" width="8.85546875" bestFit="1" customWidth="1"/>
    <col min="52" max="52" width="8" bestFit="1" customWidth="1"/>
    <col min="53" max="53" width="8.85546875" bestFit="1" customWidth="1"/>
    <col min="54" max="54" width="4.85546875" customWidth="1"/>
    <col min="55" max="55" width="8" bestFit="1" customWidth="1"/>
    <col min="56" max="56" width="8.85546875" bestFit="1" customWidth="1"/>
    <col min="57" max="57" width="8" bestFit="1" customWidth="1"/>
    <col min="58" max="58" width="8.85546875" bestFit="1" customWidth="1"/>
    <col min="59" max="59" width="8" bestFit="1" customWidth="1"/>
    <col min="60" max="60" width="8.85546875" bestFit="1" customWidth="1"/>
    <col min="61" max="61" width="4.140625" customWidth="1"/>
    <col min="62" max="62" width="8" bestFit="1" customWidth="1"/>
    <col min="63" max="63" width="8.85546875" bestFit="1" customWidth="1"/>
    <col min="64" max="64" width="8" bestFit="1" customWidth="1"/>
    <col min="65" max="65" width="8.85546875" bestFit="1" customWidth="1"/>
  </cols>
  <sheetData>
    <row r="1" spans="2:65" ht="36.75" customHeight="1" thickBot="1" x14ac:dyDescent="0.3">
      <c r="B1" s="303" t="s">
        <v>133</v>
      </c>
      <c r="C1" s="304"/>
      <c r="D1" s="305"/>
      <c r="G1" s="30"/>
      <c r="H1" s="303" t="s">
        <v>158</v>
      </c>
      <c r="I1" s="304"/>
      <c r="J1" s="304"/>
      <c r="K1" s="304"/>
      <c r="L1" s="304"/>
      <c r="M1" s="306" t="s">
        <v>159</v>
      </c>
      <c r="N1" s="307"/>
      <c r="O1" s="307"/>
      <c r="P1" s="307"/>
      <c r="Q1" s="308"/>
      <c r="R1" s="182"/>
      <c r="T1" s="297" t="s">
        <v>152</v>
      </c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 s="298"/>
      <c r="AP1" s="298"/>
      <c r="AQ1" s="298"/>
      <c r="AR1" s="298"/>
      <c r="AS1" s="298"/>
      <c r="AT1" s="298"/>
      <c r="AU1" s="298"/>
      <c r="AV1" s="298"/>
      <c r="AW1" s="298"/>
      <c r="AX1" s="298"/>
      <c r="AY1" s="298"/>
      <c r="AZ1" s="298"/>
      <c r="BA1" s="298"/>
      <c r="BB1" s="298"/>
      <c r="BC1" s="298"/>
      <c r="BD1" s="298"/>
      <c r="BE1" s="298"/>
      <c r="BF1" s="298"/>
      <c r="BG1" s="298"/>
      <c r="BH1" s="298"/>
      <c r="BI1" s="298"/>
      <c r="BJ1" s="298"/>
      <c r="BK1" s="298"/>
      <c r="BL1" s="298"/>
      <c r="BM1" s="299"/>
    </row>
    <row r="2" spans="2:65" ht="15.75" thickBot="1" x14ac:dyDescent="0.3">
      <c r="B2" s="147" t="s">
        <v>6</v>
      </c>
      <c r="C2" s="110">
        <f>'Vessel dimension - DIN 28011'!$B$9</f>
        <v>193.7405</v>
      </c>
      <c r="D2" s="140" t="s">
        <v>11</v>
      </c>
      <c r="F2" s="76"/>
      <c r="G2" s="34"/>
      <c r="H2" s="160" t="s">
        <v>135</v>
      </c>
      <c r="I2" s="37" t="s">
        <v>136</v>
      </c>
      <c r="J2" s="38" t="s">
        <v>137</v>
      </c>
      <c r="K2" s="37" t="s">
        <v>138</v>
      </c>
      <c r="L2" s="157" t="s">
        <v>139</v>
      </c>
      <c r="M2" s="163" t="s">
        <v>135</v>
      </c>
      <c r="N2" s="154" t="s">
        <v>136</v>
      </c>
      <c r="O2" s="154" t="s">
        <v>137</v>
      </c>
      <c r="P2" s="154" t="s">
        <v>138</v>
      </c>
      <c r="Q2" s="164" t="s">
        <v>139</v>
      </c>
      <c r="R2" s="187"/>
      <c r="T2" s="143" t="str">
        <f>ZG!B5</f>
        <v>Volume</v>
      </c>
      <c r="U2" s="2" t="str">
        <f>ZG!C5</f>
        <v>Viscosity</v>
      </c>
      <c r="V2" s="137" t="str">
        <f>ZG!D5</f>
        <v>Volume</v>
      </c>
      <c r="W2" s="2" t="str">
        <f>ZG!E5</f>
        <v>Viscosity</v>
      </c>
      <c r="X2" s="137" t="str">
        <f>ZG!F5</f>
        <v>Volume</v>
      </c>
      <c r="Y2" s="2" t="str">
        <f>ZG!G5</f>
        <v>Viscosity</v>
      </c>
      <c r="Z2" s="137" t="str">
        <f>ZG!H5</f>
        <v>Volume</v>
      </c>
      <c r="AA2" s="2" t="str">
        <f>ZG!I5</f>
        <v>Viscosity</v>
      </c>
      <c r="AB2" s="137" t="str">
        <f>ZG!J5</f>
        <v>Volume</v>
      </c>
      <c r="AC2" s="2" t="str">
        <f>ZG!K5</f>
        <v>Viscosity</v>
      </c>
      <c r="AD2" s="137" t="str">
        <f>ZG!L5</f>
        <v>Volume</v>
      </c>
      <c r="AE2" s="2" t="str">
        <f>ZG!M5</f>
        <v>Viscosity</v>
      </c>
      <c r="AF2" s="137" t="str">
        <f>ZG!N5</f>
        <v>Volume</v>
      </c>
      <c r="AG2" s="2" t="str">
        <f>ZG!O5</f>
        <v>Viscosity</v>
      </c>
      <c r="AH2" s="137" t="str">
        <f>ZG!P5</f>
        <v>Volume</v>
      </c>
      <c r="AI2" s="2" t="str">
        <f>ZG!Q5</f>
        <v>Viscosity</v>
      </c>
      <c r="AJ2" s="137" t="str">
        <f>ZG!R5</f>
        <v>Volume</v>
      </c>
      <c r="AK2" s="144" t="str">
        <f>ZG!S5</f>
        <v>Viscosity</v>
      </c>
      <c r="AO2" s="143" t="str">
        <f>ZGP!B4</f>
        <v>Volume</v>
      </c>
      <c r="AP2" s="2" t="str">
        <f>ZGP!C4</f>
        <v>Viscosity</v>
      </c>
      <c r="AQ2" s="137" t="str">
        <f>ZGP!D4</f>
        <v>Volume</v>
      </c>
      <c r="AR2" s="2" t="str">
        <f>ZGP!E4</f>
        <v>Viscosity</v>
      </c>
      <c r="AS2" s="137" t="str">
        <f>ZGP!F4</f>
        <v>Volume</v>
      </c>
      <c r="AT2" s="144" t="str">
        <f>ZGP!G4</f>
        <v>Viscosity</v>
      </c>
      <c r="AV2" s="143" t="str">
        <f>HP!B4</f>
        <v>Volume</v>
      </c>
      <c r="AW2" s="2" t="str">
        <f>HP!C4</f>
        <v>Viscosity</v>
      </c>
      <c r="AX2" s="137" t="str">
        <f>HP!D4</f>
        <v>Volume</v>
      </c>
      <c r="AY2" s="2" t="str">
        <f>HP!E4</f>
        <v>Viscosity</v>
      </c>
      <c r="AZ2" s="137" t="str">
        <f>HP!F4</f>
        <v>Volume</v>
      </c>
      <c r="BA2" s="144" t="str">
        <f>HP!G4</f>
        <v>Viscosity</v>
      </c>
      <c r="BC2" s="143" t="str">
        <f>HS!B4</f>
        <v>Volume</v>
      </c>
      <c r="BD2" s="2" t="str">
        <f>HS!C4</f>
        <v>Viscosity</v>
      </c>
      <c r="BE2" s="137" t="str">
        <f>HS!D4</f>
        <v>Volume</v>
      </c>
      <c r="BF2" s="2" t="str">
        <f>HS!E4</f>
        <v>Viscosity</v>
      </c>
      <c r="BG2" s="137" t="str">
        <f>HS!F4</f>
        <v>Volume</v>
      </c>
      <c r="BH2" s="144" t="str">
        <f>HS!G4</f>
        <v>Viscosity</v>
      </c>
      <c r="BJ2" s="143" t="str">
        <f>ZF!B4</f>
        <v>Volume</v>
      </c>
      <c r="BK2" s="2" t="str">
        <f>ZF!C4</f>
        <v>Viscosity</v>
      </c>
      <c r="BL2" s="137" t="str">
        <f>ZF!D4</f>
        <v>Volume</v>
      </c>
      <c r="BM2" s="144" t="str">
        <f>ZF!E4</f>
        <v>Viscosity</v>
      </c>
    </row>
    <row r="3" spans="2:65" ht="15" customHeight="1" x14ac:dyDescent="0.25">
      <c r="B3" s="147" t="s">
        <v>7</v>
      </c>
      <c r="C3" s="110" t="e">
        <f>#REF!</f>
        <v>#REF!</v>
      </c>
      <c r="D3" s="140" t="s">
        <v>11</v>
      </c>
      <c r="F3" s="300" t="s">
        <v>140</v>
      </c>
      <c r="G3" s="166" t="s">
        <v>9</v>
      </c>
      <c r="H3" s="3" t="str">
        <f>ZG!$B$44</f>
        <v>ZG9</v>
      </c>
      <c r="I3" s="3" t="str">
        <f>ZGP!$B$44</f>
        <v>N/A</v>
      </c>
      <c r="J3" s="4" t="str">
        <f>HP!$B$44</f>
        <v>HP8</v>
      </c>
      <c r="K3" s="3" t="str">
        <f>HS!$B$44</f>
        <v>N/A</v>
      </c>
      <c r="L3" s="138" t="str">
        <f>ZF!$B$44</f>
        <v>N/A</v>
      </c>
      <c r="M3" s="158">
        <f>ZG!$B$45</f>
        <v>0</v>
      </c>
      <c r="N3" s="3" t="str">
        <f>ZGP!$B$45</f>
        <v>ZGP5</v>
      </c>
      <c r="O3" s="3">
        <f>HP!$B$46</f>
        <v>0</v>
      </c>
      <c r="P3" s="3">
        <f>HS!$B$46</f>
        <v>0</v>
      </c>
      <c r="Q3" s="151">
        <f>ZF!$B$46</f>
        <v>0</v>
      </c>
      <c r="R3" s="188"/>
      <c r="T3" s="139" t="str">
        <f>ZG!B6</f>
        <v>ZG1</v>
      </c>
      <c r="U3" s="5" t="str">
        <f>ZG!C6</f>
        <v>ZG1</v>
      </c>
      <c r="V3" s="138" t="str">
        <f>ZG!D6</f>
        <v>ZG2</v>
      </c>
      <c r="W3" s="5" t="str">
        <f>ZG!E6</f>
        <v>ZG2</v>
      </c>
      <c r="X3" s="138" t="str">
        <f>ZG!F6</f>
        <v>ZG3</v>
      </c>
      <c r="Y3" s="5" t="str">
        <f>ZG!G6</f>
        <v>ZG3</v>
      </c>
      <c r="Z3" s="138" t="str">
        <f>ZG!H6</f>
        <v>ZG5</v>
      </c>
      <c r="AA3" s="5" t="str">
        <f>ZG!I6</f>
        <v>ZG5</v>
      </c>
      <c r="AB3" s="138" t="str">
        <f>ZG!J6</f>
        <v>ZG6</v>
      </c>
      <c r="AC3" s="5" t="str">
        <f>ZG!K6</f>
        <v>ZG6</v>
      </c>
      <c r="AD3" s="138" t="str">
        <f>ZG!L6</f>
        <v>ZG7</v>
      </c>
      <c r="AE3" s="5" t="str">
        <f>ZG!M6</f>
        <v>ZG7</v>
      </c>
      <c r="AF3" s="138" t="str">
        <f>ZG!N6</f>
        <v>ZG8</v>
      </c>
      <c r="AG3" s="5" t="str">
        <f>ZG!O6</f>
        <v>ZG8</v>
      </c>
      <c r="AH3" s="138" t="str">
        <f>ZG!P6</f>
        <v>ZG9</v>
      </c>
      <c r="AI3" s="5" t="str">
        <f>ZG!Q6</f>
        <v>ZG9</v>
      </c>
      <c r="AJ3" s="138" t="str">
        <f>ZG!R6</f>
        <v>ZG10</v>
      </c>
      <c r="AK3" s="140" t="str">
        <f>ZG!S6</f>
        <v>ZG10</v>
      </c>
      <c r="AO3" s="143" t="str">
        <f>ZGP!B5</f>
        <v>ZGP2</v>
      </c>
      <c r="AP3" s="2" t="str">
        <f>ZGP!C5</f>
        <v>ZGP2</v>
      </c>
      <c r="AQ3" s="137" t="str">
        <f>ZGP!D5</f>
        <v>ZGP5</v>
      </c>
      <c r="AR3" s="2" t="str">
        <f>ZGP!E5</f>
        <v>ZGP5</v>
      </c>
      <c r="AS3" s="137" t="str">
        <f>ZGP!F5</f>
        <v>ZGP8</v>
      </c>
      <c r="AT3" s="144" t="str">
        <f>ZGP!G5</f>
        <v>ZGP8</v>
      </c>
      <c r="AV3" s="139" t="str">
        <f>HP!B5</f>
        <v>HP2</v>
      </c>
      <c r="AW3" s="5" t="str">
        <f>HP!C5</f>
        <v>HP2</v>
      </c>
      <c r="AX3" s="138" t="str">
        <f>HP!D5</f>
        <v>HP5</v>
      </c>
      <c r="AY3" s="5" t="str">
        <f>HP!E5</f>
        <v>HP5</v>
      </c>
      <c r="AZ3" s="138" t="str">
        <f>HP!F5</f>
        <v>HP8</v>
      </c>
      <c r="BA3" s="140" t="str">
        <f>HP!G5</f>
        <v>HP8</v>
      </c>
      <c r="BC3" s="139" t="str">
        <f>HS!B5</f>
        <v>HS2</v>
      </c>
      <c r="BD3" s="5" t="str">
        <f>HS!C5</f>
        <v>HS2</v>
      </c>
      <c r="BE3" s="138" t="str">
        <f>HS!D5</f>
        <v>HS5</v>
      </c>
      <c r="BF3" s="5" t="str">
        <f>HS!E5</f>
        <v>HS5</v>
      </c>
      <c r="BG3" s="138" t="str">
        <f>HS!F5</f>
        <v>HS8</v>
      </c>
      <c r="BH3" s="140" t="str">
        <f>HS!G5</f>
        <v>HS8</v>
      </c>
      <c r="BJ3" s="139" t="str">
        <f>ZF!B5</f>
        <v>ZF100</v>
      </c>
      <c r="BK3" s="5" t="str">
        <f>ZF!C5</f>
        <v>ZF100</v>
      </c>
      <c r="BL3" s="138" t="str">
        <f>ZF!D5</f>
        <v>ZF160</v>
      </c>
      <c r="BM3" s="140" t="str">
        <f>ZF!E5</f>
        <v>ZF160</v>
      </c>
    </row>
    <row r="4" spans="2:65" ht="30" x14ac:dyDescent="0.25">
      <c r="B4" s="147" t="s">
        <v>8</v>
      </c>
      <c r="C4" s="111" t="e">
        <f>#REF!</f>
        <v>#REF!</v>
      </c>
      <c r="D4" s="140"/>
      <c r="F4" s="301"/>
      <c r="G4" s="167" t="s">
        <v>10</v>
      </c>
      <c r="H4" s="3">
        <f>ZG!$X$49</f>
        <v>243</v>
      </c>
      <c r="I4" s="3" t="str">
        <f>ZGP!$U$48</f>
        <v>N/A</v>
      </c>
      <c r="J4" s="4">
        <f>HP!$S$47</f>
        <v>1689</v>
      </c>
      <c r="K4" s="3" t="str">
        <f>HS!$S$47</f>
        <v>N/A</v>
      </c>
      <c r="L4" s="138" t="str">
        <f>ZF!$S$47</f>
        <v>N/A</v>
      </c>
      <c r="M4" s="158" t="str">
        <f>ZG!$X62</f>
        <v>Max speed</v>
      </c>
      <c r="N4" s="3">
        <f>ZGP!$U56</f>
        <v>487</v>
      </c>
      <c r="O4" s="3">
        <f>HP!$S55</f>
        <v>1690</v>
      </c>
      <c r="P4" s="3">
        <f>HS!$B64</f>
        <v>0</v>
      </c>
      <c r="Q4" s="151">
        <f>ZF!$B61</f>
        <v>0</v>
      </c>
      <c r="R4" s="188" t="s">
        <v>12</v>
      </c>
      <c r="T4" s="29">
        <f>ZG!B7</f>
        <v>10</v>
      </c>
      <c r="U4">
        <f>ZG!C7</f>
        <v>1</v>
      </c>
      <c r="V4" s="136">
        <f>ZG!D7</f>
        <v>50</v>
      </c>
      <c r="W4" s="1">
        <f>ZG!E7</f>
        <v>1</v>
      </c>
      <c r="X4" s="136">
        <f>ZG!F7</f>
        <v>250</v>
      </c>
      <c r="Y4">
        <f>ZG!G7</f>
        <v>1</v>
      </c>
      <c r="Z4" s="136">
        <f>ZG!H7</f>
        <v>850</v>
      </c>
      <c r="AA4" s="1">
        <f>ZG!I7</f>
        <v>1</v>
      </c>
      <c r="AB4" s="136">
        <f>ZG!J7</f>
        <v>1200</v>
      </c>
      <c r="AC4" s="1">
        <f>ZG!K7</f>
        <v>1</v>
      </c>
      <c r="AD4" s="136">
        <f>ZG!L7</f>
        <v>2000</v>
      </c>
      <c r="AE4" s="1">
        <f>ZG!M7</f>
        <v>1</v>
      </c>
      <c r="AF4" s="136">
        <f>ZG!N7</f>
        <v>5000</v>
      </c>
      <c r="AG4" s="1">
        <f>ZG!O7</f>
        <v>1</v>
      </c>
      <c r="AH4" s="136">
        <f>ZG!P7</f>
        <v>10000</v>
      </c>
      <c r="AI4" s="1">
        <f>ZG!Q7</f>
        <v>1</v>
      </c>
      <c r="AJ4" s="136">
        <f>ZG!R7</f>
        <v>20000</v>
      </c>
      <c r="AK4" s="30">
        <f>ZG!S7</f>
        <v>1</v>
      </c>
      <c r="AO4" s="145">
        <f>ZGP!B6</f>
        <v>50</v>
      </c>
      <c r="AP4" s="135">
        <f>ZGP!C6</f>
        <v>1</v>
      </c>
      <c r="AQ4" s="134">
        <f>ZGP!D6</f>
        <v>850</v>
      </c>
      <c r="AR4" s="135">
        <f>ZGP!E6</f>
        <v>1</v>
      </c>
      <c r="AS4" s="134">
        <f>ZGP!F6</f>
        <v>5000</v>
      </c>
      <c r="AT4" s="146">
        <f>ZGP!G6</f>
        <v>1</v>
      </c>
      <c r="AV4" s="29">
        <f>HP!B6</f>
        <v>300</v>
      </c>
      <c r="AW4" s="1">
        <f>HP!C6</f>
        <v>1</v>
      </c>
      <c r="AX4" s="136">
        <f>HP!D6</f>
        <v>3000</v>
      </c>
      <c r="AY4" s="1">
        <f>HP!E6</f>
        <v>1</v>
      </c>
      <c r="AZ4" s="136">
        <f>HP!F6</f>
        <v>10000</v>
      </c>
      <c r="BA4" s="30">
        <f>HP!G6</f>
        <v>1</v>
      </c>
      <c r="BC4" s="145">
        <f>HS!B6</f>
        <v>120</v>
      </c>
      <c r="BD4" s="135">
        <f>HS!C6</f>
        <v>1</v>
      </c>
      <c r="BE4" s="134">
        <f>HS!D6</f>
        <v>800</v>
      </c>
      <c r="BF4" s="135">
        <f>HS!E6</f>
        <v>1</v>
      </c>
      <c r="BG4" s="134">
        <f>HS!F6</f>
        <v>1500</v>
      </c>
      <c r="BH4" s="146">
        <f>HS!G6</f>
        <v>1</v>
      </c>
      <c r="BJ4" s="145">
        <f>ZF!B6</f>
        <v>250</v>
      </c>
      <c r="BK4" s="135">
        <f>ZF!C6</f>
        <v>1</v>
      </c>
      <c r="BL4" s="134">
        <f>ZF!D6</f>
        <v>3000</v>
      </c>
      <c r="BM4" s="146">
        <f>ZF!E6</f>
        <v>1</v>
      </c>
    </row>
    <row r="5" spans="2:65" ht="30" x14ac:dyDescent="0.25">
      <c r="B5" s="147" t="s">
        <v>134</v>
      </c>
      <c r="C5" s="110" t="e">
        <f>#REF!+#REF!</f>
        <v>#REF!</v>
      </c>
      <c r="D5" s="140" t="s">
        <v>11</v>
      </c>
      <c r="F5" s="301"/>
      <c r="G5" s="167" t="s">
        <v>144</v>
      </c>
      <c r="H5" s="127">
        <f>ZG!$X$50</f>
        <v>0.10802066145558185</v>
      </c>
      <c r="I5" s="44" t="str">
        <f>ZGP!$U$49</f>
        <v>N/A</v>
      </c>
      <c r="J5" s="170">
        <f>HP!$S$48</f>
        <v>0.5402156487816977</v>
      </c>
      <c r="K5" s="44" t="str">
        <f>HS!$S$48</f>
        <v>N/A</v>
      </c>
      <c r="L5" s="155" t="str">
        <f>ZF!$S$48</f>
        <v>N/A</v>
      </c>
      <c r="M5" s="162">
        <f>ZG!$X63</f>
        <v>0</v>
      </c>
      <c r="N5" s="3">
        <f>ZGP!$U57</f>
        <v>2.7172207151914044E-2</v>
      </c>
      <c r="O5" s="3">
        <f>HP!$S56</f>
        <v>8.5573738094673987E-2</v>
      </c>
      <c r="P5" s="3">
        <f>HS!$B65</f>
        <v>0</v>
      </c>
      <c r="Q5" s="151">
        <f>ZF!$B62</f>
        <v>0</v>
      </c>
      <c r="R5" s="188" t="s">
        <v>14</v>
      </c>
      <c r="T5" s="29">
        <f>ZG!B8</f>
        <v>9.1</v>
      </c>
      <c r="U5">
        <f>ZG!C8</f>
        <v>5</v>
      </c>
      <c r="V5" s="136">
        <f>ZG!D8</f>
        <v>45.5</v>
      </c>
      <c r="W5" s="1">
        <f>ZG!E8</f>
        <v>5</v>
      </c>
      <c r="X5" s="136">
        <f>ZG!F8</f>
        <v>227.5</v>
      </c>
      <c r="Y5">
        <f>ZG!G8</f>
        <v>5</v>
      </c>
      <c r="Z5" s="136">
        <f>ZG!H8</f>
        <v>773.5</v>
      </c>
      <c r="AA5" s="1">
        <f>ZG!I8</f>
        <v>5</v>
      </c>
      <c r="AB5" s="136">
        <f>ZG!J8</f>
        <v>1092</v>
      </c>
      <c r="AC5" s="1">
        <f>ZG!K8</f>
        <v>5</v>
      </c>
      <c r="AD5" s="136">
        <f>ZG!L8</f>
        <v>1820</v>
      </c>
      <c r="AE5" s="1">
        <f>ZG!M8</f>
        <v>5</v>
      </c>
      <c r="AF5" s="136">
        <f>ZG!N8</f>
        <v>4550</v>
      </c>
      <c r="AG5" s="1">
        <f>ZG!O8</f>
        <v>5</v>
      </c>
      <c r="AH5" s="136">
        <f>ZG!P8</f>
        <v>9100</v>
      </c>
      <c r="AI5" s="1">
        <f>ZG!Q8</f>
        <v>5</v>
      </c>
      <c r="AJ5" s="136">
        <f>ZG!R8</f>
        <v>18200</v>
      </c>
      <c r="AK5" s="30">
        <f>ZG!S8</f>
        <v>5</v>
      </c>
      <c r="AO5" s="29">
        <f>ZGP!B7</f>
        <v>45.5</v>
      </c>
      <c r="AP5" s="1">
        <f>ZGP!C7</f>
        <v>5</v>
      </c>
      <c r="AQ5" s="136">
        <f>ZGP!D7</f>
        <v>773.5</v>
      </c>
      <c r="AR5" s="1">
        <f>ZGP!E7</f>
        <v>5</v>
      </c>
      <c r="AS5" s="136">
        <f>ZGP!F7</f>
        <v>4550</v>
      </c>
      <c r="AT5" s="30">
        <f>ZGP!G7</f>
        <v>5</v>
      </c>
      <c r="AV5" s="29">
        <f>HP!B7</f>
        <v>273</v>
      </c>
      <c r="AW5" s="1">
        <f>HP!C7</f>
        <v>5</v>
      </c>
      <c r="AX5" s="136">
        <f>HP!D7</f>
        <v>2730</v>
      </c>
      <c r="AY5" s="1">
        <f>HP!E7</f>
        <v>5</v>
      </c>
      <c r="AZ5" s="136">
        <f>HP!F7</f>
        <v>9100</v>
      </c>
      <c r="BA5" s="30">
        <f>HP!G7</f>
        <v>5</v>
      </c>
      <c r="BC5" s="29">
        <f>HS!B7</f>
        <v>109.2</v>
      </c>
      <c r="BD5" s="1">
        <f>HS!C7</f>
        <v>5</v>
      </c>
      <c r="BE5" s="136">
        <f>HS!D7</f>
        <v>728</v>
      </c>
      <c r="BF5" s="1">
        <f>HS!E7</f>
        <v>5</v>
      </c>
      <c r="BG5" s="136">
        <f>HS!F7</f>
        <v>1365</v>
      </c>
      <c r="BH5" s="30">
        <f>HS!G7</f>
        <v>5</v>
      </c>
      <c r="BJ5" s="29">
        <f>ZF!B7</f>
        <v>227.5</v>
      </c>
      <c r="BK5" s="1">
        <f>ZF!C7</f>
        <v>5</v>
      </c>
      <c r="BL5" s="136">
        <f>ZF!D7</f>
        <v>2730</v>
      </c>
      <c r="BM5" s="30">
        <f>ZF!E7</f>
        <v>5</v>
      </c>
    </row>
    <row r="6" spans="2:65" ht="30" x14ac:dyDescent="0.25">
      <c r="B6" s="147" t="s">
        <v>132</v>
      </c>
      <c r="C6" s="110" t="e">
        <f>#REF!</f>
        <v>#REF!</v>
      </c>
      <c r="D6" s="140" t="s">
        <v>11</v>
      </c>
      <c r="F6" s="301"/>
      <c r="G6" s="167" t="s">
        <v>145</v>
      </c>
      <c r="H6" s="44">
        <f>ZG!$X$51</f>
        <v>3.8150999999999997</v>
      </c>
      <c r="I6" s="44" t="str">
        <f>ZGP!$U$50</f>
        <v>N/A</v>
      </c>
      <c r="J6" s="170">
        <f>HP!$S$49</f>
        <v>12.021176000000001</v>
      </c>
      <c r="K6" s="44" t="str">
        <f>HS!$S$49</f>
        <v>N/A</v>
      </c>
      <c r="L6" s="155" t="str">
        <f>ZF!$S$49</f>
        <v>N/A</v>
      </c>
      <c r="M6" s="159">
        <f>ZG!$X64</f>
        <v>1.325354698051066</v>
      </c>
      <c r="N6" s="3">
        <f>ZGP!$U58</f>
        <v>3.8229499999999996</v>
      </c>
      <c r="O6" s="3">
        <f>HP!$S57</f>
        <v>9.1096633333333354</v>
      </c>
      <c r="P6" s="3">
        <f>HS!$B66</f>
        <v>0</v>
      </c>
      <c r="Q6" s="151">
        <f>ZF!$B63</f>
        <v>0</v>
      </c>
      <c r="R6" s="188" t="s">
        <v>16</v>
      </c>
      <c r="T6" s="29">
        <f>ZG!B9</f>
        <v>8.3000000000000007</v>
      </c>
      <c r="U6">
        <f>ZG!C9</f>
        <v>10</v>
      </c>
      <c r="V6" s="136">
        <f>ZG!D9</f>
        <v>41.5</v>
      </c>
      <c r="W6" s="1">
        <f>ZG!E9</f>
        <v>10</v>
      </c>
      <c r="X6" s="136">
        <f>ZG!F9</f>
        <v>207.5</v>
      </c>
      <c r="Y6">
        <f>ZG!G9</f>
        <v>10</v>
      </c>
      <c r="Z6" s="136">
        <f>ZG!H9</f>
        <v>705.5</v>
      </c>
      <c r="AA6" s="1">
        <f>ZG!I9</f>
        <v>10</v>
      </c>
      <c r="AB6" s="136">
        <f>ZG!J9</f>
        <v>996</v>
      </c>
      <c r="AC6" s="1">
        <f>ZG!K9</f>
        <v>10</v>
      </c>
      <c r="AD6" s="136">
        <f>ZG!L9</f>
        <v>1660</v>
      </c>
      <c r="AE6" s="1">
        <f>ZG!M9</f>
        <v>10</v>
      </c>
      <c r="AF6" s="136">
        <f>ZG!N9</f>
        <v>4150</v>
      </c>
      <c r="AG6" s="1">
        <f>ZG!O9</f>
        <v>10</v>
      </c>
      <c r="AH6" s="136">
        <f>ZG!P9</f>
        <v>8300</v>
      </c>
      <c r="AI6" s="1">
        <f>ZG!Q9</f>
        <v>10</v>
      </c>
      <c r="AJ6" s="136">
        <f>ZG!R9</f>
        <v>16600</v>
      </c>
      <c r="AK6" s="30">
        <f>ZG!S9</f>
        <v>10</v>
      </c>
      <c r="AO6" s="29">
        <f>ZGP!B8</f>
        <v>41.5</v>
      </c>
      <c r="AP6" s="1">
        <f>ZGP!C8</f>
        <v>10</v>
      </c>
      <c r="AQ6" s="136">
        <f>ZGP!D8</f>
        <v>705.5</v>
      </c>
      <c r="AR6" s="1">
        <f>ZGP!E8</f>
        <v>10</v>
      </c>
      <c r="AS6" s="136">
        <f>ZGP!F8</f>
        <v>4150</v>
      </c>
      <c r="AT6" s="30">
        <f>ZGP!G8</f>
        <v>10</v>
      </c>
      <c r="AV6" s="29">
        <f>HP!B8</f>
        <v>249</v>
      </c>
      <c r="AW6" s="1">
        <f>HP!C8</f>
        <v>10</v>
      </c>
      <c r="AX6" s="136">
        <f>HP!D8</f>
        <v>2490</v>
      </c>
      <c r="AY6" s="1">
        <f>HP!E8</f>
        <v>10</v>
      </c>
      <c r="AZ6" s="136">
        <f>HP!F8</f>
        <v>8300</v>
      </c>
      <c r="BA6" s="30">
        <f>HP!G8</f>
        <v>10</v>
      </c>
      <c r="BC6" s="29">
        <f>HS!B8</f>
        <v>99.6</v>
      </c>
      <c r="BD6" s="1">
        <f>HS!C8</f>
        <v>10</v>
      </c>
      <c r="BE6" s="136">
        <f>HS!D8</f>
        <v>664</v>
      </c>
      <c r="BF6" s="1">
        <f>HS!E8</f>
        <v>10</v>
      </c>
      <c r="BG6" s="136">
        <f>HS!F8</f>
        <v>1245</v>
      </c>
      <c r="BH6" s="30">
        <f>HS!G8</f>
        <v>10</v>
      </c>
      <c r="BJ6" s="29">
        <f>ZF!B8</f>
        <v>207.5</v>
      </c>
      <c r="BK6" s="1">
        <f>ZF!C8</f>
        <v>10</v>
      </c>
      <c r="BL6" s="136">
        <f>ZF!D8</f>
        <v>2490</v>
      </c>
      <c r="BM6" s="30">
        <f>ZF!E8</f>
        <v>10</v>
      </c>
    </row>
    <row r="7" spans="2:65" ht="30.75" thickBot="1" x14ac:dyDescent="0.3">
      <c r="B7" s="148" t="s">
        <v>130</v>
      </c>
      <c r="C7" s="149" t="e">
        <f>#REF!</f>
        <v>#REF!</v>
      </c>
      <c r="D7" s="150"/>
      <c r="F7" s="301"/>
      <c r="G7" s="168" t="s">
        <v>162</v>
      </c>
      <c r="H7" s="129">
        <v>0</v>
      </c>
      <c r="I7" s="129">
        <v>0</v>
      </c>
      <c r="J7" s="129">
        <v>0</v>
      </c>
      <c r="K7" s="129">
        <v>0</v>
      </c>
      <c r="L7" s="129">
        <v>0</v>
      </c>
      <c r="M7" s="129">
        <v>0</v>
      </c>
      <c r="N7" s="129">
        <v>0</v>
      </c>
      <c r="O7" s="129">
        <v>0</v>
      </c>
      <c r="P7" s="129">
        <v>0</v>
      </c>
      <c r="Q7" s="129">
        <v>0</v>
      </c>
      <c r="R7" s="195">
        <v>0</v>
      </c>
      <c r="T7" s="29">
        <f>ZG!B10</f>
        <v>7.7</v>
      </c>
      <c r="U7">
        <f>ZG!C10</f>
        <v>15</v>
      </c>
      <c r="V7" s="136">
        <f>ZG!D10</f>
        <v>38.5</v>
      </c>
      <c r="W7" s="1">
        <f>ZG!E10</f>
        <v>15</v>
      </c>
      <c r="X7" s="136">
        <f>ZG!F10</f>
        <v>192.5</v>
      </c>
      <c r="Y7">
        <f>ZG!G10</f>
        <v>15</v>
      </c>
      <c r="Z7" s="136">
        <f>ZG!H10</f>
        <v>654.5</v>
      </c>
      <c r="AA7" s="1">
        <f>ZG!I10</f>
        <v>15</v>
      </c>
      <c r="AB7" s="136">
        <f>ZG!J10</f>
        <v>924</v>
      </c>
      <c r="AC7" s="1">
        <f>ZG!K10</f>
        <v>15</v>
      </c>
      <c r="AD7" s="136">
        <f>ZG!L10</f>
        <v>1540</v>
      </c>
      <c r="AE7" s="1">
        <f>ZG!M10</f>
        <v>15</v>
      </c>
      <c r="AF7" s="136">
        <f>ZG!N10</f>
        <v>3850</v>
      </c>
      <c r="AG7" s="1">
        <f>ZG!O10</f>
        <v>15</v>
      </c>
      <c r="AH7" s="136">
        <f>ZG!P10</f>
        <v>7700</v>
      </c>
      <c r="AI7" s="1">
        <f>ZG!Q10</f>
        <v>15</v>
      </c>
      <c r="AJ7" s="136">
        <f>ZG!R10</f>
        <v>15400</v>
      </c>
      <c r="AK7" s="30">
        <f>ZG!S10</f>
        <v>15</v>
      </c>
      <c r="AO7" s="29">
        <f>ZGP!B9</f>
        <v>38.5</v>
      </c>
      <c r="AP7" s="1">
        <f>ZGP!C9</f>
        <v>15</v>
      </c>
      <c r="AQ7" s="136">
        <f>ZGP!D9</f>
        <v>654.5</v>
      </c>
      <c r="AR7" s="1">
        <f>ZGP!E9</f>
        <v>15</v>
      </c>
      <c r="AS7" s="136">
        <f>ZGP!F9</f>
        <v>3850</v>
      </c>
      <c r="AT7" s="30">
        <f>ZGP!G9</f>
        <v>15</v>
      </c>
      <c r="AV7" s="29">
        <f>HP!B9</f>
        <v>231</v>
      </c>
      <c r="AW7" s="1">
        <f>HP!C9</f>
        <v>15</v>
      </c>
      <c r="AX7" s="136">
        <f>HP!D9</f>
        <v>2310</v>
      </c>
      <c r="AY7" s="1">
        <f>HP!E9</f>
        <v>15</v>
      </c>
      <c r="AZ7" s="136">
        <f>HP!F9</f>
        <v>7700</v>
      </c>
      <c r="BA7" s="30">
        <f>HP!G9</f>
        <v>15</v>
      </c>
      <c r="BC7" s="29">
        <f>HS!B9</f>
        <v>92.4</v>
      </c>
      <c r="BD7" s="1">
        <f>HS!C9</f>
        <v>15</v>
      </c>
      <c r="BE7" s="136">
        <f>HS!D9</f>
        <v>616</v>
      </c>
      <c r="BF7" s="1">
        <f>HS!E9</f>
        <v>15</v>
      </c>
      <c r="BG7" s="136">
        <f>HS!F9</f>
        <v>1155</v>
      </c>
      <c r="BH7" s="30">
        <f>HS!G9</f>
        <v>15</v>
      </c>
      <c r="BJ7" s="29">
        <f>ZF!B9</f>
        <v>192.5</v>
      </c>
      <c r="BK7" s="1">
        <f>ZF!C9</f>
        <v>15</v>
      </c>
      <c r="BL7" s="136">
        <f>ZF!D9</f>
        <v>2310</v>
      </c>
      <c r="BM7" s="30">
        <f>ZF!E9</f>
        <v>15</v>
      </c>
    </row>
    <row r="8" spans="2:65" ht="45" x14ac:dyDescent="0.25">
      <c r="F8" s="301"/>
      <c r="G8" s="168" t="s">
        <v>166</v>
      </c>
      <c r="H8" s="129">
        <v>0</v>
      </c>
      <c r="I8" s="129">
        <v>0</v>
      </c>
      <c r="J8" s="129">
        <v>0</v>
      </c>
      <c r="K8" s="129">
        <v>0</v>
      </c>
      <c r="L8" s="129">
        <v>0</v>
      </c>
      <c r="M8" s="129">
        <v>0</v>
      </c>
      <c r="N8" s="129">
        <v>0</v>
      </c>
      <c r="O8" s="129">
        <v>0</v>
      </c>
      <c r="P8" s="129">
        <v>0</v>
      </c>
      <c r="Q8" s="129">
        <v>0</v>
      </c>
      <c r="R8" s="195" t="s">
        <v>163</v>
      </c>
      <c r="T8" s="29">
        <f>ZG!B11</f>
        <v>7.2</v>
      </c>
      <c r="U8">
        <f>ZG!C11</f>
        <v>20</v>
      </c>
      <c r="V8" s="136">
        <f>ZG!D11</f>
        <v>36</v>
      </c>
      <c r="W8" s="1">
        <f>ZG!E11</f>
        <v>20</v>
      </c>
      <c r="X8" s="136">
        <f>ZG!F11</f>
        <v>180</v>
      </c>
      <c r="Y8">
        <f>ZG!G11</f>
        <v>20</v>
      </c>
      <c r="Z8" s="136">
        <f>ZG!H11</f>
        <v>612</v>
      </c>
      <c r="AA8" s="1">
        <f>ZG!I11</f>
        <v>20</v>
      </c>
      <c r="AB8" s="136">
        <f>ZG!J11</f>
        <v>864</v>
      </c>
      <c r="AC8" s="1">
        <f>ZG!K11</f>
        <v>20</v>
      </c>
      <c r="AD8" s="136">
        <f>ZG!L11</f>
        <v>1440</v>
      </c>
      <c r="AE8" s="1">
        <f>ZG!M11</f>
        <v>20</v>
      </c>
      <c r="AF8" s="136">
        <f>ZG!N11</f>
        <v>3600</v>
      </c>
      <c r="AG8" s="1">
        <f>ZG!O11</f>
        <v>20</v>
      </c>
      <c r="AH8" s="136">
        <f>ZG!P11</f>
        <v>7200</v>
      </c>
      <c r="AI8" s="1">
        <f>ZG!Q11</f>
        <v>20</v>
      </c>
      <c r="AJ8" s="136">
        <f>ZG!R11</f>
        <v>14400</v>
      </c>
      <c r="AK8" s="30">
        <f>ZG!S11</f>
        <v>20</v>
      </c>
      <c r="AO8" s="29">
        <f>ZGP!B10</f>
        <v>36</v>
      </c>
      <c r="AP8" s="1">
        <f>ZGP!C10</f>
        <v>20</v>
      </c>
      <c r="AQ8" s="136">
        <f>ZGP!D10</f>
        <v>612</v>
      </c>
      <c r="AR8" s="1">
        <f>ZGP!E10</f>
        <v>20</v>
      </c>
      <c r="AS8" s="136">
        <f>ZGP!F10</f>
        <v>3600</v>
      </c>
      <c r="AT8" s="30">
        <f>ZGP!G10</f>
        <v>20</v>
      </c>
      <c r="AV8" s="29">
        <f>HP!B10</f>
        <v>216</v>
      </c>
      <c r="AW8" s="1">
        <f>HP!C10</f>
        <v>20</v>
      </c>
      <c r="AX8" s="136">
        <f>HP!D10</f>
        <v>2160</v>
      </c>
      <c r="AY8" s="1">
        <f>HP!E10</f>
        <v>20</v>
      </c>
      <c r="AZ8" s="136">
        <f>HP!F10</f>
        <v>7200</v>
      </c>
      <c r="BA8" s="30">
        <f>HP!G10</f>
        <v>20</v>
      </c>
      <c r="BC8" s="29">
        <f>HS!B10</f>
        <v>86.4</v>
      </c>
      <c r="BD8" s="1">
        <f>HS!C10</f>
        <v>20</v>
      </c>
      <c r="BE8" s="136">
        <f>HS!D10</f>
        <v>576</v>
      </c>
      <c r="BF8" s="1">
        <f>HS!E10</f>
        <v>20</v>
      </c>
      <c r="BG8" s="136">
        <f>HS!F10</f>
        <v>1080</v>
      </c>
      <c r="BH8" s="30">
        <f>HS!G10</f>
        <v>20</v>
      </c>
      <c r="BJ8" s="29">
        <f>ZF!B10</f>
        <v>180</v>
      </c>
      <c r="BK8" s="1">
        <f>ZF!C10</f>
        <v>20</v>
      </c>
      <c r="BL8" s="136">
        <f>ZF!D10</f>
        <v>2160</v>
      </c>
      <c r="BM8" s="30">
        <f>ZF!E10</f>
        <v>20</v>
      </c>
    </row>
    <row r="9" spans="2:65" ht="30" x14ac:dyDescent="0.25">
      <c r="F9" s="301"/>
      <c r="G9" s="168" t="s">
        <v>164</v>
      </c>
      <c r="H9" s="129">
        <v>0</v>
      </c>
      <c r="I9" s="129">
        <v>0</v>
      </c>
      <c r="J9" s="129">
        <v>0</v>
      </c>
      <c r="K9" s="129">
        <v>0</v>
      </c>
      <c r="L9" s="129">
        <v>0</v>
      </c>
      <c r="M9" s="129">
        <v>0</v>
      </c>
      <c r="N9" s="129">
        <v>0</v>
      </c>
      <c r="O9" s="129">
        <v>0</v>
      </c>
      <c r="P9" s="129">
        <v>0</v>
      </c>
      <c r="Q9" s="129">
        <v>0</v>
      </c>
      <c r="R9" s="195" t="s">
        <v>163</v>
      </c>
      <c r="T9" s="29">
        <f>ZG!B12</f>
        <v>6.8</v>
      </c>
      <c r="U9">
        <f>ZG!C12</f>
        <v>25</v>
      </c>
      <c r="V9" s="136">
        <f>ZG!D12</f>
        <v>34</v>
      </c>
      <c r="W9" s="1">
        <f>ZG!E12</f>
        <v>25</v>
      </c>
      <c r="X9" s="136">
        <f>ZG!F12</f>
        <v>170</v>
      </c>
      <c r="Y9">
        <f>ZG!G12</f>
        <v>25</v>
      </c>
      <c r="Z9" s="136">
        <f>ZG!H12</f>
        <v>578</v>
      </c>
      <c r="AA9" s="1">
        <f>ZG!I12</f>
        <v>25</v>
      </c>
      <c r="AB9" s="136">
        <f>ZG!J12</f>
        <v>816</v>
      </c>
      <c r="AC9" s="1">
        <f>ZG!K12</f>
        <v>25</v>
      </c>
      <c r="AD9" s="136">
        <f>ZG!L12</f>
        <v>1360</v>
      </c>
      <c r="AE9" s="1">
        <f>ZG!M12</f>
        <v>25</v>
      </c>
      <c r="AF9" s="136">
        <f>ZG!N12</f>
        <v>3400</v>
      </c>
      <c r="AG9" s="1">
        <f>ZG!O12</f>
        <v>25</v>
      </c>
      <c r="AH9" s="136">
        <f>ZG!P12</f>
        <v>6800</v>
      </c>
      <c r="AI9" s="1">
        <f>ZG!Q12</f>
        <v>25</v>
      </c>
      <c r="AJ9" s="136">
        <f>ZG!R12</f>
        <v>13600</v>
      </c>
      <c r="AK9" s="30">
        <f>ZG!S12</f>
        <v>25</v>
      </c>
      <c r="AO9" s="29">
        <f>ZGP!B11</f>
        <v>34</v>
      </c>
      <c r="AP9" s="1">
        <f>ZGP!C11</f>
        <v>25</v>
      </c>
      <c r="AQ9" s="136">
        <f>ZGP!D11</f>
        <v>578</v>
      </c>
      <c r="AR9" s="1">
        <f>ZGP!E11</f>
        <v>25</v>
      </c>
      <c r="AS9" s="136">
        <f>ZGP!F11</f>
        <v>3400</v>
      </c>
      <c r="AT9" s="30">
        <f>ZGP!G11</f>
        <v>25</v>
      </c>
      <c r="AV9" s="29">
        <f>HP!B11</f>
        <v>204</v>
      </c>
      <c r="AW9" s="1">
        <f>HP!C11</f>
        <v>25</v>
      </c>
      <c r="AX9" s="136">
        <f>HP!D11</f>
        <v>2040</v>
      </c>
      <c r="AY9" s="1">
        <f>HP!E11</f>
        <v>25</v>
      </c>
      <c r="AZ9" s="136">
        <f>HP!F11</f>
        <v>6800</v>
      </c>
      <c r="BA9" s="30">
        <f>HP!G11</f>
        <v>25</v>
      </c>
      <c r="BC9" s="29">
        <f>HS!B11</f>
        <v>81.599999999999994</v>
      </c>
      <c r="BD9" s="1">
        <f>HS!C11</f>
        <v>25</v>
      </c>
      <c r="BE9" s="136">
        <f>HS!D11</f>
        <v>544</v>
      </c>
      <c r="BF9" s="1">
        <f>HS!E11</f>
        <v>25</v>
      </c>
      <c r="BG9" s="136">
        <f>HS!F11</f>
        <v>1020</v>
      </c>
      <c r="BH9" s="30">
        <f>HS!G11</f>
        <v>25</v>
      </c>
      <c r="BJ9" s="29">
        <f>ZF!B11</f>
        <v>170</v>
      </c>
      <c r="BK9" s="1">
        <f>ZF!C11</f>
        <v>25</v>
      </c>
      <c r="BL9" s="136">
        <f>ZF!D11</f>
        <v>2040</v>
      </c>
      <c r="BM9" s="30">
        <f>ZF!E11</f>
        <v>25</v>
      </c>
    </row>
    <row r="10" spans="2:65" ht="30" x14ac:dyDescent="0.25">
      <c r="F10" s="301"/>
      <c r="G10" s="168" t="s">
        <v>165</v>
      </c>
      <c r="H10" s="129">
        <v>0</v>
      </c>
      <c r="I10" s="129">
        <v>0</v>
      </c>
      <c r="J10" s="129">
        <v>0</v>
      </c>
      <c r="K10" s="129">
        <v>0</v>
      </c>
      <c r="L10" s="129">
        <v>0</v>
      </c>
      <c r="M10" s="129">
        <v>0</v>
      </c>
      <c r="N10" s="129">
        <v>0</v>
      </c>
      <c r="O10" s="129">
        <v>0</v>
      </c>
      <c r="P10" s="129">
        <v>0</v>
      </c>
      <c r="Q10" s="129">
        <v>0</v>
      </c>
      <c r="R10" s="195" t="s">
        <v>163</v>
      </c>
      <c r="T10" s="29">
        <f>ZG!B13</f>
        <v>6.55</v>
      </c>
      <c r="U10">
        <f>ZG!C13</f>
        <v>30</v>
      </c>
      <c r="V10" s="136">
        <f>ZG!D13</f>
        <v>32.75</v>
      </c>
      <c r="W10" s="1">
        <f>ZG!E13</f>
        <v>30</v>
      </c>
      <c r="X10" s="136">
        <f>ZG!F13</f>
        <v>163.75</v>
      </c>
      <c r="Y10">
        <f>ZG!G13</f>
        <v>30</v>
      </c>
      <c r="Z10" s="136">
        <f>ZG!H13</f>
        <v>556.75</v>
      </c>
      <c r="AA10" s="1">
        <f>ZG!I13</f>
        <v>30</v>
      </c>
      <c r="AB10" s="136">
        <f>ZG!J13</f>
        <v>786</v>
      </c>
      <c r="AC10" s="1">
        <f>ZG!K13</f>
        <v>30</v>
      </c>
      <c r="AD10" s="136">
        <f>ZG!L13</f>
        <v>1310</v>
      </c>
      <c r="AE10" s="1">
        <f>ZG!M13</f>
        <v>30</v>
      </c>
      <c r="AF10" s="136">
        <f>ZG!N13</f>
        <v>3275</v>
      </c>
      <c r="AG10" s="1">
        <f>ZG!O13</f>
        <v>30</v>
      </c>
      <c r="AH10" s="136">
        <f>ZG!P13</f>
        <v>6550</v>
      </c>
      <c r="AI10" s="1">
        <f>ZG!Q13</f>
        <v>30</v>
      </c>
      <c r="AJ10" s="136">
        <f>ZG!R13</f>
        <v>13100</v>
      </c>
      <c r="AK10" s="30">
        <f>ZG!S13</f>
        <v>30</v>
      </c>
      <c r="AO10" s="29">
        <f>ZGP!B12</f>
        <v>32.75</v>
      </c>
      <c r="AP10" s="1">
        <f>ZGP!C12</f>
        <v>30</v>
      </c>
      <c r="AQ10" s="136">
        <f>ZGP!D12</f>
        <v>556.75</v>
      </c>
      <c r="AR10" s="1">
        <f>ZGP!E12</f>
        <v>30</v>
      </c>
      <c r="AS10" s="136">
        <f>ZGP!F12</f>
        <v>3275</v>
      </c>
      <c r="AT10" s="30">
        <f>ZGP!G12</f>
        <v>30</v>
      </c>
      <c r="AV10" s="29">
        <f>HP!B12</f>
        <v>196.5</v>
      </c>
      <c r="AW10" s="1">
        <f>HP!C12</f>
        <v>30</v>
      </c>
      <c r="AX10" s="136">
        <f>HP!D12</f>
        <v>1965</v>
      </c>
      <c r="AY10" s="1">
        <f>HP!E12</f>
        <v>30</v>
      </c>
      <c r="AZ10" s="136">
        <f>HP!F12</f>
        <v>6550</v>
      </c>
      <c r="BA10" s="30">
        <f>HP!G12</f>
        <v>30</v>
      </c>
      <c r="BC10" s="29">
        <f>HS!B12</f>
        <v>78.599999999999994</v>
      </c>
      <c r="BD10" s="1">
        <f>HS!C12</f>
        <v>30</v>
      </c>
      <c r="BE10" s="136">
        <f>HS!D12</f>
        <v>524</v>
      </c>
      <c r="BF10" s="1">
        <f>HS!E12</f>
        <v>30</v>
      </c>
      <c r="BG10" s="136">
        <f>HS!F12</f>
        <v>982.5</v>
      </c>
      <c r="BH10" s="30">
        <f>HS!G12</f>
        <v>30</v>
      </c>
      <c r="BJ10" s="29">
        <f>ZF!B12</f>
        <v>163.75</v>
      </c>
      <c r="BK10" s="1">
        <f>ZF!C12</f>
        <v>30</v>
      </c>
      <c r="BL10" s="136">
        <f>ZF!D12</f>
        <v>1965</v>
      </c>
      <c r="BM10" s="30">
        <f>ZF!E12</f>
        <v>30</v>
      </c>
    </row>
    <row r="11" spans="2:65" ht="60" customHeight="1" x14ac:dyDescent="0.25">
      <c r="B11" s="70" t="s">
        <v>196</v>
      </c>
      <c r="F11" s="301"/>
      <c r="G11" s="167" t="s">
        <v>146</v>
      </c>
      <c r="H11" s="3">
        <f>ZG!$X$53</f>
        <v>145</v>
      </c>
      <c r="I11" s="3" t="str">
        <f>ZGP!$U$51</f>
        <v>N/A</v>
      </c>
      <c r="J11" s="4">
        <f>HP!$S$50</f>
        <v>844.5</v>
      </c>
      <c r="K11" s="3" t="str">
        <f>HS!$S$50</f>
        <v>N/A</v>
      </c>
      <c r="L11" s="156" t="str">
        <f>ZF!$S$50</f>
        <v>N/A</v>
      </c>
      <c r="M11" s="158">
        <f>ZG!$X65</f>
        <v>2.650709396102132</v>
      </c>
      <c r="N11" s="3">
        <f>ZGP!$U59</f>
        <v>243.5</v>
      </c>
      <c r="O11" s="3">
        <f>HP!$S58</f>
        <v>845</v>
      </c>
      <c r="P11" s="3">
        <f>HS!$B67</f>
        <v>0</v>
      </c>
      <c r="Q11" s="151">
        <f>ZF!$B64</f>
        <v>0</v>
      </c>
      <c r="R11" s="188" t="s">
        <v>12</v>
      </c>
      <c r="T11" s="29">
        <f>ZG!B14</f>
        <v>6.3</v>
      </c>
      <c r="U11">
        <f>ZG!C14</f>
        <v>35</v>
      </c>
      <c r="V11" s="136">
        <f>ZG!D14</f>
        <v>31.5</v>
      </c>
      <c r="W11" s="1">
        <f>ZG!E14</f>
        <v>35</v>
      </c>
      <c r="X11" s="136">
        <f>ZG!F14</f>
        <v>157.5</v>
      </c>
      <c r="Y11">
        <f>ZG!G14</f>
        <v>35</v>
      </c>
      <c r="Z11" s="136">
        <f>ZG!H14</f>
        <v>535.5</v>
      </c>
      <c r="AA11" s="1">
        <f>ZG!I14</f>
        <v>35</v>
      </c>
      <c r="AB11" s="136">
        <f>ZG!J14</f>
        <v>756</v>
      </c>
      <c r="AC11" s="1">
        <f>ZG!K14</f>
        <v>35</v>
      </c>
      <c r="AD11" s="136">
        <f>ZG!L14</f>
        <v>1260</v>
      </c>
      <c r="AE11" s="1">
        <f>ZG!M14</f>
        <v>35</v>
      </c>
      <c r="AF11" s="136">
        <f>ZG!N14</f>
        <v>3150</v>
      </c>
      <c r="AG11" s="1">
        <f>ZG!O14</f>
        <v>35</v>
      </c>
      <c r="AH11" s="136">
        <f>ZG!P14</f>
        <v>6300</v>
      </c>
      <c r="AI11" s="1">
        <f>ZG!Q14</f>
        <v>35</v>
      </c>
      <c r="AJ11" s="136">
        <f>ZG!R14</f>
        <v>12600</v>
      </c>
      <c r="AK11" s="30">
        <f>ZG!S14</f>
        <v>35</v>
      </c>
      <c r="AO11" s="29">
        <f>ZGP!B13</f>
        <v>31.5</v>
      </c>
      <c r="AP11" s="1">
        <f>ZGP!C13</f>
        <v>35</v>
      </c>
      <c r="AQ11" s="136">
        <f>ZGP!D13</f>
        <v>535.5</v>
      </c>
      <c r="AR11" s="1">
        <f>ZGP!E13</f>
        <v>35</v>
      </c>
      <c r="AS11" s="136">
        <f>ZGP!F13</f>
        <v>3150</v>
      </c>
      <c r="AT11" s="30">
        <f>ZGP!G13</f>
        <v>35</v>
      </c>
      <c r="AV11" s="29">
        <f>HP!B13</f>
        <v>189</v>
      </c>
      <c r="AW11" s="1">
        <f>HP!C13</f>
        <v>35</v>
      </c>
      <c r="AX11" s="136">
        <f>HP!D13</f>
        <v>1890</v>
      </c>
      <c r="AY11" s="1">
        <f>HP!E13</f>
        <v>35</v>
      </c>
      <c r="AZ11" s="136">
        <f>HP!F13</f>
        <v>6300</v>
      </c>
      <c r="BA11" s="30">
        <f>HP!G13</f>
        <v>35</v>
      </c>
      <c r="BC11" s="29">
        <f>HS!B13</f>
        <v>75.599999999999994</v>
      </c>
      <c r="BD11" s="1">
        <f>HS!C13</f>
        <v>35</v>
      </c>
      <c r="BE11" s="136">
        <f>HS!D13</f>
        <v>504</v>
      </c>
      <c r="BF11" s="1">
        <f>HS!E13</f>
        <v>35</v>
      </c>
      <c r="BG11" s="136">
        <f>HS!F13</f>
        <v>945</v>
      </c>
      <c r="BH11" s="30">
        <f>HS!G13</f>
        <v>35</v>
      </c>
      <c r="BJ11" s="29">
        <f>ZF!B13</f>
        <v>157.5</v>
      </c>
      <c r="BK11" s="1">
        <f>ZF!C13</f>
        <v>35</v>
      </c>
      <c r="BL11" s="136">
        <f>ZF!D13</f>
        <v>1890</v>
      </c>
      <c r="BM11" s="30">
        <f>ZF!E13</f>
        <v>35</v>
      </c>
    </row>
    <row r="12" spans="2:65" ht="30" customHeight="1" x14ac:dyDescent="0.25">
      <c r="F12" s="301"/>
      <c r="G12" s="167" t="s">
        <v>147</v>
      </c>
      <c r="H12" s="3">
        <f>ZG!$X$54</f>
        <v>2.2950492956015617E-2</v>
      </c>
      <c r="I12" s="44" t="str">
        <f>ZGP!$U$52</f>
        <v>N/A</v>
      </c>
      <c r="J12" s="170">
        <f>HP!$S$51</f>
        <v>6.7526956097712212E-2</v>
      </c>
      <c r="K12" s="44" t="str">
        <f>HS!$S$51</f>
        <v>N/A</v>
      </c>
      <c r="L12" s="155" t="str">
        <f>ZF!$S$51</f>
        <v>N/A</v>
      </c>
      <c r="M12" s="162">
        <f>ZG!$X66</f>
        <v>3.9760640941531982</v>
      </c>
      <c r="N12" s="3">
        <f>ZGP!$U60</f>
        <v>3.3965258939892555E-3</v>
      </c>
      <c r="O12" s="3">
        <f>HP!$S59</f>
        <v>1.0696717261834248E-2</v>
      </c>
      <c r="P12" s="3">
        <f>HS!$B68</f>
        <v>0</v>
      </c>
      <c r="Q12" s="151">
        <f>ZF!$B65</f>
        <v>0</v>
      </c>
      <c r="R12" s="188" t="s">
        <v>14</v>
      </c>
      <c r="T12" s="29">
        <f>ZG!B15</f>
        <v>6.15</v>
      </c>
      <c r="U12">
        <f>ZG!C15</f>
        <v>40</v>
      </c>
      <c r="V12" s="136">
        <f>ZG!D15</f>
        <v>30.75</v>
      </c>
      <c r="W12" s="1">
        <f>ZG!E15</f>
        <v>40</v>
      </c>
      <c r="X12" s="136">
        <f>ZG!F15</f>
        <v>153.75</v>
      </c>
      <c r="Y12">
        <f>ZG!G15</f>
        <v>40</v>
      </c>
      <c r="Z12" s="136">
        <f>ZG!H15</f>
        <v>522.75</v>
      </c>
      <c r="AA12" s="1">
        <f>ZG!I15</f>
        <v>40</v>
      </c>
      <c r="AB12" s="136">
        <f>ZG!J15</f>
        <v>738</v>
      </c>
      <c r="AC12" s="1">
        <f>ZG!K15</f>
        <v>40</v>
      </c>
      <c r="AD12" s="136">
        <f>ZG!L15</f>
        <v>1230</v>
      </c>
      <c r="AE12" s="1">
        <f>ZG!M15</f>
        <v>40</v>
      </c>
      <c r="AF12" s="136">
        <f>ZG!N15</f>
        <v>3075</v>
      </c>
      <c r="AG12" s="1">
        <f>ZG!O15</f>
        <v>40</v>
      </c>
      <c r="AH12" s="136">
        <f>ZG!P15</f>
        <v>6150</v>
      </c>
      <c r="AI12" s="1">
        <f>ZG!Q15</f>
        <v>40</v>
      </c>
      <c r="AJ12" s="136">
        <f>ZG!R15</f>
        <v>12300</v>
      </c>
      <c r="AK12" s="30">
        <f>ZG!S15</f>
        <v>40</v>
      </c>
      <c r="AO12" s="29">
        <f>ZGP!B14</f>
        <v>30.75</v>
      </c>
      <c r="AP12" s="1">
        <f>ZGP!C14</f>
        <v>40</v>
      </c>
      <c r="AQ12" s="136">
        <f>ZGP!D14</f>
        <v>522.75</v>
      </c>
      <c r="AR12" s="1">
        <f>ZGP!E14</f>
        <v>40</v>
      </c>
      <c r="AS12" s="136">
        <f>ZGP!F14</f>
        <v>3075</v>
      </c>
      <c r="AT12" s="30">
        <f>ZGP!G14</f>
        <v>40</v>
      </c>
      <c r="AV12" s="29">
        <f>HP!B14</f>
        <v>184.5</v>
      </c>
      <c r="AW12" s="1">
        <f>HP!C14</f>
        <v>40</v>
      </c>
      <c r="AX12" s="136">
        <f>HP!D14</f>
        <v>1845</v>
      </c>
      <c r="AY12" s="1">
        <f>HP!E14</f>
        <v>40</v>
      </c>
      <c r="AZ12" s="136">
        <f>HP!F14</f>
        <v>6150</v>
      </c>
      <c r="BA12" s="30">
        <f>HP!G14</f>
        <v>40</v>
      </c>
      <c r="BC12" s="29">
        <f>HS!B14</f>
        <v>73.8</v>
      </c>
      <c r="BD12" s="1">
        <f>HS!C14</f>
        <v>40</v>
      </c>
      <c r="BE12" s="136">
        <f>HS!D14</f>
        <v>492</v>
      </c>
      <c r="BF12" s="1">
        <f>HS!E14</f>
        <v>40</v>
      </c>
      <c r="BG12" s="136">
        <f>HS!F14</f>
        <v>922.5</v>
      </c>
      <c r="BH12" s="30">
        <f>HS!G14</f>
        <v>40</v>
      </c>
      <c r="BJ12" s="29">
        <f>ZF!B14</f>
        <v>153.75</v>
      </c>
      <c r="BK12" s="1">
        <f>ZF!C14</f>
        <v>40</v>
      </c>
      <c r="BL12" s="136">
        <f>ZF!D14</f>
        <v>1845</v>
      </c>
      <c r="BM12" s="30">
        <f>ZF!E14</f>
        <v>40</v>
      </c>
    </row>
    <row r="13" spans="2:65" ht="30" x14ac:dyDescent="0.25">
      <c r="F13" s="301"/>
      <c r="G13" s="167" t="s">
        <v>148</v>
      </c>
      <c r="H13" s="44">
        <f>ZG!$X$55</f>
        <v>2.2765</v>
      </c>
      <c r="I13" s="44" t="str">
        <f>ZGP!$U$53</f>
        <v>N/A</v>
      </c>
      <c r="J13" s="170">
        <f>HP!$S$52</f>
        <v>6.0105880000000003</v>
      </c>
      <c r="K13" s="44" t="str">
        <f>HS!S52</f>
        <v>N/A</v>
      </c>
      <c r="L13" s="155" t="str">
        <f>ZF!$S$52</f>
        <v>N/A</v>
      </c>
      <c r="M13" s="159">
        <f>ZG!$X67</f>
        <v>5.3014187922042639</v>
      </c>
      <c r="N13" s="3">
        <f>ZGP!$U61</f>
        <v>1.9114749999999998</v>
      </c>
      <c r="O13" s="3">
        <f>HP!$S60</f>
        <v>4.5548316666666677</v>
      </c>
      <c r="P13" s="3">
        <f>HS!$B69</f>
        <v>0</v>
      </c>
      <c r="Q13" s="151">
        <f>ZF!$B66</f>
        <v>0</v>
      </c>
      <c r="R13" s="188" t="s">
        <v>16</v>
      </c>
      <c r="T13" s="29">
        <f>ZG!B16</f>
        <v>6</v>
      </c>
      <c r="U13">
        <f>ZG!C16</f>
        <v>45</v>
      </c>
      <c r="V13" s="136">
        <f>ZG!D16</f>
        <v>30</v>
      </c>
      <c r="W13" s="1">
        <f>ZG!E16</f>
        <v>45</v>
      </c>
      <c r="X13" s="136">
        <f>ZG!F16</f>
        <v>150</v>
      </c>
      <c r="Y13">
        <f>ZG!G16</f>
        <v>45</v>
      </c>
      <c r="Z13" s="136">
        <f>ZG!H16</f>
        <v>510</v>
      </c>
      <c r="AA13" s="1">
        <f>ZG!I16</f>
        <v>45</v>
      </c>
      <c r="AB13" s="136">
        <f>ZG!J16</f>
        <v>720</v>
      </c>
      <c r="AC13" s="1">
        <f>ZG!K16</f>
        <v>45</v>
      </c>
      <c r="AD13" s="136">
        <f>ZG!L16</f>
        <v>1200</v>
      </c>
      <c r="AE13" s="1">
        <f>ZG!M16</f>
        <v>45</v>
      </c>
      <c r="AF13" s="136">
        <f>ZG!N16</f>
        <v>3000</v>
      </c>
      <c r="AG13" s="1">
        <f>ZG!O16</f>
        <v>45</v>
      </c>
      <c r="AH13" s="136">
        <f>ZG!P16</f>
        <v>6000</v>
      </c>
      <c r="AI13" s="1">
        <f>ZG!Q16</f>
        <v>45</v>
      </c>
      <c r="AJ13" s="136">
        <f>ZG!R16</f>
        <v>12000</v>
      </c>
      <c r="AK13" s="30">
        <f>ZG!S16</f>
        <v>45</v>
      </c>
      <c r="AO13" s="29">
        <f>ZGP!B15</f>
        <v>30</v>
      </c>
      <c r="AP13" s="1">
        <f>ZGP!C15</f>
        <v>45</v>
      </c>
      <c r="AQ13" s="136">
        <f>ZGP!D15</f>
        <v>510</v>
      </c>
      <c r="AR13" s="1">
        <f>ZGP!E15</f>
        <v>45</v>
      </c>
      <c r="AS13" s="136">
        <f>ZGP!F15</f>
        <v>3000</v>
      </c>
      <c r="AT13" s="30">
        <f>ZGP!G15</f>
        <v>45</v>
      </c>
      <c r="AV13" s="29">
        <f>HP!B15</f>
        <v>180</v>
      </c>
      <c r="AW13" s="1">
        <f>HP!C15</f>
        <v>45</v>
      </c>
      <c r="AX13" s="136">
        <f>HP!D15</f>
        <v>1800</v>
      </c>
      <c r="AY13" s="1">
        <f>HP!E15</f>
        <v>45</v>
      </c>
      <c r="AZ13" s="136">
        <f>HP!F15</f>
        <v>6000</v>
      </c>
      <c r="BA13" s="30">
        <f>HP!G15</f>
        <v>45</v>
      </c>
      <c r="BC13" s="29">
        <f>HS!B15</f>
        <v>72</v>
      </c>
      <c r="BD13" s="1">
        <f>HS!C15</f>
        <v>45</v>
      </c>
      <c r="BE13" s="136">
        <f>HS!D15</f>
        <v>480</v>
      </c>
      <c r="BF13" s="1">
        <f>HS!E15</f>
        <v>45</v>
      </c>
      <c r="BG13" s="136">
        <f>HS!F15</f>
        <v>900</v>
      </c>
      <c r="BH13" s="30">
        <f>HS!G15</f>
        <v>45</v>
      </c>
      <c r="BJ13" s="29">
        <f>ZF!B15</f>
        <v>150</v>
      </c>
      <c r="BK13" s="1">
        <f>ZF!C15</f>
        <v>45</v>
      </c>
      <c r="BL13" s="136">
        <f>ZF!D15</f>
        <v>1800</v>
      </c>
      <c r="BM13" s="30">
        <f>ZF!E15</f>
        <v>45</v>
      </c>
    </row>
    <row r="14" spans="2:65" ht="45" x14ac:dyDescent="0.25">
      <c r="F14" s="301"/>
      <c r="G14" s="168" t="s">
        <v>167</v>
      </c>
      <c r="H14" s="129">
        <v>0</v>
      </c>
      <c r="I14" s="129">
        <v>0</v>
      </c>
      <c r="J14" s="129">
        <v>0</v>
      </c>
      <c r="K14" s="129">
        <v>0</v>
      </c>
      <c r="L14" s="129">
        <v>0</v>
      </c>
      <c r="M14" s="129">
        <v>0</v>
      </c>
      <c r="N14" s="129">
        <v>0</v>
      </c>
      <c r="O14" s="129">
        <v>0</v>
      </c>
      <c r="P14" s="129">
        <v>0</v>
      </c>
      <c r="Q14" s="129">
        <v>0</v>
      </c>
      <c r="R14" s="195" t="s">
        <v>163</v>
      </c>
      <c r="T14" s="29">
        <f>ZG!B17</f>
        <v>5.86</v>
      </c>
      <c r="U14">
        <f>ZG!C17</f>
        <v>50</v>
      </c>
      <c r="V14" s="136">
        <f>ZG!D17</f>
        <v>29.3</v>
      </c>
      <c r="W14" s="1">
        <f>ZG!E17</f>
        <v>50</v>
      </c>
      <c r="X14" s="136">
        <f>ZG!F17</f>
        <v>146.5</v>
      </c>
      <c r="Y14">
        <f>ZG!G17</f>
        <v>50</v>
      </c>
      <c r="Z14" s="136">
        <f>ZG!H17</f>
        <v>498.1</v>
      </c>
      <c r="AA14" s="1">
        <f>ZG!I17</f>
        <v>50</v>
      </c>
      <c r="AB14" s="136">
        <f>ZG!J17</f>
        <v>703.2</v>
      </c>
      <c r="AC14" s="1">
        <f>ZG!K17</f>
        <v>50</v>
      </c>
      <c r="AD14" s="136">
        <f>ZG!L17</f>
        <v>1172</v>
      </c>
      <c r="AE14" s="1">
        <f>ZG!M17</f>
        <v>50</v>
      </c>
      <c r="AF14" s="136">
        <f>ZG!N17</f>
        <v>2930</v>
      </c>
      <c r="AG14" s="1">
        <f>ZG!O17</f>
        <v>50</v>
      </c>
      <c r="AH14" s="136">
        <f>ZG!P17</f>
        <v>5860</v>
      </c>
      <c r="AI14" s="1">
        <f>ZG!Q17</f>
        <v>50</v>
      </c>
      <c r="AJ14" s="136">
        <f>ZG!R17</f>
        <v>11720</v>
      </c>
      <c r="AK14" s="30">
        <f>ZG!S17</f>
        <v>50</v>
      </c>
      <c r="AO14" s="29">
        <f>ZGP!B16</f>
        <v>29.3</v>
      </c>
      <c r="AP14" s="1">
        <f>ZGP!C16</f>
        <v>50</v>
      </c>
      <c r="AQ14" s="136">
        <f>ZGP!D16</f>
        <v>498.1</v>
      </c>
      <c r="AR14" s="1">
        <f>ZGP!E16</f>
        <v>50</v>
      </c>
      <c r="AS14" s="136">
        <f>ZGP!F16</f>
        <v>2930</v>
      </c>
      <c r="AT14" s="30">
        <f>ZGP!G16</f>
        <v>50</v>
      </c>
      <c r="AV14" s="29">
        <f>HP!B16</f>
        <v>175.8</v>
      </c>
      <c r="AW14" s="1">
        <f>HP!C16</f>
        <v>50</v>
      </c>
      <c r="AX14" s="136">
        <f>HP!D16</f>
        <v>1758</v>
      </c>
      <c r="AY14" s="1">
        <f>HP!E16</f>
        <v>50</v>
      </c>
      <c r="AZ14" s="136">
        <f>HP!F16</f>
        <v>5860</v>
      </c>
      <c r="BA14" s="30">
        <f>HP!G16</f>
        <v>50</v>
      </c>
      <c r="BC14" s="29">
        <f>HS!B16</f>
        <v>70.319999999999993</v>
      </c>
      <c r="BD14" s="1">
        <f>HS!C16</f>
        <v>50</v>
      </c>
      <c r="BE14" s="136">
        <f>HS!D16</f>
        <v>468.8</v>
      </c>
      <c r="BF14" s="1">
        <f>HS!E16</f>
        <v>50</v>
      </c>
      <c r="BG14" s="136">
        <f>HS!F16</f>
        <v>879</v>
      </c>
      <c r="BH14" s="30">
        <f>HS!G16</f>
        <v>50</v>
      </c>
      <c r="BJ14" s="29">
        <f>ZF!B16</f>
        <v>146.5</v>
      </c>
      <c r="BK14" s="1">
        <f>ZF!C16</f>
        <v>50</v>
      </c>
      <c r="BL14" s="136">
        <f>ZF!D16</f>
        <v>1758</v>
      </c>
      <c r="BM14" s="30">
        <f>ZF!E16</f>
        <v>50</v>
      </c>
    </row>
    <row r="15" spans="2:65" ht="30" x14ac:dyDescent="0.25">
      <c r="F15" s="301"/>
      <c r="G15" s="168" t="s">
        <v>168</v>
      </c>
      <c r="H15" s="129">
        <v>0</v>
      </c>
      <c r="I15" s="129">
        <v>0</v>
      </c>
      <c r="J15" s="129">
        <v>0</v>
      </c>
      <c r="K15" s="129">
        <v>0</v>
      </c>
      <c r="L15" s="129">
        <v>0</v>
      </c>
      <c r="M15" s="129">
        <v>0</v>
      </c>
      <c r="N15" s="129">
        <v>0</v>
      </c>
      <c r="O15" s="129">
        <v>0</v>
      </c>
      <c r="P15" s="129">
        <v>0</v>
      </c>
      <c r="Q15" s="129">
        <v>0</v>
      </c>
      <c r="R15" s="195" t="s">
        <v>163</v>
      </c>
      <c r="T15" s="29">
        <f>ZG!B18</f>
        <v>5.7</v>
      </c>
      <c r="U15">
        <f>ZG!C18</f>
        <v>55</v>
      </c>
      <c r="V15" s="136">
        <f>ZG!D18</f>
        <v>28.5</v>
      </c>
      <c r="W15" s="1">
        <f>ZG!E18</f>
        <v>55</v>
      </c>
      <c r="X15" s="136">
        <f>ZG!F18</f>
        <v>142.5</v>
      </c>
      <c r="Y15">
        <f>ZG!G18</f>
        <v>55</v>
      </c>
      <c r="Z15" s="136">
        <f>ZG!H18</f>
        <v>484.5</v>
      </c>
      <c r="AA15" s="1">
        <f>ZG!I18</f>
        <v>55</v>
      </c>
      <c r="AB15" s="136">
        <f>ZG!J18</f>
        <v>684</v>
      </c>
      <c r="AC15" s="1">
        <f>ZG!K18</f>
        <v>55</v>
      </c>
      <c r="AD15" s="136">
        <f>ZG!L18</f>
        <v>1140</v>
      </c>
      <c r="AE15" s="1">
        <f>ZG!M18</f>
        <v>55</v>
      </c>
      <c r="AF15" s="136">
        <f>ZG!N18</f>
        <v>2850</v>
      </c>
      <c r="AG15" s="1">
        <f>ZG!O18</f>
        <v>55</v>
      </c>
      <c r="AH15" s="136">
        <f>ZG!P18</f>
        <v>5700</v>
      </c>
      <c r="AI15" s="1">
        <f>ZG!Q18</f>
        <v>55</v>
      </c>
      <c r="AJ15" s="136">
        <f>ZG!R18</f>
        <v>11400</v>
      </c>
      <c r="AK15" s="30">
        <f>ZG!S18</f>
        <v>55</v>
      </c>
      <c r="AO15" s="29">
        <f>ZGP!B17</f>
        <v>28.5</v>
      </c>
      <c r="AP15" s="1">
        <f>ZGP!C17</f>
        <v>55</v>
      </c>
      <c r="AQ15" s="136">
        <f>ZGP!D17</f>
        <v>484.5</v>
      </c>
      <c r="AR15" s="1">
        <f>ZGP!E17</f>
        <v>55</v>
      </c>
      <c r="AS15" s="136">
        <f>ZGP!F17</f>
        <v>2850</v>
      </c>
      <c r="AT15" s="30">
        <f>ZGP!G17</f>
        <v>55</v>
      </c>
      <c r="AV15" s="29">
        <f>HP!B17</f>
        <v>171</v>
      </c>
      <c r="AW15" s="1">
        <f>HP!C17</f>
        <v>55</v>
      </c>
      <c r="AX15" s="136">
        <f>HP!D17</f>
        <v>1710</v>
      </c>
      <c r="AY15" s="1">
        <f>HP!E17</f>
        <v>55</v>
      </c>
      <c r="AZ15" s="136">
        <f>HP!F17</f>
        <v>5700</v>
      </c>
      <c r="BA15" s="30">
        <f>HP!G17</f>
        <v>55</v>
      </c>
      <c r="BC15" s="29">
        <f>HS!B17</f>
        <v>68.400000000000006</v>
      </c>
      <c r="BD15" s="1">
        <f>HS!C17</f>
        <v>55</v>
      </c>
      <c r="BE15" s="136">
        <f>HS!D17</f>
        <v>456</v>
      </c>
      <c r="BF15" s="1">
        <f>HS!E17</f>
        <v>55</v>
      </c>
      <c r="BG15" s="136">
        <f>HS!F17</f>
        <v>855</v>
      </c>
      <c r="BH15" s="30">
        <f>HS!G17</f>
        <v>55</v>
      </c>
      <c r="BJ15" s="29">
        <f>ZF!B17</f>
        <v>142.5</v>
      </c>
      <c r="BK15" s="1">
        <f>ZF!C17</f>
        <v>55</v>
      </c>
      <c r="BL15" s="136">
        <f>ZF!D17</f>
        <v>1710</v>
      </c>
      <c r="BM15" s="30">
        <f>ZF!E17</f>
        <v>55</v>
      </c>
    </row>
    <row r="16" spans="2:65" ht="30" x14ac:dyDescent="0.25">
      <c r="F16" s="301"/>
      <c r="G16" s="168" t="s">
        <v>169</v>
      </c>
      <c r="H16" s="129">
        <v>0</v>
      </c>
      <c r="I16" s="129">
        <v>0</v>
      </c>
      <c r="J16" s="129">
        <v>0</v>
      </c>
      <c r="K16" s="129">
        <v>0</v>
      </c>
      <c r="L16" s="129">
        <v>0</v>
      </c>
      <c r="M16" s="129">
        <v>0</v>
      </c>
      <c r="N16" s="129">
        <v>0</v>
      </c>
      <c r="O16" s="129">
        <v>0</v>
      </c>
      <c r="P16" s="129">
        <v>0</v>
      </c>
      <c r="Q16" s="129">
        <v>0</v>
      </c>
      <c r="R16" s="195" t="s">
        <v>163</v>
      </c>
      <c r="T16" s="29">
        <f>ZG!B19</f>
        <v>5.6</v>
      </c>
      <c r="U16">
        <f>ZG!C19</f>
        <v>60</v>
      </c>
      <c r="V16" s="136">
        <f>ZG!D19</f>
        <v>28</v>
      </c>
      <c r="W16" s="1">
        <f>ZG!E19</f>
        <v>60</v>
      </c>
      <c r="X16" s="136">
        <f>ZG!F19</f>
        <v>140</v>
      </c>
      <c r="Y16">
        <f>ZG!G19</f>
        <v>60</v>
      </c>
      <c r="Z16" s="136">
        <f>ZG!H19</f>
        <v>476</v>
      </c>
      <c r="AA16" s="1">
        <f>ZG!I19</f>
        <v>60</v>
      </c>
      <c r="AB16" s="136">
        <f>ZG!J19</f>
        <v>672</v>
      </c>
      <c r="AC16" s="1">
        <f>ZG!K19</f>
        <v>60</v>
      </c>
      <c r="AD16" s="136">
        <f>ZG!L19</f>
        <v>1120</v>
      </c>
      <c r="AE16" s="1">
        <f>ZG!M19</f>
        <v>60</v>
      </c>
      <c r="AF16" s="136">
        <f>ZG!N19</f>
        <v>2800</v>
      </c>
      <c r="AG16" s="1">
        <f>ZG!O19</f>
        <v>60</v>
      </c>
      <c r="AH16" s="136">
        <f>ZG!P19</f>
        <v>5600</v>
      </c>
      <c r="AI16" s="1">
        <f>ZG!Q19</f>
        <v>60</v>
      </c>
      <c r="AJ16" s="136">
        <f>ZG!R19</f>
        <v>11200</v>
      </c>
      <c r="AK16" s="30">
        <f>ZG!S19</f>
        <v>60</v>
      </c>
      <c r="AO16" s="29">
        <f>ZGP!B18</f>
        <v>28</v>
      </c>
      <c r="AP16" s="1">
        <f>ZGP!C18</f>
        <v>60</v>
      </c>
      <c r="AQ16" s="136">
        <f>ZGP!D18</f>
        <v>476</v>
      </c>
      <c r="AR16" s="1">
        <f>ZGP!E18</f>
        <v>60</v>
      </c>
      <c r="AS16" s="136">
        <f>ZGP!F18</f>
        <v>2800</v>
      </c>
      <c r="AT16" s="30">
        <f>ZGP!G18</f>
        <v>60</v>
      </c>
      <c r="AV16" s="29">
        <f>HP!B18</f>
        <v>168</v>
      </c>
      <c r="AW16" s="1">
        <f>HP!C18</f>
        <v>60</v>
      </c>
      <c r="AX16" s="136">
        <f>HP!D18</f>
        <v>1680</v>
      </c>
      <c r="AY16" s="1">
        <f>HP!E18</f>
        <v>60</v>
      </c>
      <c r="AZ16" s="136">
        <f>HP!F18</f>
        <v>5600</v>
      </c>
      <c r="BA16" s="30">
        <f>HP!G18</f>
        <v>60</v>
      </c>
      <c r="BC16" s="29">
        <f>HS!B18</f>
        <v>67.2</v>
      </c>
      <c r="BD16" s="1">
        <f>HS!C18</f>
        <v>60</v>
      </c>
      <c r="BE16" s="136">
        <f>HS!D18</f>
        <v>448</v>
      </c>
      <c r="BF16" s="1">
        <f>HS!E18</f>
        <v>60</v>
      </c>
      <c r="BG16" s="136">
        <f>HS!F18</f>
        <v>840</v>
      </c>
      <c r="BH16" s="30">
        <f>HS!G18</f>
        <v>60</v>
      </c>
      <c r="BJ16" s="29">
        <f>ZF!B18</f>
        <v>140</v>
      </c>
      <c r="BK16" s="1">
        <f>ZF!C18</f>
        <v>60</v>
      </c>
      <c r="BL16" s="136">
        <f>ZF!D18</f>
        <v>1680</v>
      </c>
      <c r="BM16" s="30">
        <f>ZF!E18</f>
        <v>60</v>
      </c>
    </row>
    <row r="17" spans="2:65" ht="30.75" thickBot="1" x14ac:dyDescent="0.3">
      <c r="B17" s="70"/>
      <c r="C17" s="74"/>
      <c r="F17" s="302"/>
      <c r="G17" s="169" t="s">
        <v>17</v>
      </c>
      <c r="H17" s="129">
        <v>0</v>
      </c>
      <c r="I17" s="129">
        <v>0</v>
      </c>
      <c r="J17" s="129">
        <v>0</v>
      </c>
      <c r="K17" s="129">
        <v>0</v>
      </c>
      <c r="L17" s="129">
        <v>0</v>
      </c>
      <c r="M17" s="129">
        <v>0</v>
      </c>
      <c r="N17" s="129">
        <v>0</v>
      </c>
      <c r="O17" s="129">
        <v>0</v>
      </c>
      <c r="P17" s="129">
        <v>0</v>
      </c>
      <c r="Q17" s="129">
        <v>0</v>
      </c>
      <c r="R17" s="196" t="s">
        <v>18</v>
      </c>
      <c r="T17" s="29">
        <f>ZG!B20</f>
        <v>5.5</v>
      </c>
      <c r="U17">
        <f>ZG!C20</f>
        <v>65</v>
      </c>
      <c r="V17" s="136">
        <f>ZG!D20</f>
        <v>27.5</v>
      </c>
      <c r="W17" s="1">
        <f>ZG!E20</f>
        <v>65</v>
      </c>
      <c r="X17" s="136">
        <f>ZG!F20</f>
        <v>137.5</v>
      </c>
      <c r="Y17">
        <f>ZG!G20</f>
        <v>65</v>
      </c>
      <c r="Z17" s="136">
        <f>ZG!H20</f>
        <v>467.5</v>
      </c>
      <c r="AA17" s="1">
        <f>ZG!I20</f>
        <v>65</v>
      </c>
      <c r="AB17" s="136">
        <f>ZG!J20</f>
        <v>660</v>
      </c>
      <c r="AC17" s="1">
        <f>ZG!K20</f>
        <v>65</v>
      </c>
      <c r="AD17" s="136">
        <f>ZG!L20</f>
        <v>1100</v>
      </c>
      <c r="AE17" s="1">
        <f>ZG!M20</f>
        <v>65</v>
      </c>
      <c r="AF17" s="136">
        <f>ZG!N20</f>
        <v>2750</v>
      </c>
      <c r="AG17" s="1">
        <f>ZG!O20</f>
        <v>65</v>
      </c>
      <c r="AH17" s="136">
        <f>ZG!P20</f>
        <v>5500</v>
      </c>
      <c r="AI17" s="1">
        <f>ZG!Q20</f>
        <v>65</v>
      </c>
      <c r="AJ17" s="136">
        <f>ZG!R20</f>
        <v>11000</v>
      </c>
      <c r="AK17" s="30">
        <f>ZG!S20</f>
        <v>65</v>
      </c>
      <c r="AO17" s="29">
        <f>ZGP!B19</f>
        <v>27.5</v>
      </c>
      <c r="AP17" s="1">
        <f>ZGP!C19</f>
        <v>65</v>
      </c>
      <c r="AQ17" s="136">
        <f>ZGP!D19</f>
        <v>467.5</v>
      </c>
      <c r="AR17" s="1">
        <f>ZGP!E19</f>
        <v>65</v>
      </c>
      <c r="AS17" s="136">
        <f>ZGP!F19</f>
        <v>2750</v>
      </c>
      <c r="AT17" s="30">
        <f>ZGP!G19</f>
        <v>65</v>
      </c>
      <c r="AV17" s="29">
        <f>HP!B19</f>
        <v>165</v>
      </c>
      <c r="AW17" s="1">
        <f>HP!C19</f>
        <v>65</v>
      </c>
      <c r="AX17" s="136">
        <f>HP!D19</f>
        <v>1650</v>
      </c>
      <c r="AY17" s="1">
        <f>HP!E19</f>
        <v>65</v>
      </c>
      <c r="AZ17" s="136">
        <f>HP!F19</f>
        <v>5500</v>
      </c>
      <c r="BA17" s="30">
        <f>HP!G19</f>
        <v>65</v>
      </c>
      <c r="BC17" s="29">
        <f>HS!B19</f>
        <v>66</v>
      </c>
      <c r="BD17" s="1">
        <f>HS!C19</f>
        <v>65</v>
      </c>
      <c r="BE17" s="136">
        <f>HS!D19</f>
        <v>440</v>
      </c>
      <c r="BF17" s="1">
        <f>HS!E19</f>
        <v>65</v>
      </c>
      <c r="BG17" s="136">
        <f>HS!F19</f>
        <v>825</v>
      </c>
      <c r="BH17" s="30">
        <f>HS!G19</f>
        <v>65</v>
      </c>
      <c r="BJ17" s="29">
        <f>ZF!B19</f>
        <v>137.5</v>
      </c>
      <c r="BK17" s="1">
        <f>ZF!C19</f>
        <v>65</v>
      </c>
      <c r="BL17" s="136">
        <f>ZF!D19</f>
        <v>1650</v>
      </c>
      <c r="BM17" s="30">
        <f>ZF!E19</f>
        <v>65</v>
      </c>
    </row>
    <row r="18" spans="2:65" ht="60" customHeight="1" x14ac:dyDescent="0.25">
      <c r="B18" s="70"/>
      <c r="C18" s="74"/>
      <c r="F18" s="300" t="s">
        <v>141</v>
      </c>
      <c r="G18" s="190" t="s">
        <v>142</v>
      </c>
      <c r="H18" s="153">
        <f>INDEX(ZG!$M$48:$M$65,MATCH(H$3,ZG!$B$48:$B$65,0))</f>
        <v>199.5</v>
      </c>
      <c r="I18" s="153"/>
      <c r="J18" s="152"/>
      <c r="K18" s="153"/>
      <c r="L18" s="137"/>
      <c r="M18" s="165"/>
      <c r="N18" s="153"/>
      <c r="O18" s="153"/>
      <c r="P18" s="153"/>
      <c r="Q18" s="137"/>
      <c r="R18" s="187" t="s">
        <v>11</v>
      </c>
      <c r="T18" s="29">
        <f>ZG!B21</f>
        <v>5.4</v>
      </c>
      <c r="U18">
        <f>ZG!C21</f>
        <v>70</v>
      </c>
      <c r="V18" s="136">
        <f>ZG!D21</f>
        <v>27</v>
      </c>
      <c r="W18" s="1">
        <f>ZG!E21</f>
        <v>70</v>
      </c>
      <c r="X18" s="136">
        <f>ZG!F21</f>
        <v>135</v>
      </c>
      <c r="Y18">
        <f>ZG!G21</f>
        <v>70</v>
      </c>
      <c r="Z18" s="136">
        <f>ZG!H21</f>
        <v>459</v>
      </c>
      <c r="AA18" s="1">
        <f>ZG!I21</f>
        <v>70</v>
      </c>
      <c r="AB18" s="136">
        <f>ZG!J21</f>
        <v>648</v>
      </c>
      <c r="AC18" s="1">
        <f>ZG!K21</f>
        <v>70</v>
      </c>
      <c r="AD18" s="136">
        <f>ZG!L21</f>
        <v>1080</v>
      </c>
      <c r="AE18" s="1">
        <f>ZG!M21</f>
        <v>70</v>
      </c>
      <c r="AF18" s="136">
        <f>ZG!N21</f>
        <v>2700</v>
      </c>
      <c r="AG18" s="1">
        <f>ZG!O21</f>
        <v>70</v>
      </c>
      <c r="AH18" s="136">
        <f>ZG!P21</f>
        <v>5400</v>
      </c>
      <c r="AI18" s="1">
        <f>ZG!Q21</f>
        <v>70</v>
      </c>
      <c r="AJ18" s="136">
        <f>ZG!R21</f>
        <v>10800</v>
      </c>
      <c r="AK18" s="30">
        <f>ZG!S21</f>
        <v>70</v>
      </c>
      <c r="AO18" s="29">
        <f>ZGP!B20</f>
        <v>27</v>
      </c>
      <c r="AP18" s="1">
        <f>ZGP!C20</f>
        <v>70</v>
      </c>
      <c r="AQ18" s="136">
        <f>ZGP!D20</f>
        <v>459</v>
      </c>
      <c r="AR18" s="1">
        <f>ZGP!E20</f>
        <v>70</v>
      </c>
      <c r="AS18" s="136">
        <f>ZGP!F20</f>
        <v>2700</v>
      </c>
      <c r="AT18" s="30">
        <f>ZGP!G20</f>
        <v>70</v>
      </c>
      <c r="AV18" s="29">
        <f>HP!B20</f>
        <v>162</v>
      </c>
      <c r="AW18" s="1">
        <f>HP!C20</f>
        <v>70</v>
      </c>
      <c r="AX18" s="136">
        <f>HP!D20</f>
        <v>1620</v>
      </c>
      <c r="AY18" s="1">
        <f>HP!E20</f>
        <v>70</v>
      </c>
      <c r="AZ18" s="136">
        <f>HP!F20</f>
        <v>5400</v>
      </c>
      <c r="BA18" s="30">
        <f>HP!G20</f>
        <v>70</v>
      </c>
      <c r="BC18" s="29">
        <f>HS!B20</f>
        <v>64.8</v>
      </c>
      <c r="BD18" s="1">
        <f>HS!C20</f>
        <v>70</v>
      </c>
      <c r="BE18" s="136">
        <f>HS!D20</f>
        <v>432</v>
      </c>
      <c r="BF18" s="1">
        <f>HS!E20</f>
        <v>70</v>
      </c>
      <c r="BG18" s="136">
        <f>HS!F20</f>
        <v>810</v>
      </c>
      <c r="BH18" s="30">
        <f>HS!G20</f>
        <v>70</v>
      </c>
      <c r="BJ18" s="29">
        <f>ZF!B20</f>
        <v>135</v>
      </c>
      <c r="BK18" s="1">
        <f>ZF!C20</f>
        <v>70</v>
      </c>
      <c r="BL18" s="136">
        <f>ZF!D20</f>
        <v>1620</v>
      </c>
      <c r="BM18" s="30">
        <f>ZF!E20</f>
        <v>70</v>
      </c>
    </row>
    <row r="19" spans="2:65" x14ac:dyDescent="0.25">
      <c r="B19" s="70"/>
      <c r="C19" s="130"/>
      <c r="F19" s="301"/>
      <c r="G19" s="191" t="s">
        <v>143</v>
      </c>
      <c r="H19" s="3">
        <f>INDEX(ZG!$D$48:$D$69,MATCH(H$3,ZG!$B$48:$B$65,0))</f>
        <v>300</v>
      </c>
      <c r="I19" s="3"/>
      <c r="J19" s="4"/>
      <c r="K19" s="3"/>
      <c r="L19" s="138"/>
      <c r="M19" s="158"/>
      <c r="N19" s="3"/>
      <c r="O19" s="3"/>
      <c r="P19" s="3"/>
      <c r="Q19" s="138"/>
      <c r="R19" s="188" t="s">
        <v>11</v>
      </c>
      <c r="T19" s="29">
        <f>ZG!B22</f>
        <v>5.3</v>
      </c>
      <c r="U19">
        <f>ZG!C22</f>
        <v>75</v>
      </c>
      <c r="V19" s="136">
        <f>ZG!D22</f>
        <v>26.5</v>
      </c>
      <c r="W19" s="1">
        <f>ZG!E22</f>
        <v>75</v>
      </c>
      <c r="X19" s="136">
        <f>ZG!F22</f>
        <v>132.5</v>
      </c>
      <c r="Y19">
        <f>ZG!G22</f>
        <v>75</v>
      </c>
      <c r="Z19" s="136">
        <f>ZG!H22</f>
        <v>450.5</v>
      </c>
      <c r="AA19" s="1">
        <f>ZG!I22</f>
        <v>75</v>
      </c>
      <c r="AB19" s="136">
        <f>ZG!J22</f>
        <v>636</v>
      </c>
      <c r="AC19" s="1">
        <f>ZG!K22</f>
        <v>75</v>
      </c>
      <c r="AD19" s="136">
        <f>ZG!L22</f>
        <v>1060</v>
      </c>
      <c r="AE19" s="1">
        <f>ZG!M22</f>
        <v>75</v>
      </c>
      <c r="AF19" s="136">
        <f>ZG!N22</f>
        <v>2650</v>
      </c>
      <c r="AG19" s="1">
        <f>ZG!O22</f>
        <v>75</v>
      </c>
      <c r="AH19" s="136">
        <f>ZG!P22</f>
        <v>5300</v>
      </c>
      <c r="AI19" s="1">
        <f>ZG!Q22</f>
        <v>75</v>
      </c>
      <c r="AJ19" s="136">
        <f>ZG!R22</f>
        <v>10600</v>
      </c>
      <c r="AK19" s="30">
        <f>ZG!S22</f>
        <v>75</v>
      </c>
      <c r="AO19" s="29">
        <f>ZGP!B21</f>
        <v>26.5</v>
      </c>
      <c r="AP19" s="1">
        <f>ZGP!C21</f>
        <v>75</v>
      </c>
      <c r="AQ19" s="136">
        <f>ZGP!D21</f>
        <v>450.5</v>
      </c>
      <c r="AR19" s="1">
        <f>ZGP!E21</f>
        <v>75</v>
      </c>
      <c r="AS19" s="136">
        <f>ZGP!F21</f>
        <v>2650</v>
      </c>
      <c r="AT19" s="30">
        <f>ZGP!G21</f>
        <v>75</v>
      </c>
      <c r="AV19" s="29">
        <f>HP!B21</f>
        <v>159</v>
      </c>
      <c r="AW19" s="1">
        <f>HP!C21</f>
        <v>75</v>
      </c>
      <c r="AX19" s="136">
        <f>HP!D21</f>
        <v>1590</v>
      </c>
      <c r="AY19" s="1">
        <f>HP!E21</f>
        <v>75</v>
      </c>
      <c r="AZ19" s="136">
        <f>HP!F21</f>
        <v>5300</v>
      </c>
      <c r="BA19" s="30">
        <f>HP!G21</f>
        <v>75</v>
      </c>
      <c r="BC19" s="29">
        <f>HS!B21</f>
        <v>63.6</v>
      </c>
      <c r="BD19" s="1">
        <f>HS!C21</f>
        <v>75</v>
      </c>
      <c r="BE19" s="136">
        <f>HS!D21</f>
        <v>424</v>
      </c>
      <c r="BF19" s="1">
        <f>HS!E21</f>
        <v>75</v>
      </c>
      <c r="BG19" s="136">
        <f>HS!F21</f>
        <v>795</v>
      </c>
      <c r="BH19" s="30">
        <f>HS!G21</f>
        <v>75</v>
      </c>
      <c r="BJ19" s="29">
        <f>ZF!B21</f>
        <v>132.5</v>
      </c>
      <c r="BK19" s="1">
        <f>ZF!C21</f>
        <v>75</v>
      </c>
      <c r="BL19" s="136">
        <f>ZF!D21</f>
        <v>1590</v>
      </c>
      <c r="BM19" s="30">
        <f>ZF!E21</f>
        <v>75</v>
      </c>
    </row>
    <row r="20" spans="2:65" x14ac:dyDescent="0.25">
      <c r="B20" s="70"/>
      <c r="C20" s="130"/>
      <c r="F20" s="301"/>
      <c r="G20" s="183" t="s">
        <v>170</v>
      </c>
      <c r="H20" s="129" t="s">
        <v>149</v>
      </c>
      <c r="I20" s="129" t="s">
        <v>149</v>
      </c>
      <c r="J20" s="128" t="s">
        <v>149</v>
      </c>
      <c r="K20" s="129" t="s">
        <v>149</v>
      </c>
      <c r="L20" s="179" t="s">
        <v>149</v>
      </c>
      <c r="M20" s="184" t="s">
        <v>149</v>
      </c>
      <c r="N20" s="129" t="s">
        <v>149</v>
      </c>
      <c r="O20" s="129" t="s">
        <v>149</v>
      </c>
      <c r="P20" s="129" t="s">
        <v>149</v>
      </c>
      <c r="Q20" s="179" t="s">
        <v>149</v>
      </c>
      <c r="R20" s="189"/>
      <c r="T20" s="29">
        <f>ZG!B23</f>
        <v>5.2</v>
      </c>
      <c r="U20">
        <f>ZG!C23</f>
        <v>80</v>
      </c>
      <c r="V20" s="136">
        <f>ZG!D23</f>
        <v>26</v>
      </c>
      <c r="W20" s="1">
        <f>ZG!E23</f>
        <v>80</v>
      </c>
      <c r="X20" s="136">
        <f>ZG!F23</f>
        <v>130</v>
      </c>
      <c r="Y20">
        <f>ZG!G23</f>
        <v>80</v>
      </c>
      <c r="Z20" s="136">
        <f>ZG!H23</f>
        <v>442</v>
      </c>
      <c r="AA20" s="1">
        <f>ZG!I23</f>
        <v>80</v>
      </c>
      <c r="AB20" s="136">
        <f>ZG!J23</f>
        <v>624</v>
      </c>
      <c r="AC20" s="1">
        <f>ZG!K23</f>
        <v>80</v>
      </c>
      <c r="AD20" s="136">
        <f>ZG!L23</f>
        <v>1040</v>
      </c>
      <c r="AE20" s="1">
        <f>ZG!M23</f>
        <v>80</v>
      </c>
      <c r="AF20" s="136">
        <f>ZG!N23</f>
        <v>2600</v>
      </c>
      <c r="AG20" s="1">
        <f>ZG!O23</f>
        <v>80</v>
      </c>
      <c r="AH20" s="136">
        <f>ZG!P23</f>
        <v>5200</v>
      </c>
      <c r="AI20" s="1">
        <f>ZG!Q23</f>
        <v>80</v>
      </c>
      <c r="AJ20" s="136">
        <f>ZG!R23</f>
        <v>10400</v>
      </c>
      <c r="AK20" s="30">
        <f>ZG!S23</f>
        <v>80</v>
      </c>
      <c r="AO20" s="29">
        <f>ZGP!B22</f>
        <v>26</v>
      </c>
      <c r="AP20" s="1">
        <f>ZGP!C22</f>
        <v>80</v>
      </c>
      <c r="AQ20" s="136">
        <f>ZGP!D22</f>
        <v>442</v>
      </c>
      <c r="AR20" s="1">
        <f>ZGP!E22</f>
        <v>80</v>
      </c>
      <c r="AS20" s="136">
        <f>ZGP!F22</f>
        <v>2600</v>
      </c>
      <c r="AT20" s="30">
        <f>ZGP!G22</f>
        <v>80</v>
      </c>
      <c r="AV20" s="29">
        <f>HP!B22</f>
        <v>156</v>
      </c>
      <c r="AW20" s="1">
        <f>HP!C22</f>
        <v>80</v>
      </c>
      <c r="AX20" s="136">
        <f>HP!D22</f>
        <v>1560</v>
      </c>
      <c r="AY20" s="1">
        <f>HP!E22</f>
        <v>80</v>
      </c>
      <c r="AZ20" s="136">
        <f>HP!F22</f>
        <v>5200</v>
      </c>
      <c r="BA20" s="30">
        <f>HP!G22</f>
        <v>80</v>
      </c>
      <c r="BC20" s="29">
        <f>HS!B22</f>
        <v>62.4</v>
      </c>
      <c r="BD20" s="1">
        <f>HS!C22</f>
        <v>80</v>
      </c>
      <c r="BE20" s="136">
        <f>HS!D22</f>
        <v>416</v>
      </c>
      <c r="BF20" s="1">
        <f>HS!E22</f>
        <v>80</v>
      </c>
      <c r="BG20" s="136">
        <f>HS!F22</f>
        <v>780</v>
      </c>
      <c r="BH20" s="30">
        <f>HS!G22</f>
        <v>80</v>
      </c>
      <c r="BJ20" s="29">
        <f>ZF!B22</f>
        <v>130</v>
      </c>
      <c r="BK20" s="1">
        <f>ZF!C22</f>
        <v>80</v>
      </c>
      <c r="BL20" s="136">
        <f>ZF!D22</f>
        <v>1560</v>
      </c>
      <c r="BM20" s="30">
        <f>ZF!E22</f>
        <v>80</v>
      </c>
    </row>
    <row r="21" spans="2:65" x14ac:dyDescent="0.25">
      <c r="B21" s="70"/>
      <c r="C21" s="74"/>
      <c r="F21" s="301"/>
      <c r="G21" s="192" t="s">
        <v>171</v>
      </c>
      <c r="H21" s="161" t="s">
        <v>149</v>
      </c>
      <c r="I21" s="161" t="s">
        <v>149</v>
      </c>
      <c r="J21" s="171" t="s">
        <v>149</v>
      </c>
      <c r="K21" s="161" t="s">
        <v>149</v>
      </c>
      <c r="L21" s="180" t="s">
        <v>149</v>
      </c>
      <c r="M21" s="185" t="s">
        <v>149</v>
      </c>
      <c r="N21" s="161" t="s">
        <v>149</v>
      </c>
      <c r="O21" s="161" t="s">
        <v>149</v>
      </c>
      <c r="P21" s="161" t="s">
        <v>149</v>
      </c>
      <c r="Q21" s="180" t="s">
        <v>149</v>
      </c>
      <c r="R21" s="195"/>
      <c r="T21" s="29">
        <f>ZG!B24</f>
        <v>5.0999999999999996</v>
      </c>
      <c r="U21">
        <f>ZG!C24</f>
        <v>85</v>
      </c>
      <c r="V21" s="136">
        <f>ZG!D24</f>
        <v>25.5</v>
      </c>
      <c r="W21" s="1">
        <f>ZG!E24</f>
        <v>85</v>
      </c>
      <c r="X21" s="136">
        <f>ZG!F24</f>
        <v>127.5</v>
      </c>
      <c r="Y21">
        <f>ZG!G24</f>
        <v>85</v>
      </c>
      <c r="Z21" s="136">
        <f>ZG!H24</f>
        <v>433.5</v>
      </c>
      <c r="AA21" s="1">
        <f>ZG!I24</f>
        <v>85</v>
      </c>
      <c r="AB21" s="136">
        <f>ZG!J24</f>
        <v>612</v>
      </c>
      <c r="AC21" s="1">
        <f>ZG!K24</f>
        <v>85</v>
      </c>
      <c r="AD21" s="136">
        <f>ZG!L24</f>
        <v>1020</v>
      </c>
      <c r="AE21" s="1">
        <f>ZG!M24</f>
        <v>85</v>
      </c>
      <c r="AF21" s="136">
        <f>ZG!N24</f>
        <v>2550</v>
      </c>
      <c r="AG21" s="1">
        <f>ZG!O24</f>
        <v>85</v>
      </c>
      <c r="AH21" s="136">
        <f>ZG!P24</f>
        <v>5100</v>
      </c>
      <c r="AI21" s="1">
        <f>ZG!Q24</f>
        <v>85</v>
      </c>
      <c r="AJ21" s="136">
        <f>ZG!R24</f>
        <v>10200</v>
      </c>
      <c r="AK21" s="30">
        <f>ZG!S24</f>
        <v>85</v>
      </c>
      <c r="AO21" s="29">
        <f>ZGP!B23</f>
        <v>25.5</v>
      </c>
      <c r="AP21" s="1">
        <f>ZGP!C23</f>
        <v>85</v>
      </c>
      <c r="AQ21" s="136">
        <f>ZGP!D23</f>
        <v>433.5</v>
      </c>
      <c r="AR21" s="1">
        <f>ZGP!E23</f>
        <v>85</v>
      </c>
      <c r="AS21" s="136">
        <f>ZGP!F23</f>
        <v>2550</v>
      </c>
      <c r="AT21" s="30">
        <f>ZGP!G23</f>
        <v>85</v>
      </c>
      <c r="AV21" s="29">
        <f>HP!B23</f>
        <v>153</v>
      </c>
      <c r="AW21" s="1">
        <f>HP!C23</f>
        <v>85</v>
      </c>
      <c r="AX21" s="136">
        <f>HP!D23</f>
        <v>1530</v>
      </c>
      <c r="AY21" s="1">
        <f>HP!E23</f>
        <v>85</v>
      </c>
      <c r="AZ21" s="136">
        <f>HP!F23</f>
        <v>5100</v>
      </c>
      <c r="BA21" s="30">
        <f>HP!G23</f>
        <v>85</v>
      </c>
      <c r="BC21" s="29">
        <f>HS!B23</f>
        <v>61.2</v>
      </c>
      <c r="BD21" s="1">
        <f>HS!C23</f>
        <v>85</v>
      </c>
      <c r="BE21" s="136">
        <f>HS!D23</f>
        <v>408</v>
      </c>
      <c r="BF21" s="1">
        <f>HS!E23</f>
        <v>85</v>
      </c>
      <c r="BG21" s="136">
        <f>HS!F23</f>
        <v>765</v>
      </c>
      <c r="BH21" s="30">
        <f>HS!G23</f>
        <v>85</v>
      </c>
      <c r="BJ21" s="29">
        <f>ZF!B23</f>
        <v>127.5</v>
      </c>
      <c r="BK21" s="1">
        <f>ZF!C23</f>
        <v>85</v>
      </c>
      <c r="BL21" s="136">
        <f>ZF!D23</f>
        <v>1530</v>
      </c>
      <c r="BM21" s="30">
        <f>ZF!E23</f>
        <v>85</v>
      </c>
    </row>
    <row r="22" spans="2:65" ht="30" x14ac:dyDescent="0.25">
      <c r="B22" s="70"/>
      <c r="C22" s="130"/>
      <c r="F22" s="301"/>
      <c r="G22" s="5" t="s">
        <v>172</v>
      </c>
      <c r="H22" s="4" t="s">
        <v>173</v>
      </c>
      <c r="I22" s="4" t="s">
        <v>175</v>
      </c>
      <c r="J22" s="4" t="s">
        <v>173</v>
      </c>
      <c r="K22" s="4" t="s">
        <v>173</v>
      </c>
      <c r="L22" s="181" t="s">
        <v>174</v>
      </c>
      <c r="M22" s="186" t="s">
        <v>173</v>
      </c>
      <c r="N22" s="4" t="s">
        <v>175</v>
      </c>
      <c r="O22" s="4" t="s">
        <v>173</v>
      </c>
      <c r="P22" s="4" t="s">
        <v>173</v>
      </c>
      <c r="Q22" s="181" t="s">
        <v>174</v>
      </c>
      <c r="R22" s="188"/>
      <c r="T22" s="29">
        <f>ZG!B25</f>
        <v>5</v>
      </c>
      <c r="U22">
        <f>ZG!C25</f>
        <v>90</v>
      </c>
      <c r="V22" s="136">
        <f>ZG!D25</f>
        <v>25</v>
      </c>
      <c r="W22" s="1">
        <f>ZG!E25</f>
        <v>90</v>
      </c>
      <c r="X22" s="136">
        <f>ZG!F25</f>
        <v>125</v>
      </c>
      <c r="Y22">
        <f>ZG!G25</f>
        <v>90</v>
      </c>
      <c r="Z22" s="136">
        <f>ZG!H25</f>
        <v>425</v>
      </c>
      <c r="AA22" s="1">
        <f>ZG!I25</f>
        <v>90</v>
      </c>
      <c r="AB22" s="136">
        <f>ZG!J25</f>
        <v>600</v>
      </c>
      <c r="AC22" s="1">
        <f>ZG!K25</f>
        <v>90</v>
      </c>
      <c r="AD22" s="136">
        <f>ZG!L25</f>
        <v>1000</v>
      </c>
      <c r="AE22" s="1">
        <f>ZG!M25</f>
        <v>90</v>
      </c>
      <c r="AF22" s="136">
        <f>ZG!N25</f>
        <v>2500</v>
      </c>
      <c r="AG22" s="1">
        <f>ZG!O25</f>
        <v>90</v>
      </c>
      <c r="AH22" s="136">
        <f>ZG!P25</f>
        <v>5000</v>
      </c>
      <c r="AI22" s="1">
        <f>ZG!Q25</f>
        <v>90</v>
      </c>
      <c r="AJ22" s="136">
        <f>ZG!R25</f>
        <v>10000</v>
      </c>
      <c r="AK22" s="30">
        <f>ZG!S25</f>
        <v>90</v>
      </c>
      <c r="AO22" s="29">
        <f>ZGP!B24</f>
        <v>25</v>
      </c>
      <c r="AP22" s="1">
        <f>ZGP!C24</f>
        <v>90</v>
      </c>
      <c r="AQ22" s="136">
        <f>ZGP!D24</f>
        <v>425</v>
      </c>
      <c r="AR22" s="1">
        <f>ZGP!E24</f>
        <v>90</v>
      </c>
      <c r="AS22" s="136">
        <f>ZGP!F24</f>
        <v>2500</v>
      </c>
      <c r="AT22" s="30">
        <f>ZGP!G24</f>
        <v>90</v>
      </c>
      <c r="AV22" s="29">
        <f>HP!B24</f>
        <v>150</v>
      </c>
      <c r="AW22" s="1">
        <f>HP!C24</f>
        <v>90</v>
      </c>
      <c r="AX22" s="136">
        <f>HP!D24</f>
        <v>1500</v>
      </c>
      <c r="AY22" s="1">
        <f>HP!E24</f>
        <v>90</v>
      </c>
      <c r="AZ22" s="136">
        <f>HP!F24</f>
        <v>5000</v>
      </c>
      <c r="BA22" s="30">
        <f>HP!G24</f>
        <v>90</v>
      </c>
      <c r="BC22" s="29">
        <f>HS!B24</f>
        <v>60</v>
      </c>
      <c r="BD22" s="1">
        <f>HS!C24</f>
        <v>90</v>
      </c>
      <c r="BE22" s="136">
        <f>HS!D24</f>
        <v>400</v>
      </c>
      <c r="BF22" s="1">
        <f>HS!E24</f>
        <v>90</v>
      </c>
      <c r="BG22" s="136">
        <f>HS!F24</f>
        <v>750</v>
      </c>
      <c r="BH22" s="30">
        <f>HS!G24</f>
        <v>90</v>
      </c>
      <c r="BJ22" s="29">
        <f>ZF!B24</f>
        <v>125</v>
      </c>
      <c r="BK22" s="1">
        <f>ZF!C24</f>
        <v>90</v>
      </c>
      <c r="BL22" s="136">
        <f>ZF!D24</f>
        <v>1500</v>
      </c>
      <c r="BM22" s="30">
        <f>ZF!E24</f>
        <v>90</v>
      </c>
    </row>
    <row r="23" spans="2:65" ht="30" x14ac:dyDescent="0.25">
      <c r="F23" s="301"/>
      <c r="G23" s="5" t="s">
        <v>176</v>
      </c>
      <c r="H23" s="172" t="s">
        <v>177</v>
      </c>
      <c r="I23" s="173" t="s">
        <v>178</v>
      </c>
      <c r="J23" s="173" t="s">
        <v>177</v>
      </c>
      <c r="K23" s="173" t="s">
        <v>177</v>
      </c>
      <c r="L23" s="193" t="s">
        <v>177</v>
      </c>
      <c r="M23" s="194" t="s">
        <v>177</v>
      </c>
      <c r="N23" s="173" t="s">
        <v>178</v>
      </c>
      <c r="O23" s="173" t="s">
        <v>177</v>
      </c>
      <c r="P23" s="173" t="s">
        <v>177</v>
      </c>
      <c r="Q23" s="193" t="s">
        <v>177</v>
      </c>
      <c r="R23" s="188"/>
      <c r="T23" s="29">
        <f>ZG!B26</f>
        <v>4.9000000000000004</v>
      </c>
      <c r="U23">
        <f>ZG!C26</f>
        <v>95</v>
      </c>
      <c r="V23" s="136">
        <f>ZG!D26</f>
        <v>24.5</v>
      </c>
      <c r="W23" s="1">
        <f>ZG!E26</f>
        <v>95</v>
      </c>
      <c r="X23" s="136">
        <f>ZG!F26</f>
        <v>122.5</v>
      </c>
      <c r="Y23">
        <f>ZG!G26</f>
        <v>95</v>
      </c>
      <c r="Z23" s="136">
        <f>ZG!H26</f>
        <v>416.5</v>
      </c>
      <c r="AA23" s="1">
        <f>ZG!I26</f>
        <v>95</v>
      </c>
      <c r="AB23" s="136">
        <f>ZG!J26</f>
        <v>588</v>
      </c>
      <c r="AC23" s="1">
        <f>ZG!K26</f>
        <v>95</v>
      </c>
      <c r="AD23" s="136">
        <f>ZG!L26</f>
        <v>980</v>
      </c>
      <c r="AE23" s="1">
        <f>ZG!M26</f>
        <v>95</v>
      </c>
      <c r="AF23" s="136">
        <f>ZG!N26</f>
        <v>2450</v>
      </c>
      <c r="AG23" s="1">
        <f>ZG!O26</f>
        <v>95</v>
      </c>
      <c r="AH23" s="136">
        <f>ZG!P26</f>
        <v>4900</v>
      </c>
      <c r="AI23" s="1">
        <f>ZG!Q26</f>
        <v>95</v>
      </c>
      <c r="AJ23" s="136">
        <f>ZG!R26</f>
        <v>9800</v>
      </c>
      <c r="AK23" s="30">
        <f>ZG!S26</f>
        <v>95</v>
      </c>
      <c r="AO23" s="29">
        <f>ZGP!B25</f>
        <v>24.5</v>
      </c>
      <c r="AP23" s="1">
        <f>ZGP!C25</f>
        <v>95</v>
      </c>
      <c r="AQ23" s="136">
        <f>ZGP!D25</f>
        <v>416.5</v>
      </c>
      <c r="AR23" s="1">
        <f>ZGP!E25</f>
        <v>95</v>
      </c>
      <c r="AS23" s="136">
        <f>ZGP!F25</f>
        <v>2450</v>
      </c>
      <c r="AT23" s="30">
        <f>ZGP!G25</f>
        <v>95</v>
      </c>
      <c r="AV23" s="29">
        <f>HP!B25</f>
        <v>147</v>
      </c>
      <c r="AW23" s="1">
        <f>HP!C25</f>
        <v>95</v>
      </c>
      <c r="AX23" s="136">
        <f>HP!D25</f>
        <v>1470</v>
      </c>
      <c r="AY23" s="1">
        <f>HP!E25</f>
        <v>95</v>
      </c>
      <c r="AZ23" s="136">
        <f>HP!F25</f>
        <v>4900</v>
      </c>
      <c r="BA23" s="30">
        <f>HP!G25</f>
        <v>95</v>
      </c>
      <c r="BC23" s="29">
        <f>HS!B25</f>
        <v>58.8</v>
      </c>
      <c r="BD23" s="1">
        <f>HS!C25</f>
        <v>95</v>
      </c>
      <c r="BE23" s="136">
        <f>HS!D25</f>
        <v>392</v>
      </c>
      <c r="BF23" s="1">
        <f>HS!E25</f>
        <v>95</v>
      </c>
      <c r="BG23" s="136">
        <f>HS!F25</f>
        <v>735</v>
      </c>
      <c r="BH23" s="30">
        <f>HS!G25</f>
        <v>95</v>
      </c>
      <c r="BJ23" s="29">
        <f>ZF!B25</f>
        <v>122.5</v>
      </c>
      <c r="BK23" s="1">
        <f>ZF!C25</f>
        <v>95</v>
      </c>
      <c r="BL23" s="136">
        <f>ZF!D25</f>
        <v>1470</v>
      </c>
      <c r="BM23" s="30">
        <f>ZF!E25</f>
        <v>95</v>
      </c>
    </row>
    <row r="24" spans="2:65" x14ac:dyDescent="0.25">
      <c r="F24" s="301"/>
      <c r="G24" s="197" t="s">
        <v>150</v>
      </c>
      <c r="H24" s="161" t="s">
        <v>149</v>
      </c>
      <c r="I24" s="161" t="s">
        <v>149</v>
      </c>
      <c r="J24" s="171" t="s">
        <v>149</v>
      </c>
      <c r="K24" s="161" t="s">
        <v>149</v>
      </c>
      <c r="L24" s="180" t="s">
        <v>149</v>
      </c>
      <c r="M24" s="185" t="s">
        <v>149</v>
      </c>
      <c r="N24" s="161" t="s">
        <v>149</v>
      </c>
      <c r="O24" s="161" t="s">
        <v>149</v>
      </c>
      <c r="P24" s="161" t="s">
        <v>149</v>
      </c>
      <c r="Q24" s="180" t="s">
        <v>149</v>
      </c>
      <c r="R24" s="195"/>
      <c r="T24" s="29">
        <f>ZG!B27</f>
        <v>4.8499999999999996</v>
      </c>
      <c r="U24">
        <f>ZG!C27</f>
        <v>100</v>
      </c>
      <c r="V24" s="136">
        <f>ZG!D27</f>
        <v>24.25</v>
      </c>
      <c r="W24" s="1">
        <f>ZG!E27</f>
        <v>100</v>
      </c>
      <c r="X24" s="136">
        <f>ZG!F27</f>
        <v>121.25</v>
      </c>
      <c r="Y24">
        <f>ZG!G27</f>
        <v>100</v>
      </c>
      <c r="Z24" s="136">
        <f>ZG!H27</f>
        <v>412.25</v>
      </c>
      <c r="AA24" s="1">
        <f>ZG!I27</f>
        <v>100</v>
      </c>
      <c r="AB24" s="136">
        <f>ZG!J27</f>
        <v>582</v>
      </c>
      <c r="AC24" s="1">
        <f>ZG!K27</f>
        <v>100</v>
      </c>
      <c r="AD24" s="136">
        <f>ZG!L27</f>
        <v>970</v>
      </c>
      <c r="AE24" s="1">
        <f>ZG!M27</f>
        <v>100</v>
      </c>
      <c r="AF24" s="136">
        <f>ZG!N27</f>
        <v>2425</v>
      </c>
      <c r="AG24" s="1">
        <f>ZG!O27</f>
        <v>100</v>
      </c>
      <c r="AH24" s="136">
        <f>ZG!P27</f>
        <v>4850</v>
      </c>
      <c r="AI24" s="1">
        <f>ZG!Q27</f>
        <v>100</v>
      </c>
      <c r="AJ24" s="136">
        <f>ZG!R27</f>
        <v>9700</v>
      </c>
      <c r="AK24" s="30">
        <f>ZG!S27</f>
        <v>100</v>
      </c>
      <c r="AO24" s="29">
        <f>ZGP!B26</f>
        <v>24.25</v>
      </c>
      <c r="AP24" s="1">
        <f>ZGP!C26</f>
        <v>100</v>
      </c>
      <c r="AQ24" s="136">
        <f>ZGP!D26</f>
        <v>412.25</v>
      </c>
      <c r="AR24" s="1">
        <f>ZGP!E26</f>
        <v>100</v>
      </c>
      <c r="AS24" s="136">
        <f>ZGP!F26</f>
        <v>2425</v>
      </c>
      <c r="AT24" s="30">
        <f>ZGP!G26</f>
        <v>100</v>
      </c>
      <c r="AV24" s="29">
        <f>HP!B26</f>
        <v>145.5</v>
      </c>
      <c r="AW24" s="1">
        <f>HP!C26</f>
        <v>100</v>
      </c>
      <c r="AX24" s="136">
        <f>HP!D26</f>
        <v>1455</v>
      </c>
      <c r="AY24" s="1">
        <f>HP!E26</f>
        <v>100</v>
      </c>
      <c r="AZ24" s="136">
        <f>HP!F26</f>
        <v>4850</v>
      </c>
      <c r="BA24" s="30">
        <f>HP!G26</f>
        <v>100</v>
      </c>
      <c r="BC24" s="29">
        <f>HS!B26</f>
        <v>58.2</v>
      </c>
      <c r="BD24" s="1">
        <f>HS!C26</f>
        <v>100</v>
      </c>
      <c r="BE24" s="136">
        <f>HS!D26</f>
        <v>388</v>
      </c>
      <c r="BF24" s="1">
        <f>HS!E26</f>
        <v>100</v>
      </c>
      <c r="BG24" s="136">
        <f>HS!F26</f>
        <v>727.5</v>
      </c>
      <c r="BH24" s="30">
        <f>HS!G26</f>
        <v>100</v>
      </c>
      <c r="BJ24" s="29">
        <f>ZF!B26</f>
        <v>121.25</v>
      </c>
      <c r="BK24" s="1">
        <f>ZF!C26</f>
        <v>100</v>
      </c>
      <c r="BL24" s="136">
        <f>ZF!D26</f>
        <v>1455</v>
      </c>
      <c r="BM24" s="30">
        <f>ZF!E26</f>
        <v>100</v>
      </c>
    </row>
    <row r="25" spans="2:65" ht="45.75" thickBot="1" x14ac:dyDescent="0.3">
      <c r="F25" s="302"/>
      <c r="G25" s="169" t="s">
        <v>151</v>
      </c>
      <c r="H25" s="161" t="s">
        <v>149</v>
      </c>
      <c r="I25" s="161" t="s">
        <v>149</v>
      </c>
      <c r="J25" s="171" t="s">
        <v>149</v>
      </c>
      <c r="K25" s="161" t="s">
        <v>149</v>
      </c>
      <c r="L25" s="180" t="s">
        <v>149</v>
      </c>
      <c r="M25" s="185" t="s">
        <v>149</v>
      </c>
      <c r="N25" s="161" t="s">
        <v>149</v>
      </c>
      <c r="O25" s="161" t="s">
        <v>149</v>
      </c>
      <c r="P25" s="161" t="s">
        <v>149</v>
      </c>
      <c r="Q25" s="180" t="s">
        <v>149</v>
      </c>
      <c r="R25" s="195"/>
      <c r="T25" s="29">
        <f>ZG!B28</f>
        <v>4.3</v>
      </c>
      <c r="U25">
        <f>ZG!C28</f>
        <v>150</v>
      </c>
      <c r="V25" s="136">
        <f>ZG!D28</f>
        <v>21.5</v>
      </c>
      <c r="W25" s="1">
        <f>ZG!E28</f>
        <v>150</v>
      </c>
      <c r="X25" s="136">
        <f>ZG!F28</f>
        <v>107.5</v>
      </c>
      <c r="Y25">
        <f>ZG!G28</f>
        <v>150</v>
      </c>
      <c r="Z25" s="136">
        <f>ZG!H28</f>
        <v>365.5</v>
      </c>
      <c r="AA25" s="1">
        <f>ZG!I28</f>
        <v>150</v>
      </c>
      <c r="AB25" s="136">
        <f>ZG!J28</f>
        <v>516</v>
      </c>
      <c r="AC25" s="1">
        <f>ZG!K28</f>
        <v>150</v>
      </c>
      <c r="AD25" s="136">
        <f>ZG!L28</f>
        <v>860</v>
      </c>
      <c r="AE25" s="1">
        <f>ZG!M28</f>
        <v>150</v>
      </c>
      <c r="AF25" s="136">
        <f>ZG!N28</f>
        <v>2150</v>
      </c>
      <c r="AG25" s="1">
        <f>ZG!O28</f>
        <v>150</v>
      </c>
      <c r="AH25" s="136">
        <f>ZG!P28</f>
        <v>4300</v>
      </c>
      <c r="AI25" s="1">
        <f>ZG!Q28</f>
        <v>150</v>
      </c>
      <c r="AJ25" s="136">
        <f>ZG!R28</f>
        <v>8600</v>
      </c>
      <c r="AK25" s="30">
        <f>ZG!S28</f>
        <v>150</v>
      </c>
      <c r="AO25" s="29">
        <f>ZGP!B27</f>
        <v>21.5</v>
      </c>
      <c r="AP25" s="1">
        <f>ZGP!C27</f>
        <v>150</v>
      </c>
      <c r="AQ25" s="136">
        <f>ZGP!D27</f>
        <v>365.5</v>
      </c>
      <c r="AR25" s="1">
        <f>ZGP!E27</f>
        <v>150</v>
      </c>
      <c r="AS25" s="136">
        <f>ZGP!F27</f>
        <v>2150</v>
      </c>
      <c r="AT25" s="30">
        <f>ZGP!G27</f>
        <v>150</v>
      </c>
      <c r="AV25" s="29">
        <f>HP!B27</f>
        <v>129</v>
      </c>
      <c r="AW25" s="1">
        <f>HP!C27</f>
        <v>150</v>
      </c>
      <c r="AX25" s="136">
        <f>HP!D27</f>
        <v>1290</v>
      </c>
      <c r="AY25" s="1">
        <f>HP!E27</f>
        <v>150</v>
      </c>
      <c r="AZ25" s="136">
        <f>HP!F27</f>
        <v>4300</v>
      </c>
      <c r="BA25" s="30">
        <f>HP!G27</f>
        <v>150</v>
      </c>
      <c r="BC25" s="29">
        <f>HS!B27</f>
        <v>51.6</v>
      </c>
      <c r="BD25" s="1">
        <f>HS!C27</f>
        <v>150</v>
      </c>
      <c r="BE25" s="136">
        <f>HS!D27</f>
        <v>344</v>
      </c>
      <c r="BF25" s="1">
        <f>HS!E27</f>
        <v>150</v>
      </c>
      <c r="BG25" s="136">
        <f>HS!F27</f>
        <v>645</v>
      </c>
      <c r="BH25" s="30">
        <f>HS!G27</f>
        <v>150</v>
      </c>
      <c r="BJ25" s="29">
        <f>ZF!B27</f>
        <v>107.5</v>
      </c>
      <c r="BK25" s="1">
        <f>ZF!C27</f>
        <v>150</v>
      </c>
      <c r="BL25" s="136">
        <f>ZF!D27</f>
        <v>1290</v>
      </c>
      <c r="BM25" s="30">
        <f>ZF!E27</f>
        <v>150</v>
      </c>
    </row>
    <row r="26" spans="2:65" x14ac:dyDescent="0.25">
      <c r="T26" s="29">
        <f>ZG!B29</f>
        <v>3.9</v>
      </c>
      <c r="U26">
        <f>ZG!C29</f>
        <v>200</v>
      </c>
      <c r="V26" s="136">
        <f>ZG!D29</f>
        <v>19.5</v>
      </c>
      <c r="W26" s="1">
        <f>ZG!E29</f>
        <v>200</v>
      </c>
      <c r="X26" s="136">
        <f>ZG!F29</f>
        <v>97.5</v>
      </c>
      <c r="Y26">
        <f>ZG!G29</f>
        <v>200</v>
      </c>
      <c r="Z26" s="136">
        <f>ZG!H29</f>
        <v>331.5</v>
      </c>
      <c r="AA26" s="1">
        <f>ZG!I29</f>
        <v>200</v>
      </c>
      <c r="AB26" s="136">
        <f>ZG!J29</f>
        <v>468</v>
      </c>
      <c r="AC26" s="1">
        <f>ZG!K29</f>
        <v>200</v>
      </c>
      <c r="AD26" s="136">
        <f>ZG!L29</f>
        <v>780</v>
      </c>
      <c r="AE26" s="1">
        <f>ZG!M29</f>
        <v>200</v>
      </c>
      <c r="AF26" s="136">
        <f>ZG!N29</f>
        <v>1950</v>
      </c>
      <c r="AG26" s="1">
        <f>ZG!O29</f>
        <v>200</v>
      </c>
      <c r="AH26" s="136">
        <f>ZG!P29</f>
        <v>3900</v>
      </c>
      <c r="AI26" s="1">
        <f>ZG!Q29</f>
        <v>200</v>
      </c>
      <c r="AJ26" s="136">
        <f>ZG!R29</f>
        <v>7800</v>
      </c>
      <c r="AK26" s="30">
        <f>ZG!S29</f>
        <v>200</v>
      </c>
      <c r="AO26" s="29">
        <f>ZGP!B28</f>
        <v>19.5</v>
      </c>
      <c r="AP26" s="1">
        <f>ZGP!C28</f>
        <v>200</v>
      </c>
      <c r="AQ26" s="136">
        <f>ZGP!D28</f>
        <v>331.5</v>
      </c>
      <c r="AR26" s="1">
        <f>ZGP!E28</f>
        <v>200</v>
      </c>
      <c r="AS26" s="136">
        <f>ZGP!F28</f>
        <v>1950</v>
      </c>
      <c r="AT26" s="30">
        <f>ZGP!G28</f>
        <v>200</v>
      </c>
      <c r="AV26" s="29">
        <f>HP!B28</f>
        <v>117</v>
      </c>
      <c r="AW26" s="1">
        <f>HP!C28</f>
        <v>200</v>
      </c>
      <c r="AX26" s="136">
        <f>HP!D28</f>
        <v>1170</v>
      </c>
      <c r="AY26" s="1">
        <f>HP!E28</f>
        <v>200</v>
      </c>
      <c r="AZ26" s="136">
        <f>HP!F28</f>
        <v>3900</v>
      </c>
      <c r="BA26" s="30">
        <f>HP!G28</f>
        <v>200</v>
      </c>
      <c r="BC26" s="29">
        <f>HS!B28</f>
        <v>46.8</v>
      </c>
      <c r="BD26" s="1">
        <f>HS!C28</f>
        <v>200</v>
      </c>
      <c r="BE26" s="136">
        <f>HS!D28</f>
        <v>312</v>
      </c>
      <c r="BF26" s="1">
        <f>HS!E28</f>
        <v>200</v>
      </c>
      <c r="BG26" s="136">
        <f>HS!F28</f>
        <v>585</v>
      </c>
      <c r="BH26" s="30">
        <f>HS!G28</f>
        <v>200</v>
      </c>
      <c r="BJ26" s="29">
        <f>ZF!B28</f>
        <v>97.5</v>
      </c>
      <c r="BK26" s="1">
        <f>ZF!C28</f>
        <v>200</v>
      </c>
      <c r="BL26" s="136">
        <f>ZF!D28</f>
        <v>1170</v>
      </c>
      <c r="BM26" s="30">
        <f>ZF!E28</f>
        <v>200</v>
      </c>
    </row>
    <row r="27" spans="2:65" x14ac:dyDescent="0.25">
      <c r="T27" s="29">
        <f>ZG!B30</f>
        <v>3.55</v>
      </c>
      <c r="U27">
        <f>ZG!C30</f>
        <v>250</v>
      </c>
      <c r="V27" s="136">
        <f>ZG!D30</f>
        <v>17.75</v>
      </c>
      <c r="W27" s="1">
        <f>ZG!E30</f>
        <v>250</v>
      </c>
      <c r="X27" s="136">
        <f>ZG!F30</f>
        <v>88.75</v>
      </c>
      <c r="Y27">
        <f>ZG!G30</f>
        <v>250</v>
      </c>
      <c r="Z27" s="136">
        <f>ZG!H30</f>
        <v>301.75</v>
      </c>
      <c r="AA27" s="1">
        <f>ZG!I30</f>
        <v>250</v>
      </c>
      <c r="AB27" s="136">
        <f>ZG!J30</f>
        <v>426</v>
      </c>
      <c r="AC27" s="1">
        <f>ZG!K30</f>
        <v>250</v>
      </c>
      <c r="AD27" s="136">
        <f>ZG!L30</f>
        <v>710</v>
      </c>
      <c r="AE27" s="1">
        <f>ZG!M30</f>
        <v>250</v>
      </c>
      <c r="AF27" s="136">
        <f>ZG!N30</f>
        <v>1775</v>
      </c>
      <c r="AG27" s="1">
        <f>ZG!O30</f>
        <v>250</v>
      </c>
      <c r="AH27" s="136">
        <f>ZG!P30</f>
        <v>3550</v>
      </c>
      <c r="AI27" s="1">
        <f>ZG!Q30</f>
        <v>250</v>
      </c>
      <c r="AJ27" s="136">
        <f>ZG!R30</f>
        <v>7100</v>
      </c>
      <c r="AK27" s="30">
        <f>ZG!S30</f>
        <v>250</v>
      </c>
      <c r="AO27" s="29">
        <f>ZGP!B29</f>
        <v>17.75</v>
      </c>
      <c r="AP27" s="1">
        <f>ZGP!C29</f>
        <v>250</v>
      </c>
      <c r="AQ27" s="136">
        <f>ZGP!D29</f>
        <v>301.75</v>
      </c>
      <c r="AR27" s="1">
        <f>ZGP!E29</f>
        <v>250</v>
      </c>
      <c r="AS27" s="136">
        <f>ZGP!F29</f>
        <v>1775</v>
      </c>
      <c r="AT27" s="30">
        <f>ZGP!G29</f>
        <v>250</v>
      </c>
      <c r="AV27" s="29">
        <f>HP!B29</f>
        <v>106.5</v>
      </c>
      <c r="AW27" s="1">
        <f>HP!C29</f>
        <v>250</v>
      </c>
      <c r="AX27" s="136">
        <f>HP!D29</f>
        <v>1065</v>
      </c>
      <c r="AY27" s="1">
        <f>HP!E29</f>
        <v>250</v>
      </c>
      <c r="AZ27" s="136">
        <f>HP!F29</f>
        <v>3550</v>
      </c>
      <c r="BA27" s="30">
        <f>HP!G29</f>
        <v>250</v>
      </c>
      <c r="BC27" s="29">
        <f>HS!B29</f>
        <v>42.6</v>
      </c>
      <c r="BD27" s="1">
        <f>HS!C29</f>
        <v>250</v>
      </c>
      <c r="BE27" s="136">
        <f>HS!D29</f>
        <v>284</v>
      </c>
      <c r="BF27" s="1">
        <f>HS!E29</f>
        <v>250</v>
      </c>
      <c r="BG27" s="136">
        <f>HS!F29</f>
        <v>532.5</v>
      </c>
      <c r="BH27" s="30">
        <f>HS!G29</f>
        <v>250</v>
      </c>
      <c r="BJ27" s="29">
        <f>ZF!B29</f>
        <v>88.75</v>
      </c>
      <c r="BK27" s="1">
        <f>ZF!C29</f>
        <v>250</v>
      </c>
      <c r="BL27" s="136">
        <f>ZF!D29</f>
        <v>1065</v>
      </c>
      <c r="BM27" s="30">
        <f>ZF!E29</f>
        <v>250</v>
      </c>
    </row>
    <row r="28" spans="2:65" x14ac:dyDescent="0.25">
      <c r="T28" s="29">
        <f>ZG!B31</f>
        <v>3.2</v>
      </c>
      <c r="U28">
        <f>ZG!C31</f>
        <v>300</v>
      </c>
      <c r="V28" s="136">
        <f>ZG!D31</f>
        <v>16</v>
      </c>
      <c r="W28" s="1">
        <f>ZG!E31</f>
        <v>300</v>
      </c>
      <c r="X28" s="136">
        <f>ZG!F31</f>
        <v>80</v>
      </c>
      <c r="Y28">
        <f>ZG!G31</f>
        <v>300</v>
      </c>
      <c r="Z28" s="136">
        <f>ZG!H31</f>
        <v>272</v>
      </c>
      <c r="AA28" s="1">
        <f>ZG!I31</f>
        <v>300</v>
      </c>
      <c r="AB28" s="136">
        <f>ZG!J31</f>
        <v>384</v>
      </c>
      <c r="AC28" s="1">
        <f>ZG!K31</f>
        <v>300</v>
      </c>
      <c r="AD28" s="136">
        <f>ZG!L31</f>
        <v>640</v>
      </c>
      <c r="AE28" s="1">
        <f>ZG!M31</f>
        <v>300</v>
      </c>
      <c r="AF28" s="136">
        <f>ZG!N31</f>
        <v>1600</v>
      </c>
      <c r="AG28" s="1">
        <f>ZG!O31</f>
        <v>300</v>
      </c>
      <c r="AH28" s="136">
        <f>ZG!P31</f>
        <v>3200</v>
      </c>
      <c r="AI28" s="1">
        <f>ZG!Q31</f>
        <v>300</v>
      </c>
      <c r="AJ28" s="136">
        <f>ZG!R31</f>
        <v>6400</v>
      </c>
      <c r="AK28" s="30">
        <f>ZG!S31</f>
        <v>300</v>
      </c>
      <c r="AO28" s="29">
        <f>ZGP!B30</f>
        <v>16</v>
      </c>
      <c r="AP28" s="1">
        <f>ZGP!C30</f>
        <v>300</v>
      </c>
      <c r="AQ28" s="136">
        <f>ZGP!D30</f>
        <v>272</v>
      </c>
      <c r="AR28" s="1">
        <f>ZGP!E30</f>
        <v>300</v>
      </c>
      <c r="AS28" s="136">
        <f>ZGP!F30</f>
        <v>1600</v>
      </c>
      <c r="AT28" s="30">
        <f>ZGP!G30</f>
        <v>300</v>
      </c>
      <c r="AV28" s="29">
        <f>HP!B30</f>
        <v>96</v>
      </c>
      <c r="AW28" s="1">
        <f>HP!C30</f>
        <v>300</v>
      </c>
      <c r="AX28" s="136">
        <f>HP!D30</f>
        <v>960</v>
      </c>
      <c r="AY28" s="1">
        <f>HP!E30</f>
        <v>300</v>
      </c>
      <c r="AZ28" s="136">
        <f>HP!F30</f>
        <v>3200</v>
      </c>
      <c r="BA28" s="30">
        <f>HP!G30</f>
        <v>300</v>
      </c>
      <c r="BC28" s="29">
        <f>HS!B30</f>
        <v>38.4</v>
      </c>
      <c r="BD28" s="1">
        <f>HS!C30</f>
        <v>300</v>
      </c>
      <c r="BE28" s="136">
        <f>HS!D30</f>
        <v>256</v>
      </c>
      <c r="BF28" s="1">
        <f>HS!E30</f>
        <v>300</v>
      </c>
      <c r="BG28" s="136">
        <f>HS!F30</f>
        <v>480</v>
      </c>
      <c r="BH28" s="30">
        <f>HS!G30</f>
        <v>300</v>
      </c>
      <c r="BJ28" s="29">
        <f>ZF!B30</f>
        <v>80</v>
      </c>
      <c r="BK28" s="1">
        <f>ZF!C30</f>
        <v>300</v>
      </c>
      <c r="BL28" s="136">
        <f>ZF!D30</f>
        <v>960</v>
      </c>
      <c r="BM28" s="30">
        <f>ZF!E30</f>
        <v>300</v>
      </c>
    </row>
    <row r="29" spans="2:65" x14ac:dyDescent="0.25">
      <c r="T29" s="29">
        <f>ZG!B32</f>
        <v>2.9</v>
      </c>
      <c r="U29">
        <f>ZG!C32</f>
        <v>350</v>
      </c>
      <c r="V29" s="136">
        <f>ZG!D32</f>
        <v>14.5</v>
      </c>
      <c r="W29" s="1">
        <f>ZG!E32</f>
        <v>350</v>
      </c>
      <c r="X29" s="136">
        <f>ZG!F32</f>
        <v>72.5</v>
      </c>
      <c r="Y29">
        <f>ZG!G32</f>
        <v>350</v>
      </c>
      <c r="Z29" s="136">
        <f>ZG!H32</f>
        <v>246.5</v>
      </c>
      <c r="AA29" s="1">
        <f>ZG!I32</f>
        <v>350</v>
      </c>
      <c r="AB29" s="136">
        <f>ZG!J32</f>
        <v>348</v>
      </c>
      <c r="AC29" s="1">
        <f>ZG!K32</f>
        <v>350</v>
      </c>
      <c r="AD29" s="136">
        <f>ZG!L32</f>
        <v>580</v>
      </c>
      <c r="AE29" s="1">
        <f>ZG!M32</f>
        <v>350</v>
      </c>
      <c r="AF29" s="136">
        <f>ZG!N32</f>
        <v>1450</v>
      </c>
      <c r="AG29" s="1">
        <f>ZG!O32</f>
        <v>350</v>
      </c>
      <c r="AH29" s="136">
        <f>ZG!P32</f>
        <v>2900</v>
      </c>
      <c r="AI29" s="1">
        <f>ZG!Q32</f>
        <v>350</v>
      </c>
      <c r="AJ29" s="136">
        <f>ZG!R32</f>
        <v>5800</v>
      </c>
      <c r="AK29" s="30">
        <f>ZG!S32</f>
        <v>350</v>
      </c>
      <c r="AO29" s="29">
        <f>ZGP!B31</f>
        <v>14.5</v>
      </c>
      <c r="AP29" s="1">
        <f>ZGP!C31</f>
        <v>350</v>
      </c>
      <c r="AQ29" s="136">
        <f>ZGP!D31</f>
        <v>246.5</v>
      </c>
      <c r="AR29" s="1">
        <f>ZGP!E31</f>
        <v>350</v>
      </c>
      <c r="AS29" s="136">
        <f>ZGP!F31</f>
        <v>1450</v>
      </c>
      <c r="AT29" s="30">
        <f>ZGP!G31</f>
        <v>350</v>
      </c>
      <c r="AV29" s="29">
        <f>HP!B31</f>
        <v>87</v>
      </c>
      <c r="AW29" s="1">
        <f>HP!C31</f>
        <v>350</v>
      </c>
      <c r="AX29" s="136">
        <f>HP!D31</f>
        <v>870</v>
      </c>
      <c r="AY29" s="1">
        <f>HP!E31</f>
        <v>350</v>
      </c>
      <c r="AZ29" s="136">
        <f>HP!F31</f>
        <v>2900</v>
      </c>
      <c r="BA29" s="30">
        <f>HP!G31</f>
        <v>350</v>
      </c>
      <c r="BC29" s="29">
        <f>HS!B31</f>
        <v>34.799999999999997</v>
      </c>
      <c r="BD29" s="1">
        <f>HS!C31</f>
        <v>350</v>
      </c>
      <c r="BE29" s="136">
        <f>HS!D31</f>
        <v>232</v>
      </c>
      <c r="BF29" s="1">
        <f>HS!E31</f>
        <v>350</v>
      </c>
      <c r="BG29" s="136">
        <f>HS!F31</f>
        <v>435</v>
      </c>
      <c r="BH29" s="30">
        <f>HS!G31</f>
        <v>350</v>
      </c>
      <c r="BJ29" s="29">
        <f>ZF!B31</f>
        <v>72.5</v>
      </c>
      <c r="BK29" s="1">
        <f>ZF!C31</f>
        <v>350</v>
      </c>
      <c r="BL29" s="136">
        <f>ZF!D31</f>
        <v>870</v>
      </c>
      <c r="BM29" s="30">
        <f>ZF!E31</f>
        <v>350</v>
      </c>
    </row>
    <row r="30" spans="2:65" x14ac:dyDescent="0.25">
      <c r="T30" s="29">
        <f>ZG!B33</f>
        <v>2.6</v>
      </c>
      <c r="U30">
        <f>ZG!C33</f>
        <v>400</v>
      </c>
      <c r="V30" s="136">
        <f>ZG!D33</f>
        <v>13</v>
      </c>
      <c r="W30" s="1">
        <f>ZG!E33</f>
        <v>400</v>
      </c>
      <c r="X30" s="136">
        <f>ZG!F33</f>
        <v>65</v>
      </c>
      <c r="Y30">
        <f>ZG!G33</f>
        <v>400</v>
      </c>
      <c r="Z30" s="136">
        <f>ZG!H33</f>
        <v>221</v>
      </c>
      <c r="AA30" s="1">
        <f>ZG!I33</f>
        <v>400</v>
      </c>
      <c r="AB30" s="136">
        <f>ZG!J33</f>
        <v>312</v>
      </c>
      <c r="AC30" s="1">
        <f>ZG!K33</f>
        <v>400</v>
      </c>
      <c r="AD30" s="136">
        <f>ZG!L33</f>
        <v>520</v>
      </c>
      <c r="AE30" s="1">
        <f>ZG!M33</f>
        <v>400</v>
      </c>
      <c r="AF30" s="136">
        <f>ZG!N33</f>
        <v>1300</v>
      </c>
      <c r="AG30" s="1">
        <f>ZG!O33</f>
        <v>400</v>
      </c>
      <c r="AH30" s="136">
        <f>ZG!P33</f>
        <v>2600</v>
      </c>
      <c r="AI30" s="1">
        <f>ZG!Q33</f>
        <v>400</v>
      </c>
      <c r="AJ30" s="136">
        <f>ZG!R33</f>
        <v>5200</v>
      </c>
      <c r="AK30" s="30">
        <f>ZG!S33</f>
        <v>400</v>
      </c>
      <c r="AO30" s="29">
        <f>ZGP!B32</f>
        <v>13</v>
      </c>
      <c r="AP30" s="1">
        <f>ZGP!C32</f>
        <v>400</v>
      </c>
      <c r="AQ30" s="136">
        <f>ZGP!D32</f>
        <v>221</v>
      </c>
      <c r="AR30" s="1">
        <f>ZGP!E32</f>
        <v>400</v>
      </c>
      <c r="AS30" s="136">
        <f>ZGP!F32</f>
        <v>1300</v>
      </c>
      <c r="AT30" s="30">
        <f>ZGP!G32</f>
        <v>400</v>
      </c>
      <c r="AV30" s="29">
        <f>HP!B32</f>
        <v>78</v>
      </c>
      <c r="AW30" s="1">
        <f>HP!C32</f>
        <v>400</v>
      </c>
      <c r="AX30" s="136">
        <f>HP!D32</f>
        <v>780</v>
      </c>
      <c r="AY30" s="1">
        <f>HP!E32</f>
        <v>400</v>
      </c>
      <c r="AZ30" s="136">
        <f>HP!F32</f>
        <v>2600</v>
      </c>
      <c r="BA30" s="30">
        <f>HP!G32</f>
        <v>400</v>
      </c>
      <c r="BC30" s="29">
        <f>HS!B32</f>
        <v>31.2</v>
      </c>
      <c r="BD30" s="1">
        <f>HS!C32</f>
        <v>400</v>
      </c>
      <c r="BE30" s="136">
        <f>HS!D32</f>
        <v>208</v>
      </c>
      <c r="BF30" s="1">
        <f>HS!E32</f>
        <v>400</v>
      </c>
      <c r="BG30" s="136">
        <f>HS!F32</f>
        <v>390</v>
      </c>
      <c r="BH30" s="30">
        <f>HS!G32</f>
        <v>400</v>
      </c>
      <c r="BJ30" s="29">
        <f>ZF!B32</f>
        <v>65</v>
      </c>
      <c r="BK30" s="1">
        <f>ZF!C32</f>
        <v>400</v>
      </c>
      <c r="BL30" s="136">
        <f>ZF!D32</f>
        <v>780</v>
      </c>
      <c r="BM30" s="30">
        <f>ZF!E32</f>
        <v>400</v>
      </c>
    </row>
    <row r="31" spans="2:65" x14ac:dyDescent="0.25">
      <c r="T31" s="29">
        <f>ZG!B34</f>
        <v>2.35</v>
      </c>
      <c r="U31">
        <f>ZG!C34</f>
        <v>450</v>
      </c>
      <c r="V31" s="136">
        <f>ZG!D34</f>
        <v>11.75</v>
      </c>
      <c r="W31" s="1">
        <f>ZG!E34</f>
        <v>450</v>
      </c>
      <c r="X31" s="136">
        <f>ZG!F34</f>
        <v>58.75</v>
      </c>
      <c r="Y31">
        <f>ZG!G34</f>
        <v>450</v>
      </c>
      <c r="Z31" s="136">
        <f>ZG!H34</f>
        <v>199.75</v>
      </c>
      <c r="AA31" s="1">
        <f>ZG!I34</f>
        <v>450</v>
      </c>
      <c r="AB31" s="136">
        <f>ZG!J34</f>
        <v>282</v>
      </c>
      <c r="AC31" s="1">
        <f>ZG!K34</f>
        <v>450</v>
      </c>
      <c r="AD31" s="136">
        <f>ZG!L34</f>
        <v>470</v>
      </c>
      <c r="AE31" s="1">
        <f>ZG!M34</f>
        <v>450</v>
      </c>
      <c r="AF31" s="136">
        <f>ZG!N34</f>
        <v>1175</v>
      </c>
      <c r="AG31" s="1">
        <f>ZG!O34</f>
        <v>450</v>
      </c>
      <c r="AH31" s="136">
        <f>ZG!P34</f>
        <v>2350</v>
      </c>
      <c r="AI31" s="1">
        <f>ZG!Q34</f>
        <v>450</v>
      </c>
      <c r="AJ31" s="136">
        <f>ZG!R34</f>
        <v>4700</v>
      </c>
      <c r="AK31" s="30">
        <f>ZG!S34</f>
        <v>450</v>
      </c>
      <c r="AO31" s="29">
        <f>ZGP!B33</f>
        <v>11.75</v>
      </c>
      <c r="AP31" s="1">
        <f>ZGP!C33</f>
        <v>450</v>
      </c>
      <c r="AQ31" s="136">
        <f>ZGP!D33</f>
        <v>199.75</v>
      </c>
      <c r="AR31" s="1">
        <f>ZGP!E33</f>
        <v>450</v>
      </c>
      <c r="AS31" s="136">
        <f>ZGP!F33</f>
        <v>1175</v>
      </c>
      <c r="AT31" s="30">
        <f>ZGP!G33</f>
        <v>450</v>
      </c>
      <c r="AV31" s="29">
        <f>HP!B33</f>
        <v>70.5</v>
      </c>
      <c r="AW31" s="1">
        <f>HP!C33</f>
        <v>450</v>
      </c>
      <c r="AX31" s="136">
        <f>HP!D33</f>
        <v>705</v>
      </c>
      <c r="AY31" s="1">
        <f>HP!E33</f>
        <v>450</v>
      </c>
      <c r="AZ31" s="136">
        <f>HP!F33</f>
        <v>2350</v>
      </c>
      <c r="BA31" s="30">
        <f>HP!G33</f>
        <v>450</v>
      </c>
      <c r="BC31" s="29">
        <f>HS!B33</f>
        <v>28.2</v>
      </c>
      <c r="BD31" s="1">
        <f>HS!C33</f>
        <v>450</v>
      </c>
      <c r="BE31" s="136">
        <f>HS!D33</f>
        <v>188</v>
      </c>
      <c r="BF31" s="1">
        <f>HS!E33</f>
        <v>450</v>
      </c>
      <c r="BG31" s="136">
        <f>HS!F33</f>
        <v>352.5</v>
      </c>
      <c r="BH31" s="30">
        <f>HS!G33</f>
        <v>450</v>
      </c>
      <c r="BJ31" s="29">
        <f>ZF!B33</f>
        <v>58.75</v>
      </c>
      <c r="BK31" s="1">
        <f>ZF!C33</f>
        <v>450</v>
      </c>
      <c r="BL31" s="136">
        <f>ZF!D33</f>
        <v>705</v>
      </c>
      <c r="BM31" s="30">
        <f>ZF!E33</f>
        <v>450</v>
      </c>
    </row>
    <row r="32" spans="2:65" x14ac:dyDescent="0.25">
      <c r="T32" s="29">
        <f>ZG!B35</f>
        <v>2.1</v>
      </c>
      <c r="U32">
        <f>ZG!C35</f>
        <v>500</v>
      </c>
      <c r="V32" s="136">
        <f>ZG!D35</f>
        <v>10.5</v>
      </c>
      <c r="W32" s="1">
        <f>ZG!E35</f>
        <v>500</v>
      </c>
      <c r="X32" s="136">
        <f>ZG!F35</f>
        <v>52.5</v>
      </c>
      <c r="Y32">
        <f>ZG!G35</f>
        <v>500</v>
      </c>
      <c r="Z32" s="136">
        <f>ZG!H35</f>
        <v>178.5</v>
      </c>
      <c r="AA32" s="1">
        <f>ZG!I35</f>
        <v>500</v>
      </c>
      <c r="AB32" s="136">
        <f>ZG!J35</f>
        <v>252</v>
      </c>
      <c r="AC32" s="1">
        <f>ZG!K35</f>
        <v>500</v>
      </c>
      <c r="AD32" s="136">
        <f>ZG!L35</f>
        <v>420</v>
      </c>
      <c r="AE32" s="1">
        <f>ZG!M35</f>
        <v>500</v>
      </c>
      <c r="AF32" s="136">
        <f>ZG!N35</f>
        <v>1050</v>
      </c>
      <c r="AG32" s="1">
        <f>ZG!O35</f>
        <v>500</v>
      </c>
      <c r="AH32" s="136">
        <f>ZG!P35</f>
        <v>2100</v>
      </c>
      <c r="AI32" s="1">
        <f>ZG!Q35</f>
        <v>500</v>
      </c>
      <c r="AJ32" s="136">
        <f>ZG!R35</f>
        <v>4200</v>
      </c>
      <c r="AK32" s="30">
        <f>ZG!S35</f>
        <v>500</v>
      </c>
      <c r="AO32" s="29">
        <f>ZGP!B34</f>
        <v>10.5</v>
      </c>
      <c r="AP32" s="1">
        <f>ZGP!C34</f>
        <v>500</v>
      </c>
      <c r="AQ32" s="136">
        <f>ZGP!D34</f>
        <v>178.5</v>
      </c>
      <c r="AR32" s="1">
        <f>ZGP!E34</f>
        <v>500</v>
      </c>
      <c r="AS32" s="136">
        <f>ZGP!F34</f>
        <v>1050</v>
      </c>
      <c r="AT32" s="30">
        <f>ZGP!G34</f>
        <v>500</v>
      </c>
      <c r="AV32" s="29">
        <f>HP!B34</f>
        <v>63</v>
      </c>
      <c r="AW32" s="1">
        <f>HP!C34</f>
        <v>500</v>
      </c>
      <c r="AX32" s="136">
        <f>HP!D34</f>
        <v>630</v>
      </c>
      <c r="AY32" s="1">
        <f>HP!E34</f>
        <v>500</v>
      </c>
      <c r="AZ32" s="136">
        <f>HP!F34</f>
        <v>2100</v>
      </c>
      <c r="BA32" s="30">
        <f>HP!G34</f>
        <v>500</v>
      </c>
      <c r="BC32" s="29">
        <f>HS!B34</f>
        <v>25.2</v>
      </c>
      <c r="BD32" s="1">
        <f>HS!C34</f>
        <v>500</v>
      </c>
      <c r="BE32" s="136">
        <f>HS!D34</f>
        <v>168</v>
      </c>
      <c r="BF32" s="1">
        <f>HS!E34</f>
        <v>500</v>
      </c>
      <c r="BG32" s="136">
        <f>HS!F34</f>
        <v>315</v>
      </c>
      <c r="BH32" s="30">
        <f>HS!G34</f>
        <v>500</v>
      </c>
      <c r="BJ32" s="29">
        <f>ZF!B34</f>
        <v>52.5</v>
      </c>
      <c r="BK32" s="1">
        <f>ZF!C34</f>
        <v>500</v>
      </c>
      <c r="BL32" s="136">
        <f>ZF!D34</f>
        <v>630</v>
      </c>
      <c r="BM32" s="30">
        <f>ZF!E34</f>
        <v>500</v>
      </c>
    </row>
    <row r="33" spans="20:65" x14ac:dyDescent="0.25">
      <c r="T33" s="29">
        <f>ZG!B36</f>
        <v>1.9</v>
      </c>
      <c r="U33">
        <f>ZG!C36</f>
        <v>550</v>
      </c>
      <c r="V33" s="136">
        <f>ZG!D36</f>
        <v>9.5</v>
      </c>
      <c r="W33" s="1">
        <f>ZG!E36</f>
        <v>550</v>
      </c>
      <c r="X33" s="136">
        <f>ZG!F36</f>
        <v>47.5</v>
      </c>
      <c r="Y33">
        <f>ZG!G36</f>
        <v>550</v>
      </c>
      <c r="Z33" s="136">
        <f>ZG!H36</f>
        <v>161.5</v>
      </c>
      <c r="AA33" s="1">
        <f>ZG!I36</f>
        <v>550</v>
      </c>
      <c r="AB33" s="136">
        <f>ZG!J36</f>
        <v>228</v>
      </c>
      <c r="AC33" s="1">
        <f>ZG!K36</f>
        <v>550</v>
      </c>
      <c r="AD33" s="136">
        <f>ZG!L36</f>
        <v>380</v>
      </c>
      <c r="AE33" s="1">
        <f>ZG!M36</f>
        <v>550</v>
      </c>
      <c r="AF33" s="136">
        <f>ZG!N36</f>
        <v>950</v>
      </c>
      <c r="AG33" s="1">
        <f>ZG!O36</f>
        <v>550</v>
      </c>
      <c r="AH33" s="136">
        <f>ZG!P36</f>
        <v>1900</v>
      </c>
      <c r="AI33" s="1">
        <f>ZG!Q36</f>
        <v>550</v>
      </c>
      <c r="AJ33" s="136">
        <f>ZG!R36</f>
        <v>3800</v>
      </c>
      <c r="AK33" s="30">
        <f>ZG!S36</f>
        <v>550</v>
      </c>
      <c r="AO33" s="29">
        <f>ZGP!B35</f>
        <v>9.5</v>
      </c>
      <c r="AP33" s="1">
        <f>ZGP!C35</f>
        <v>550</v>
      </c>
      <c r="AQ33" s="136">
        <f>ZGP!D35</f>
        <v>161.5</v>
      </c>
      <c r="AR33" s="1">
        <f>ZGP!E35</f>
        <v>550</v>
      </c>
      <c r="AS33" s="136">
        <f>ZGP!F35</f>
        <v>950</v>
      </c>
      <c r="AT33" s="30">
        <f>ZGP!G35</f>
        <v>550</v>
      </c>
      <c r="AV33" s="29">
        <f>HP!B35</f>
        <v>57</v>
      </c>
      <c r="AW33" s="1">
        <f>HP!C35</f>
        <v>550</v>
      </c>
      <c r="AX33" s="136">
        <f>HP!D35</f>
        <v>570</v>
      </c>
      <c r="AY33" s="1">
        <f>HP!E35</f>
        <v>550</v>
      </c>
      <c r="AZ33" s="136">
        <f>HP!F35</f>
        <v>1900</v>
      </c>
      <c r="BA33" s="30">
        <f>HP!G35</f>
        <v>550</v>
      </c>
      <c r="BC33" s="29">
        <f>HS!B35</f>
        <v>22.8</v>
      </c>
      <c r="BD33" s="1">
        <f>HS!C35</f>
        <v>550</v>
      </c>
      <c r="BE33" s="136">
        <f>HS!D35</f>
        <v>152</v>
      </c>
      <c r="BF33" s="1">
        <f>HS!E35</f>
        <v>550</v>
      </c>
      <c r="BG33" s="136">
        <f>HS!F35</f>
        <v>285</v>
      </c>
      <c r="BH33" s="30">
        <f>HS!G35</f>
        <v>550</v>
      </c>
      <c r="BJ33" s="29">
        <f>ZF!B35</f>
        <v>47.5</v>
      </c>
      <c r="BK33" s="1">
        <f>ZF!C35</f>
        <v>550</v>
      </c>
      <c r="BL33" s="136">
        <f>ZF!D35</f>
        <v>570</v>
      </c>
      <c r="BM33" s="30">
        <f>ZF!E35</f>
        <v>550</v>
      </c>
    </row>
    <row r="34" spans="20:65" x14ac:dyDescent="0.25">
      <c r="T34" s="29">
        <f>ZG!B37</f>
        <v>1.7</v>
      </c>
      <c r="U34">
        <f>ZG!C37</f>
        <v>600</v>
      </c>
      <c r="V34" s="136">
        <f>ZG!D37</f>
        <v>8.5</v>
      </c>
      <c r="W34" s="1">
        <f>ZG!E37</f>
        <v>600</v>
      </c>
      <c r="X34" s="136">
        <f>ZG!F37</f>
        <v>42.5</v>
      </c>
      <c r="Y34">
        <f>ZG!G37</f>
        <v>600</v>
      </c>
      <c r="Z34" s="136">
        <f>ZG!H37</f>
        <v>144.5</v>
      </c>
      <c r="AA34" s="1">
        <f>ZG!I37</f>
        <v>600</v>
      </c>
      <c r="AB34" s="136">
        <f>ZG!J37</f>
        <v>204</v>
      </c>
      <c r="AC34" s="1">
        <f>ZG!K37</f>
        <v>600</v>
      </c>
      <c r="AD34" s="136">
        <f>ZG!L37</f>
        <v>340</v>
      </c>
      <c r="AE34" s="1">
        <f>ZG!M37</f>
        <v>600</v>
      </c>
      <c r="AF34" s="136">
        <f>ZG!N37</f>
        <v>850</v>
      </c>
      <c r="AG34" s="1">
        <f>ZG!O37</f>
        <v>600</v>
      </c>
      <c r="AH34" s="136">
        <f>ZG!P37</f>
        <v>1700</v>
      </c>
      <c r="AI34" s="1">
        <f>ZG!Q37</f>
        <v>600</v>
      </c>
      <c r="AJ34" s="136">
        <f>ZG!R37</f>
        <v>3400</v>
      </c>
      <c r="AK34" s="30">
        <f>ZG!S37</f>
        <v>600</v>
      </c>
      <c r="AO34" s="29">
        <f>ZGP!B36</f>
        <v>8.5</v>
      </c>
      <c r="AP34" s="1">
        <f>ZGP!C36</f>
        <v>600</v>
      </c>
      <c r="AQ34" s="136">
        <f>ZGP!D36</f>
        <v>144.5</v>
      </c>
      <c r="AR34" s="1">
        <f>ZGP!E36</f>
        <v>600</v>
      </c>
      <c r="AS34" s="136">
        <f>ZGP!F36</f>
        <v>850</v>
      </c>
      <c r="AT34" s="30">
        <f>ZGP!G36</f>
        <v>600</v>
      </c>
      <c r="AV34" s="29">
        <f>HP!B36</f>
        <v>51</v>
      </c>
      <c r="AW34" s="1">
        <f>HP!C36</f>
        <v>600</v>
      </c>
      <c r="AX34" s="136">
        <f>HP!D36</f>
        <v>510</v>
      </c>
      <c r="AY34" s="1">
        <f>HP!E36</f>
        <v>600</v>
      </c>
      <c r="AZ34" s="136">
        <f>HP!F36</f>
        <v>1700</v>
      </c>
      <c r="BA34" s="30">
        <f>HP!G36</f>
        <v>600</v>
      </c>
      <c r="BC34" s="29">
        <f>HS!B36</f>
        <v>20.399999999999999</v>
      </c>
      <c r="BD34" s="1">
        <f>HS!C36</f>
        <v>600</v>
      </c>
      <c r="BE34" s="136">
        <f>HS!D36</f>
        <v>136</v>
      </c>
      <c r="BF34" s="1">
        <f>HS!E36</f>
        <v>600</v>
      </c>
      <c r="BG34" s="136">
        <f>HS!F36</f>
        <v>255</v>
      </c>
      <c r="BH34" s="30">
        <f>HS!G36</f>
        <v>600</v>
      </c>
      <c r="BJ34" s="29">
        <f>ZF!B36</f>
        <v>42.5</v>
      </c>
      <c r="BK34" s="1">
        <f>ZF!C36</f>
        <v>600</v>
      </c>
      <c r="BL34" s="136">
        <f>ZF!D36</f>
        <v>510</v>
      </c>
      <c r="BM34" s="30">
        <f>ZF!E36</f>
        <v>600</v>
      </c>
    </row>
    <row r="35" spans="20:65" x14ac:dyDescent="0.25">
      <c r="T35" s="29">
        <f>ZG!B38</f>
        <v>1.5</v>
      </c>
      <c r="U35">
        <f>ZG!C38</f>
        <v>650</v>
      </c>
      <c r="V35" s="136">
        <f>ZG!D38</f>
        <v>7.5</v>
      </c>
      <c r="W35" s="1">
        <f>ZG!E38</f>
        <v>650</v>
      </c>
      <c r="X35" s="136">
        <f>ZG!F38</f>
        <v>37.5</v>
      </c>
      <c r="Y35">
        <f>ZG!G38</f>
        <v>650</v>
      </c>
      <c r="Z35" s="136">
        <f>ZG!H38</f>
        <v>127.5</v>
      </c>
      <c r="AA35" s="1">
        <f>ZG!I38</f>
        <v>650</v>
      </c>
      <c r="AB35" s="136">
        <f>ZG!J38</f>
        <v>180</v>
      </c>
      <c r="AC35" s="1">
        <f>ZG!K38</f>
        <v>650</v>
      </c>
      <c r="AD35" s="136">
        <f>ZG!L38</f>
        <v>300</v>
      </c>
      <c r="AE35" s="1">
        <f>ZG!M38</f>
        <v>650</v>
      </c>
      <c r="AF35" s="136">
        <f>ZG!N38</f>
        <v>750</v>
      </c>
      <c r="AG35" s="1">
        <f>ZG!O38</f>
        <v>650</v>
      </c>
      <c r="AH35" s="136">
        <f>ZG!P38</f>
        <v>1500</v>
      </c>
      <c r="AI35" s="1">
        <f>ZG!Q38</f>
        <v>650</v>
      </c>
      <c r="AJ35" s="136">
        <f>ZG!R38</f>
        <v>3000</v>
      </c>
      <c r="AK35" s="30">
        <f>ZG!S38</f>
        <v>650</v>
      </c>
      <c r="AO35" s="29">
        <f>ZGP!B37</f>
        <v>7.5</v>
      </c>
      <c r="AP35" s="1">
        <f>ZGP!C37</f>
        <v>650</v>
      </c>
      <c r="AQ35" s="136">
        <f>ZGP!D37</f>
        <v>127.5</v>
      </c>
      <c r="AR35" s="1">
        <f>ZGP!E37</f>
        <v>650</v>
      </c>
      <c r="AS35" s="136">
        <f>ZGP!F37</f>
        <v>750</v>
      </c>
      <c r="AT35" s="30">
        <f>ZGP!G37</f>
        <v>650</v>
      </c>
      <c r="AV35" s="29">
        <f>HP!B37</f>
        <v>45</v>
      </c>
      <c r="AW35" s="1">
        <f>HP!C37</f>
        <v>650</v>
      </c>
      <c r="AX35" s="136">
        <f>HP!D37</f>
        <v>450</v>
      </c>
      <c r="AY35" s="1">
        <f>HP!E37</f>
        <v>650</v>
      </c>
      <c r="AZ35" s="136">
        <f>HP!F37</f>
        <v>1500</v>
      </c>
      <c r="BA35" s="30">
        <f>HP!G37</f>
        <v>650</v>
      </c>
      <c r="BC35" s="29">
        <f>HS!B37</f>
        <v>18</v>
      </c>
      <c r="BD35" s="1">
        <f>HS!C37</f>
        <v>650</v>
      </c>
      <c r="BE35" s="136">
        <f>HS!D37</f>
        <v>120</v>
      </c>
      <c r="BF35" s="1">
        <f>HS!E37</f>
        <v>650</v>
      </c>
      <c r="BG35" s="136">
        <f>HS!F37</f>
        <v>225</v>
      </c>
      <c r="BH35" s="30">
        <f>HS!G37</f>
        <v>650</v>
      </c>
      <c r="BJ35" s="29">
        <f>ZF!B37</f>
        <v>37.5</v>
      </c>
      <c r="BK35" s="1">
        <f>ZF!C37</f>
        <v>650</v>
      </c>
      <c r="BL35" s="136">
        <f>ZF!D37</f>
        <v>450</v>
      </c>
      <c r="BM35" s="30">
        <f>ZF!E37</f>
        <v>650</v>
      </c>
    </row>
    <row r="36" spans="20:65" x14ac:dyDescent="0.25">
      <c r="T36" s="29">
        <f>ZG!B39</f>
        <v>1.32</v>
      </c>
      <c r="U36">
        <f>ZG!C39</f>
        <v>700</v>
      </c>
      <c r="V36" s="136">
        <f>ZG!D39</f>
        <v>6.6</v>
      </c>
      <c r="W36" s="1">
        <f>ZG!E39</f>
        <v>700</v>
      </c>
      <c r="X36" s="136">
        <f>ZG!F39</f>
        <v>33</v>
      </c>
      <c r="Y36">
        <f>ZG!G39</f>
        <v>700</v>
      </c>
      <c r="Z36" s="136">
        <f>ZG!H39</f>
        <v>112.2</v>
      </c>
      <c r="AA36" s="1">
        <f>ZG!I39</f>
        <v>700</v>
      </c>
      <c r="AB36" s="136">
        <f>ZG!J39</f>
        <v>158.4</v>
      </c>
      <c r="AC36" s="1">
        <f>ZG!K39</f>
        <v>700</v>
      </c>
      <c r="AD36" s="136">
        <f>ZG!L39</f>
        <v>264</v>
      </c>
      <c r="AE36" s="1">
        <f>ZG!M39</f>
        <v>700</v>
      </c>
      <c r="AF36" s="136">
        <f>ZG!N39</f>
        <v>660</v>
      </c>
      <c r="AG36" s="1">
        <f>ZG!O39</f>
        <v>700</v>
      </c>
      <c r="AH36" s="136">
        <f>ZG!P39</f>
        <v>1320</v>
      </c>
      <c r="AI36" s="1">
        <f>ZG!Q39</f>
        <v>700</v>
      </c>
      <c r="AJ36" s="136">
        <f>ZG!R39</f>
        <v>2640</v>
      </c>
      <c r="AK36" s="30">
        <f>ZG!S39</f>
        <v>700</v>
      </c>
      <c r="AO36" s="29">
        <f>ZGP!B38</f>
        <v>6.6</v>
      </c>
      <c r="AP36" s="1">
        <f>ZGP!C38</f>
        <v>700</v>
      </c>
      <c r="AQ36" s="136">
        <f>ZGP!D38</f>
        <v>112.2</v>
      </c>
      <c r="AR36" s="1">
        <f>ZGP!E38</f>
        <v>700</v>
      </c>
      <c r="AS36" s="136">
        <f>ZGP!F38</f>
        <v>660</v>
      </c>
      <c r="AT36" s="30">
        <f>ZGP!G38</f>
        <v>700</v>
      </c>
      <c r="AV36" s="29">
        <f>HP!B38</f>
        <v>39.6</v>
      </c>
      <c r="AW36" s="1">
        <f>HP!C38</f>
        <v>700</v>
      </c>
      <c r="AX36" s="136">
        <f>HP!D38</f>
        <v>396</v>
      </c>
      <c r="AY36" s="1">
        <f>HP!E38</f>
        <v>700</v>
      </c>
      <c r="AZ36" s="136">
        <f>HP!F38</f>
        <v>1320</v>
      </c>
      <c r="BA36" s="30">
        <f>HP!G38</f>
        <v>700</v>
      </c>
      <c r="BC36" s="29">
        <f>HS!B38</f>
        <v>15.84</v>
      </c>
      <c r="BD36" s="1">
        <f>HS!C38</f>
        <v>700</v>
      </c>
      <c r="BE36" s="136">
        <f>HS!D38</f>
        <v>105.6</v>
      </c>
      <c r="BF36" s="1">
        <f>HS!E38</f>
        <v>700</v>
      </c>
      <c r="BG36" s="136">
        <f>HS!F38</f>
        <v>198</v>
      </c>
      <c r="BH36" s="30">
        <f>HS!G38</f>
        <v>700</v>
      </c>
      <c r="BJ36" s="29">
        <f>ZF!B38</f>
        <v>33</v>
      </c>
      <c r="BK36" s="1">
        <f>ZF!C38</f>
        <v>700</v>
      </c>
      <c r="BL36" s="136">
        <f>ZF!D38</f>
        <v>396</v>
      </c>
      <c r="BM36" s="30">
        <f>ZF!E38</f>
        <v>700</v>
      </c>
    </row>
    <row r="37" spans="20:65" x14ac:dyDescent="0.25">
      <c r="T37" s="29">
        <f>ZG!B40</f>
        <v>1.1499999999999999</v>
      </c>
      <c r="U37">
        <f>ZG!C40</f>
        <v>750</v>
      </c>
      <c r="V37" s="136">
        <f>ZG!D40</f>
        <v>5.75</v>
      </c>
      <c r="W37" s="1">
        <f>ZG!E40</f>
        <v>750</v>
      </c>
      <c r="X37" s="136">
        <f>ZG!F40</f>
        <v>28.75</v>
      </c>
      <c r="Y37">
        <f>ZG!G40</f>
        <v>750</v>
      </c>
      <c r="Z37" s="136">
        <f>ZG!H40</f>
        <v>97.75</v>
      </c>
      <c r="AA37" s="1">
        <f>ZG!I40</f>
        <v>750</v>
      </c>
      <c r="AB37" s="136">
        <f>ZG!J40</f>
        <v>138</v>
      </c>
      <c r="AC37" s="1">
        <f>ZG!K40</f>
        <v>750</v>
      </c>
      <c r="AD37" s="136">
        <f>ZG!L40</f>
        <v>230</v>
      </c>
      <c r="AE37" s="1">
        <f>ZG!M40</f>
        <v>750</v>
      </c>
      <c r="AF37" s="136">
        <f>ZG!N40</f>
        <v>575</v>
      </c>
      <c r="AG37" s="1">
        <f>ZG!O40</f>
        <v>750</v>
      </c>
      <c r="AH37" s="136">
        <f>ZG!P40</f>
        <v>1150</v>
      </c>
      <c r="AI37" s="1">
        <f>ZG!Q40</f>
        <v>750</v>
      </c>
      <c r="AJ37" s="136">
        <f>ZG!R40</f>
        <v>2300</v>
      </c>
      <c r="AK37" s="30">
        <f>ZG!S40</f>
        <v>750</v>
      </c>
      <c r="AO37" s="29">
        <f>ZGP!B39</f>
        <v>5.75</v>
      </c>
      <c r="AP37" s="1">
        <f>ZGP!C39</f>
        <v>750</v>
      </c>
      <c r="AQ37" s="136">
        <f>ZGP!D39</f>
        <v>97.75</v>
      </c>
      <c r="AR37" s="1">
        <f>ZGP!E39</f>
        <v>750</v>
      </c>
      <c r="AS37" s="136">
        <f>ZGP!F39</f>
        <v>575</v>
      </c>
      <c r="AT37" s="30">
        <f>ZGP!G39</f>
        <v>750</v>
      </c>
      <c r="AV37" s="29">
        <f>HP!B39</f>
        <v>34.5</v>
      </c>
      <c r="AW37" s="1">
        <f>HP!C39</f>
        <v>750</v>
      </c>
      <c r="AX37" s="136">
        <f>HP!D39</f>
        <v>345</v>
      </c>
      <c r="AY37" s="1">
        <f>HP!E39</f>
        <v>750</v>
      </c>
      <c r="AZ37" s="136">
        <f>HP!F39</f>
        <v>1150</v>
      </c>
      <c r="BA37" s="30">
        <f>HP!G39</f>
        <v>750</v>
      </c>
      <c r="BC37" s="29">
        <f>HS!B39</f>
        <v>13.8</v>
      </c>
      <c r="BD37" s="1">
        <f>HS!C39</f>
        <v>750</v>
      </c>
      <c r="BE37" s="136">
        <f>HS!D39</f>
        <v>92</v>
      </c>
      <c r="BF37" s="1">
        <f>HS!E39</f>
        <v>750</v>
      </c>
      <c r="BG37" s="136">
        <f>HS!F39</f>
        <v>172.5</v>
      </c>
      <c r="BH37" s="30">
        <f>HS!G39</f>
        <v>750</v>
      </c>
      <c r="BJ37" s="29">
        <f>ZF!B39</f>
        <v>28.75</v>
      </c>
      <c r="BK37" s="1">
        <f>ZF!C39</f>
        <v>750</v>
      </c>
      <c r="BL37" s="136">
        <f>ZF!D39</f>
        <v>345</v>
      </c>
      <c r="BM37" s="30">
        <f>ZF!E39</f>
        <v>750</v>
      </c>
    </row>
    <row r="38" spans="20:65" ht="15.75" thickBot="1" x14ac:dyDescent="0.3">
      <c r="T38" s="33">
        <f>ZG!B41</f>
        <v>1</v>
      </c>
      <c r="U38" s="76">
        <f>ZG!C41</f>
        <v>800</v>
      </c>
      <c r="V38" s="141">
        <f>ZG!D41</f>
        <v>5</v>
      </c>
      <c r="W38" s="142">
        <f>ZG!E41</f>
        <v>800</v>
      </c>
      <c r="X38" s="141">
        <f>ZG!F41</f>
        <v>25</v>
      </c>
      <c r="Y38" s="76">
        <f>ZG!G41</f>
        <v>800</v>
      </c>
      <c r="Z38" s="141">
        <f>ZG!H41</f>
        <v>85</v>
      </c>
      <c r="AA38" s="142">
        <f>ZG!I41</f>
        <v>800</v>
      </c>
      <c r="AB38" s="141">
        <f>ZG!J41</f>
        <v>120</v>
      </c>
      <c r="AC38" s="142">
        <f>ZG!K41</f>
        <v>800</v>
      </c>
      <c r="AD38" s="141">
        <f>ZG!L41</f>
        <v>200</v>
      </c>
      <c r="AE38" s="142">
        <f>ZG!M41</f>
        <v>800</v>
      </c>
      <c r="AF38" s="141">
        <f>ZG!N41</f>
        <v>500</v>
      </c>
      <c r="AG38" s="142">
        <f>ZG!O41</f>
        <v>800</v>
      </c>
      <c r="AH38" s="141">
        <f>ZG!P41</f>
        <v>1000</v>
      </c>
      <c r="AI38" s="142">
        <f>ZG!Q41</f>
        <v>800</v>
      </c>
      <c r="AJ38" s="141">
        <f>ZG!R41</f>
        <v>2000</v>
      </c>
      <c r="AK38" s="34">
        <f>ZG!S41</f>
        <v>800</v>
      </c>
      <c r="AO38" s="33">
        <f>ZGP!B40</f>
        <v>5</v>
      </c>
      <c r="AP38" s="142">
        <f>ZGP!C40</f>
        <v>800</v>
      </c>
      <c r="AQ38" s="141">
        <f>ZGP!D40</f>
        <v>85</v>
      </c>
      <c r="AR38" s="142">
        <f>ZGP!E40</f>
        <v>800</v>
      </c>
      <c r="AS38" s="141">
        <f>ZGP!F40</f>
        <v>500</v>
      </c>
      <c r="AT38" s="34">
        <f>ZGP!G40</f>
        <v>800</v>
      </c>
      <c r="AV38" s="33">
        <f>HP!B40</f>
        <v>30</v>
      </c>
      <c r="AW38" s="142">
        <f>HP!C40</f>
        <v>800</v>
      </c>
      <c r="AX38" s="141">
        <f>HP!D40</f>
        <v>300</v>
      </c>
      <c r="AY38" s="142">
        <f>HP!E40</f>
        <v>800</v>
      </c>
      <c r="AZ38" s="141">
        <f>HP!F40</f>
        <v>1000</v>
      </c>
      <c r="BA38" s="34">
        <f>HP!G40</f>
        <v>800</v>
      </c>
      <c r="BC38" s="33">
        <f>HS!B40</f>
        <v>12</v>
      </c>
      <c r="BD38" s="142">
        <f>HS!C40</f>
        <v>800</v>
      </c>
      <c r="BE38" s="141">
        <f>HS!D40</f>
        <v>80</v>
      </c>
      <c r="BF38" s="142">
        <f>HS!E40</f>
        <v>800</v>
      </c>
      <c r="BG38" s="141">
        <f>HS!F40</f>
        <v>150</v>
      </c>
      <c r="BH38" s="34">
        <f>HS!G40</f>
        <v>800</v>
      </c>
      <c r="BJ38" s="33">
        <f>ZF!B40</f>
        <v>25</v>
      </c>
      <c r="BK38" s="142">
        <f>ZF!C40</f>
        <v>800</v>
      </c>
      <c r="BL38" s="141">
        <f>ZF!D40</f>
        <v>300</v>
      </c>
      <c r="BM38" s="34">
        <f>ZF!E40</f>
        <v>800</v>
      </c>
    </row>
  </sheetData>
  <mergeCells count="6">
    <mergeCell ref="T1:BM1"/>
    <mergeCell ref="F18:F25"/>
    <mergeCell ref="B1:D1"/>
    <mergeCell ref="H1:L1"/>
    <mergeCell ref="M1:Q1"/>
    <mergeCell ref="F3:F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B06F-D605-4FC0-BB7E-67DB323BCA96}">
  <sheetPr>
    <tabColor theme="2"/>
  </sheetPr>
  <dimension ref="B1:BM38"/>
  <sheetViews>
    <sheetView zoomScale="56" zoomScaleNormal="115" workbookViewId="0">
      <selection activeCell="W8" sqref="W8"/>
    </sheetView>
  </sheetViews>
  <sheetFormatPr defaultRowHeight="15" x14ac:dyDescent="0.25"/>
  <cols>
    <col min="2" max="2" width="23.5703125" customWidth="1"/>
    <col min="3" max="3" width="13" customWidth="1"/>
    <col min="6" max="6" width="10" customWidth="1"/>
    <col min="7" max="7" width="17.85546875" customWidth="1"/>
    <col min="8" max="8" width="17" customWidth="1"/>
    <col min="9" max="9" width="16.7109375" customWidth="1"/>
    <col min="10" max="10" width="16.7109375" style="70" customWidth="1"/>
    <col min="11" max="17" width="16.7109375" customWidth="1"/>
    <col min="20" max="20" width="8" bestFit="1" customWidth="1"/>
    <col min="21" max="21" width="8.85546875" bestFit="1" customWidth="1"/>
    <col min="22" max="22" width="8" bestFit="1" customWidth="1"/>
    <col min="23" max="23" width="8.85546875" bestFit="1" customWidth="1"/>
    <col min="24" max="24" width="8" bestFit="1" customWidth="1"/>
    <col min="25" max="25" width="8.85546875" bestFit="1" customWidth="1"/>
    <col min="26" max="26" width="8" bestFit="1" customWidth="1"/>
    <col min="27" max="27" width="8.85546875" bestFit="1" customWidth="1"/>
    <col min="28" max="28" width="8" bestFit="1" customWidth="1"/>
    <col min="29" max="29" width="8.85546875" bestFit="1" customWidth="1"/>
    <col min="30" max="30" width="8" bestFit="1" customWidth="1"/>
    <col min="31" max="31" width="8.85546875" bestFit="1" customWidth="1"/>
    <col min="32" max="32" width="8" bestFit="1" customWidth="1"/>
    <col min="33" max="33" width="8.85546875" bestFit="1" customWidth="1"/>
    <col min="34" max="34" width="8" bestFit="1" customWidth="1"/>
    <col min="35" max="35" width="8.85546875" bestFit="1" customWidth="1"/>
    <col min="36" max="36" width="8" bestFit="1" customWidth="1"/>
    <col min="37" max="37" width="8.85546875" bestFit="1" customWidth="1"/>
    <col min="38" max="39" width="8.85546875" customWidth="1"/>
    <col min="40" max="40" width="4.28515625" customWidth="1"/>
    <col min="41" max="41" width="8" bestFit="1" customWidth="1"/>
    <col min="42" max="42" width="8.85546875" bestFit="1" customWidth="1"/>
    <col min="43" max="43" width="8" bestFit="1" customWidth="1"/>
    <col min="44" max="44" width="8.85546875" bestFit="1" customWidth="1"/>
    <col min="45" max="45" width="8" bestFit="1" customWidth="1"/>
    <col min="46" max="46" width="8.85546875" bestFit="1" customWidth="1"/>
    <col min="47" max="47" width="5.140625" customWidth="1"/>
    <col min="48" max="48" width="8" bestFit="1" customWidth="1"/>
    <col min="49" max="49" width="8.85546875" bestFit="1" customWidth="1"/>
    <col min="50" max="50" width="8" bestFit="1" customWidth="1"/>
    <col min="51" max="51" width="8.85546875" bestFit="1" customWidth="1"/>
    <col min="52" max="52" width="8" bestFit="1" customWidth="1"/>
    <col min="53" max="53" width="8.85546875" bestFit="1" customWidth="1"/>
    <col min="54" max="54" width="4.85546875" customWidth="1"/>
    <col min="55" max="55" width="8" bestFit="1" customWidth="1"/>
    <col min="56" max="56" width="8.85546875" bestFit="1" customWidth="1"/>
    <col min="57" max="57" width="8" bestFit="1" customWidth="1"/>
    <col min="58" max="58" width="8.85546875" bestFit="1" customWidth="1"/>
    <col min="59" max="59" width="8" bestFit="1" customWidth="1"/>
    <col min="60" max="60" width="8.85546875" bestFit="1" customWidth="1"/>
    <col min="61" max="61" width="4.140625" customWidth="1"/>
    <col min="62" max="62" width="8" bestFit="1" customWidth="1"/>
    <col min="63" max="63" width="8.85546875" bestFit="1" customWidth="1"/>
    <col min="64" max="64" width="8" bestFit="1" customWidth="1"/>
    <col min="65" max="65" width="8.85546875" bestFit="1" customWidth="1"/>
  </cols>
  <sheetData>
    <row r="1" spans="2:65" ht="36.75" customHeight="1" thickBot="1" x14ac:dyDescent="0.3">
      <c r="B1" s="303" t="s">
        <v>133</v>
      </c>
      <c r="C1" s="304"/>
      <c r="D1" s="305"/>
      <c r="G1" s="30"/>
      <c r="H1" s="303" t="s">
        <v>158</v>
      </c>
      <c r="I1" s="304"/>
      <c r="J1" s="304"/>
      <c r="K1" s="304"/>
      <c r="L1" s="304"/>
      <c r="M1" s="306" t="s">
        <v>159</v>
      </c>
      <c r="N1" s="307"/>
      <c r="O1" s="307"/>
      <c r="P1" s="307"/>
      <c r="Q1" s="308"/>
      <c r="R1" s="182"/>
      <c r="T1" s="297" t="s">
        <v>152</v>
      </c>
      <c r="U1" s="298"/>
      <c r="V1" s="298"/>
      <c r="W1" s="298"/>
      <c r="X1" s="298"/>
      <c r="Y1" s="298"/>
      <c r="Z1" s="298"/>
      <c r="AA1" s="298"/>
      <c r="AB1" s="298"/>
      <c r="AC1" s="298"/>
      <c r="AD1" s="298"/>
      <c r="AE1" s="298"/>
      <c r="AF1" s="298"/>
      <c r="AG1" s="298"/>
      <c r="AH1" s="298"/>
      <c r="AI1" s="298"/>
      <c r="AJ1" s="298"/>
      <c r="AK1" s="298"/>
      <c r="AL1" s="298"/>
      <c r="AM1" s="298"/>
      <c r="AN1" s="298"/>
      <c r="AO1" s="298"/>
      <c r="AP1" s="298"/>
      <c r="AQ1" s="298"/>
      <c r="AR1" s="298"/>
      <c r="AS1" s="298"/>
      <c r="AT1" s="298"/>
      <c r="AU1" s="298"/>
      <c r="AV1" s="298"/>
      <c r="AW1" s="298"/>
      <c r="AX1" s="298"/>
      <c r="AY1" s="298"/>
      <c r="AZ1" s="298"/>
      <c r="BA1" s="298"/>
      <c r="BB1" s="298"/>
      <c r="BC1" s="298"/>
      <c r="BD1" s="298"/>
      <c r="BE1" s="298"/>
      <c r="BF1" s="298"/>
      <c r="BG1" s="298"/>
      <c r="BH1" s="298"/>
      <c r="BI1" s="298"/>
      <c r="BJ1" s="298"/>
      <c r="BK1" s="298"/>
      <c r="BL1" s="298"/>
      <c r="BM1" s="299"/>
    </row>
    <row r="2" spans="2:65" ht="15.75" thickBot="1" x14ac:dyDescent="0.3">
      <c r="B2" s="147" t="s">
        <v>6</v>
      </c>
      <c r="C2" s="110">
        <f>'Vessel dimension - DIN 28011'!$B$9</f>
        <v>193.7405</v>
      </c>
      <c r="D2" s="140" t="s">
        <v>11</v>
      </c>
      <c r="F2" s="76"/>
      <c r="G2" s="34"/>
      <c r="H2" s="160" t="s">
        <v>135</v>
      </c>
      <c r="I2" s="37" t="s">
        <v>136</v>
      </c>
      <c r="J2" s="38" t="s">
        <v>137</v>
      </c>
      <c r="K2" s="37" t="s">
        <v>138</v>
      </c>
      <c r="L2" s="157" t="s">
        <v>139</v>
      </c>
      <c r="M2" s="163" t="s">
        <v>135</v>
      </c>
      <c r="N2" s="154" t="s">
        <v>136</v>
      </c>
      <c r="O2" s="154" t="s">
        <v>137</v>
      </c>
      <c r="P2" s="154" t="s">
        <v>138</v>
      </c>
      <c r="Q2" s="164" t="s">
        <v>139</v>
      </c>
      <c r="R2" s="187"/>
      <c r="T2" s="143" t="str">
        <f>ZG!B5</f>
        <v>Volume</v>
      </c>
      <c r="U2" s="2" t="str">
        <f>ZG!C5</f>
        <v>Viscosity</v>
      </c>
      <c r="V2" s="137" t="str">
        <f>ZG!D5</f>
        <v>Volume</v>
      </c>
      <c r="W2" s="2" t="str">
        <f>ZG!E5</f>
        <v>Viscosity</v>
      </c>
      <c r="X2" s="137" t="str">
        <f>ZG!F5</f>
        <v>Volume</v>
      </c>
      <c r="Y2" s="2" t="str">
        <f>ZG!G5</f>
        <v>Viscosity</v>
      </c>
      <c r="Z2" s="137" t="str">
        <f>ZG!H5</f>
        <v>Volume</v>
      </c>
      <c r="AA2" s="2" t="str">
        <f>ZG!I5</f>
        <v>Viscosity</v>
      </c>
      <c r="AB2" s="137" t="str">
        <f>ZG!J5</f>
        <v>Volume</v>
      </c>
      <c r="AC2" s="2" t="str">
        <f>ZG!K5</f>
        <v>Viscosity</v>
      </c>
      <c r="AD2" s="137" t="str">
        <f>ZG!L5</f>
        <v>Volume</v>
      </c>
      <c r="AE2" s="2" t="str">
        <f>ZG!M5</f>
        <v>Viscosity</v>
      </c>
      <c r="AF2" s="137" t="str">
        <f>ZG!N5</f>
        <v>Volume</v>
      </c>
      <c r="AG2" s="2" t="str">
        <f>ZG!O5</f>
        <v>Viscosity</v>
      </c>
      <c r="AH2" s="137" t="str">
        <f>ZG!P5</f>
        <v>Volume</v>
      </c>
      <c r="AI2" s="2" t="str">
        <f>ZG!Q5</f>
        <v>Viscosity</v>
      </c>
      <c r="AJ2" s="137" t="str">
        <f>ZG!R5</f>
        <v>Volume</v>
      </c>
      <c r="AK2" s="144" t="str">
        <f>ZG!S5</f>
        <v>Viscosity</v>
      </c>
      <c r="AO2" s="143" t="str">
        <f>ZGP!B4</f>
        <v>Volume</v>
      </c>
      <c r="AP2" s="2" t="str">
        <f>ZGP!C4</f>
        <v>Viscosity</v>
      </c>
      <c r="AQ2" s="137" t="str">
        <f>ZGP!D4</f>
        <v>Volume</v>
      </c>
      <c r="AR2" s="2" t="str">
        <f>ZGP!E4</f>
        <v>Viscosity</v>
      </c>
      <c r="AS2" s="137" t="str">
        <f>ZGP!F4</f>
        <v>Volume</v>
      </c>
      <c r="AT2" s="144" t="str">
        <f>ZGP!G4</f>
        <v>Viscosity</v>
      </c>
      <c r="AV2" s="143" t="str">
        <f>HP!B4</f>
        <v>Volume</v>
      </c>
      <c r="AW2" s="2" t="str">
        <f>HP!C4</f>
        <v>Viscosity</v>
      </c>
      <c r="AX2" s="137" t="str">
        <f>HP!D4</f>
        <v>Volume</v>
      </c>
      <c r="AY2" s="2" t="str">
        <f>HP!E4</f>
        <v>Viscosity</v>
      </c>
      <c r="AZ2" s="137" t="str">
        <f>HP!F4</f>
        <v>Volume</v>
      </c>
      <c r="BA2" s="144" t="str">
        <f>HP!G4</f>
        <v>Viscosity</v>
      </c>
      <c r="BC2" s="143" t="str">
        <f>HS!B4</f>
        <v>Volume</v>
      </c>
      <c r="BD2" s="2" t="str">
        <f>HS!C4</f>
        <v>Viscosity</v>
      </c>
      <c r="BE2" s="137" t="str">
        <f>HS!D4</f>
        <v>Volume</v>
      </c>
      <c r="BF2" s="2" t="str">
        <f>HS!E4</f>
        <v>Viscosity</v>
      </c>
      <c r="BG2" s="137" t="str">
        <f>HS!F4</f>
        <v>Volume</v>
      </c>
      <c r="BH2" s="144" t="str">
        <f>HS!G4</f>
        <v>Viscosity</v>
      </c>
      <c r="BJ2" s="143" t="str">
        <f>ZF!B4</f>
        <v>Volume</v>
      </c>
      <c r="BK2" s="2" t="str">
        <f>ZF!C4</f>
        <v>Viscosity</v>
      </c>
      <c r="BL2" s="137" t="str">
        <f>ZF!D4</f>
        <v>Volume</v>
      </c>
      <c r="BM2" s="144" t="str">
        <f>ZF!E4</f>
        <v>Viscosity</v>
      </c>
    </row>
    <row r="3" spans="2:65" ht="15" customHeight="1" x14ac:dyDescent="0.25">
      <c r="B3" s="147" t="s">
        <v>7</v>
      </c>
      <c r="C3" s="110" t="e">
        <f>#REF!</f>
        <v>#REF!</v>
      </c>
      <c r="D3" s="140" t="s">
        <v>11</v>
      </c>
      <c r="F3" s="300" t="s">
        <v>140</v>
      </c>
      <c r="G3" s="166" t="s">
        <v>9</v>
      </c>
      <c r="H3" s="3" t="str">
        <f>ZG!$B$44</f>
        <v>ZG9</v>
      </c>
      <c r="I3" s="3" t="str">
        <f>ZGP!$B$44</f>
        <v>N/A</v>
      </c>
      <c r="J3" s="4" t="str">
        <f>HP!$B$44</f>
        <v>HP8</v>
      </c>
      <c r="K3" s="3" t="str">
        <f>HS!$B$44</f>
        <v>N/A</v>
      </c>
      <c r="L3" s="138" t="str">
        <f>ZF!$B$44</f>
        <v>N/A</v>
      </c>
      <c r="M3" s="158">
        <f>ZG!$B$45</f>
        <v>0</v>
      </c>
      <c r="N3" s="3" t="str">
        <f>ZGP!$B$45</f>
        <v>ZGP5</v>
      </c>
      <c r="O3" s="3">
        <f>HP!$B$46</f>
        <v>0</v>
      </c>
      <c r="P3" s="3">
        <f>HS!$B$46</f>
        <v>0</v>
      </c>
      <c r="Q3" s="151">
        <f>ZF!$B$46</f>
        <v>0</v>
      </c>
      <c r="R3" s="188"/>
      <c r="T3" s="139" t="str">
        <f>ZG!B6</f>
        <v>ZG1</v>
      </c>
      <c r="U3" s="5" t="str">
        <f>ZG!C6</f>
        <v>ZG1</v>
      </c>
      <c r="V3" s="138" t="str">
        <f>ZG!D6</f>
        <v>ZG2</v>
      </c>
      <c r="W3" s="5" t="str">
        <f>ZG!E6</f>
        <v>ZG2</v>
      </c>
      <c r="X3" s="138" t="str">
        <f>ZG!F6</f>
        <v>ZG3</v>
      </c>
      <c r="Y3" s="5" t="str">
        <f>ZG!G6</f>
        <v>ZG3</v>
      </c>
      <c r="Z3" s="138" t="str">
        <f>ZG!H6</f>
        <v>ZG5</v>
      </c>
      <c r="AA3" s="5" t="str">
        <f>ZG!I6</f>
        <v>ZG5</v>
      </c>
      <c r="AB3" s="138" t="str">
        <f>ZG!J6</f>
        <v>ZG6</v>
      </c>
      <c r="AC3" s="5" t="str">
        <f>ZG!K6</f>
        <v>ZG6</v>
      </c>
      <c r="AD3" s="138" t="str">
        <f>ZG!L6</f>
        <v>ZG7</v>
      </c>
      <c r="AE3" s="5" t="str">
        <f>ZG!M6</f>
        <v>ZG7</v>
      </c>
      <c r="AF3" s="138" t="str">
        <f>ZG!N6</f>
        <v>ZG8</v>
      </c>
      <c r="AG3" s="5" t="str">
        <f>ZG!O6</f>
        <v>ZG8</v>
      </c>
      <c r="AH3" s="138" t="str">
        <f>ZG!P6</f>
        <v>ZG9</v>
      </c>
      <c r="AI3" s="5" t="str">
        <f>ZG!Q6</f>
        <v>ZG9</v>
      </c>
      <c r="AJ3" s="138" t="str">
        <f>ZG!R6</f>
        <v>ZG10</v>
      </c>
      <c r="AK3" s="140" t="str">
        <f>ZG!S6</f>
        <v>ZG10</v>
      </c>
      <c r="AO3" s="143" t="str">
        <f>ZGP!B5</f>
        <v>ZGP2</v>
      </c>
      <c r="AP3" s="2" t="str">
        <f>ZGP!C5</f>
        <v>ZGP2</v>
      </c>
      <c r="AQ3" s="137" t="str">
        <f>ZGP!D5</f>
        <v>ZGP5</v>
      </c>
      <c r="AR3" s="2" t="str">
        <f>ZGP!E5</f>
        <v>ZGP5</v>
      </c>
      <c r="AS3" s="137" t="str">
        <f>ZGP!F5</f>
        <v>ZGP8</v>
      </c>
      <c r="AT3" s="144" t="str">
        <f>ZGP!G5</f>
        <v>ZGP8</v>
      </c>
      <c r="AV3" s="139" t="str">
        <f>HP!B5</f>
        <v>HP2</v>
      </c>
      <c r="AW3" s="5" t="str">
        <f>HP!C5</f>
        <v>HP2</v>
      </c>
      <c r="AX3" s="138" t="str">
        <f>HP!D5</f>
        <v>HP5</v>
      </c>
      <c r="AY3" s="5" t="str">
        <f>HP!E5</f>
        <v>HP5</v>
      </c>
      <c r="AZ3" s="138" t="str">
        <f>HP!F5</f>
        <v>HP8</v>
      </c>
      <c r="BA3" s="140" t="str">
        <f>HP!G5</f>
        <v>HP8</v>
      </c>
      <c r="BC3" s="139" t="str">
        <f>HS!B5</f>
        <v>HS2</v>
      </c>
      <c r="BD3" s="5" t="str">
        <f>HS!C5</f>
        <v>HS2</v>
      </c>
      <c r="BE3" s="138" t="str">
        <f>HS!D5</f>
        <v>HS5</v>
      </c>
      <c r="BF3" s="5" t="str">
        <f>HS!E5</f>
        <v>HS5</v>
      </c>
      <c r="BG3" s="138" t="str">
        <f>HS!F5</f>
        <v>HS8</v>
      </c>
      <c r="BH3" s="140" t="str">
        <f>HS!G5</f>
        <v>HS8</v>
      </c>
      <c r="BJ3" s="139" t="str">
        <f>ZF!B5</f>
        <v>ZF100</v>
      </c>
      <c r="BK3" s="5" t="str">
        <f>ZF!C5</f>
        <v>ZF100</v>
      </c>
      <c r="BL3" s="138" t="str">
        <f>ZF!D5</f>
        <v>ZF160</v>
      </c>
      <c r="BM3" s="140" t="str">
        <f>ZF!E5</f>
        <v>ZF160</v>
      </c>
    </row>
    <row r="4" spans="2:65" ht="30" x14ac:dyDescent="0.25">
      <c r="B4" s="147" t="s">
        <v>8</v>
      </c>
      <c r="C4" s="111" t="e">
        <f>#REF!</f>
        <v>#REF!</v>
      </c>
      <c r="D4" s="140"/>
      <c r="F4" s="301"/>
      <c r="G4" s="167" t="s">
        <v>10</v>
      </c>
      <c r="H4" s="3">
        <f>ZG!$X$49</f>
        <v>243</v>
      </c>
      <c r="I4" s="3" t="str">
        <f>ZGP!$U$48</f>
        <v>N/A</v>
      </c>
      <c r="J4" s="4">
        <f>HP!$S$47</f>
        <v>1689</v>
      </c>
      <c r="K4" s="3" t="str">
        <f>HS!$S$47</f>
        <v>N/A</v>
      </c>
      <c r="L4" s="138" t="str">
        <f>ZF!$S$47</f>
        <v>N/A</v>
      </c>
      <c r="M4" s="158" t="str">
        <f>ZG!$X62</f>
        <v>Max speed</v>
      </c>
      <c r="N4" s="3">
        <f>ZGP!$U56</f>
        <v>487</v>
      </c>
      <c r="O4" s="3">
        <f>HP!$S55</f>
        <v>1690</v>
      </c>
      <c r="P4" s="3">
        <f>HS!$B64</f>
        <v>0</v>
      </c>
      <c r="Q4" s="151">
        <f>ZF!$B61</f>
        <v>0</v>
      </c>
      <c r="R4" s="188" t="s">
        <v>12</v>
      </c>
      <c r="T4" s="29">
        <f>ZG!B7</f>
        <v>10</v>
      </c>
      <c r="U4">
        <f>ZG!C7</f>
        <v>1</v>
      </c>
      <c r="V4" s="136">
        <f>ZG!D7</f>
        <v>50</v>
      </c>
      <c r="W4" s="1">
        <f>ZG!E7</f>
        <v>1</v>
      </c>
      <c r="X4" s="136">
        <f>ZG!F7</f>
        <v>250</v>
      </c>
      <c r="Y4">
        <f>ZG!G7</f>
        <v>1</v>
      </c>
      <c r="Z4" s="136">
        <f>ZG!H7</f>
        <v>850</v>
      </c>
      <c r="AA4" s="1">
        <f>ZG!I7</f>
        <v>1</v>
      </c>
      <c r="AB4" s="136">
        <f>ZG!J7</f>
        <v>1200</v>
      </c>
      <c r="AC4" s="1">
        <f>ZG!K7</f>
        <v>1</v>
      </c>
      <c r="AD4" s="136">
        <f>ZG!L7</f>
        <v>2000</v>
      </c>
      <c r="AE4" s="1">
        <f>ZG!M7</f>
        <v>1</v>
      </c>
      <c r="AF4" s="136">
        <f>ZG!N7</f>
        <v>5000</v>
      </c>
      <c r="AG4" s="1">
        <f>ZG!O7</f>
        <v>1</v>
      </c>
      <c r="AH4" s="136">
        <f>ZG!P7</f>
        <v>10000</v>
      </c>
      <c r="AI4" s="1">
        <f>ZG!Q7</f>
        <v>1</v>
      </c>
      <c r="AJ4" s="136">
        <f>ZG!R7</f>
        <v>20000</v>
      </c>
      <c r="AK4" s="30">
        <f>ZG!S7</f>
        <v>1</v>
      </c>
      <c r="AO4" s="145">
        <f>ZGP!B6</f>
        <v>50</v>
      </c>
      <c r="AP4" s="135">
        <f>ZGP!C6</f>
        <v>1</v>
      </c>
      <c r="AQ4" s="134">
        <f>ZGP!D6</f>
        <v>850</v>
      </c>
      <c r="AR4" s="135">
        <f>ZGP!E6</f>
        <v>1</v>
      </c>
      <c r="AS4" s="134">
        <f>ZGP!F6</f>
        <v>5000</v>
      </c>
      <c r="AT4" s="146">
        <f>ZGP!G6</f>
        <v>1</v>
      </c>
      <c r="AV4" s="29">
        <f>HP!B6</f>
        <v>300</v>
      </c>
      <c r="AW4" s="1">
        <f>HP!C6</f>
        <v>1</v>
      </c>
      <c r="AX4" s="136">
        <f>HP!D6</f>
        <v>3000</v>
      </c>
      <c r="AY4" s="1">
        <f>HP!E6</f>
        <v>1</v>
      </c>
      <c r="AZ4" s="136">
        <f>HP!F6</f>
        <v>10000</v>
      </c>
      <c r="BA4" s="30">
        <f>HP!G6</f>
        <v>1</v>
      </c>
      <c r="BC4" s="145">
        <f>HS!B6</f>
        <v>120</v>
      </c>
      <c r="BD4" s="135">
        <f>HS!C6</f>
        <v>1</v>
      </c>
      <c r="BE4" s="134">
        <f>HS!D6</f>
        <v>800</v>
      </c>
      <c r="BF4" s="135">
        <f>HS!E6</f>
        <v>1</v>
      </c>
      <c r="BG4" s="134">
        <f>HS!F6</f>
        <v>1500</v>
      </c>
      <c r="BH4" s="146">
        <f>HS!G6</f>
        <v>1</v>
      </c>
      <c r="BJ4" s="145">
        <f>ZF!B6</f>
        <v>250</v>
      </c>
      <c r="BK4" s="135">
        <f>ZF!C6</f>
        <v>1</v>
      </c>
      <c r="BL4" s="134">
        <f>ZF!D6</f>
        <v>3000</v>
      </c>
      <c r="BM4" s="146">
        <f>ZF!E6</f>
        <v>1</v>
      </c>
    </row>
    <row r="5" spans="2:65" ht="30" x14ac:dyDescent="0.25">
      <c r="B5" s="147" t="s">
        <v>134</v>
      </c>
      <c r="C5" s="110" t="e">
        <f>#REF!+#REF!</f>
        <v>#REF!</v>
      </c>
      <c r="D5" s="140" t="s">
        <v>11</v>
      </c>
      <c r="F5" s="301"/>
      <c r="G5" s="167" t="s">
        <v>144</v>
      </c>
      <c r="H5" s="127">
        <f>ZG!$X$50</f>
        <v>0.10802066145558185</v>
      </c>
      <c r="I5" s="44" t="str">
        <f>ZGP!$U$49</f>
        <v>N/A</v>
      </c>
      <c r="J5" s="170">
        <f>HP!$S$48</f>
        <v>0.5402156487816977</v>
      </c>
      <c r="K5" s="44" t="str">
        <f>HS!$S$48</f>
        <v>N/A</v>
      </c>
      <c r="L5" s="155" t="str">
        <f>ZF!$S$48</f>
        <v>N/A</v>
      </c>
      <c r="M5" s="162">
        <f>ZG!$X63</f>
        <v>0</v>
      </c>
      <c r="N5" s="3">
        <f>ZGP!$U57</f>
        <v>2.7172207151914044E-2</v>
      </c>
      <c r="O5" s="3">
        <f>HP!$S56</f>
        <v>8.5573738094673987E-2</v>
      </c>
      <c r="P5" s="3">
        <f>HS!$B65</f>
        <v>0</v>
      </c>
      <c r="Q5" s="151">
        <f>ZF!$B62</f>
        <v>0</v>
      </c>
      <c r="R5" s="188" t="s">
        <v>14</v>
      </c>
      <c r="T5" s="29">
        <f>ZG!B8</f>
        <v>9.1</v>
      </c>
      <c r="U5">
        <f>ZG!C8</f>
        <v>5</v>
      </c>
      <c r="V5" s="136">
        <f>ZG!D8</f>
        <v>45.5</v>
      </c>
      <c r="W5" s="1">
        <f>ZG!E8</f>
        <v>5</v>
      </c>
      <c r="X5" s="136">
        <f>ZG!F8</f>
        <v>227.5</v>
      </c>
      <c r="Y5">
        <f>ZG!G8</f>
        <v>5</v>
      </c>
      <c r="Z5" s="136">
        <f>ZG!H8</f>
        <v>773.5</v>
      </c>
      <c r="AA5" s="1">
        <f>ZG!I8</f>
        <v>5</v>
      </c>
      <c r="AB5" s="136">
        <f>ZG!J8</f>
        <v>1092</v>
      </c>
      <c r="AC5" s="1">
        <f>ZG!K8</f>
        <v>5</v>
      </c>
      <c r="AD5" s="136">
        <f>ZG!L8</f>
        <v>1820</v>
      </c>
      <c r="AE5" s="1">
        <f>ZG!M8</f>
        <v>5</v>
      </c>
      <c r="AF5" s="136">
        <f>ZG!N8</f>
        <v>4550</v>
      </c>
      <c r="AG5" s="1">
        <f>ZG!O8</f>
        <v>5</v>
      </c>
      <c r="AH5" s="136">
        <f>ZG!P8</f>
        <v>9100</v>
      </c>
      <c r="AI5" s="1">
        <f>ZG!Q8</f>
        <v>5</v>
      </c>
      <c r="AJ5" s="136">
        <f>ZG!R8</f>
        <v>18200</v>
      </c>
      <c r="AK5" s="30">
        <f>ZG!S8</f>
        <v>5</v>
      </c>
      <c r="AO5" s="29">
        <f>ZGP!B7</f>
        <v>45.5</v>
      </c>
      <c r="AP5" s="1">
        <f>ZGP!C7</f>
        <v>5</v>
      </c>
      <c r="AQ5" s="136">
        <f>ZGP!D7</f>
        <v>773.5</v>
      </c>
      <c r="AR5" s="1">
        <f>ZGP!E7</f>
        <v>5</v>
      </c>
      <c r="AS5" s="136">
        <f>ZGP!F7</f>
        <v>4550</v>
      </c>
      <c r="AT5" s="30">
        <f>ZGP!G7</f>
        <v>5</v>
      </c>
      <c r="AV5" s="29">
        <f>HP!B7</f>
        <v>273</v>
      </c>
      <c r="AW5" s="1">
        <f>HP!C7</f>
        <v>5</v>
      </c>
      <c r="AX5" s="136">
        <f>HP!D7</f>
        <v>2730</v>
      </c>
      <c r="AY5" s="1">
        <f>HP!E7</f>
        <v>5</v>
      </c>
      <c r="AZ5" s="136">
        <f>HP!F7</f>
        <v>9100</v>
      </c>
      <c r="BA5" s="30">
        <f>HP!G7</f>
        <v>5</v>
      </c>
      <c r="BC5" s="29">
        <f>HS!B7</f>
        <v>109.2</v>
      </c>
      <c r="BD5" s="1">
        <f>HS!C7</f>
        <v>5</v>
      </c>
      <c r="BE5" s="136">
        <f>HS!D7</f>
        <v>728</v>
      </c>
      <c r="BF5" s="1">
        <f>HS!E7</f>
        <v>5</v>
      </c>
      <c r="BG5" s="136">
        <f>HS!F7</f>
        <v>1365</v>
      </c>
      <c r="BH5" s="30">
        <f>HS!G7</f>
        <v>5</v>
      </c>
      <c r="BJ5" s="29">
        <f>ZF!B7</f>
        <v>227.5</v>
      </c>
      <c r="BK5" s="1">
        <f>ZF!C7</f>
        <v>5</v>
      </c>
      <c r="BL5" s="136">
        <f>ZF!D7</f>
        <v>2730</v>
      </c>
      <c r="BM5" s="30">
        <f>ZF!E7</f>
        <v>5</v>
      </c>
    </row>
    <row r="6" spans="2:65" ht="30" x14ac:dyDescent="0.25">
      <c r="B6" s="147" t="s">
        <v>132</v>
      </c>
      <c r="C6" s="110" t="e">
        <f>#REF!</f>
        <v>#REF!</v>
      </c>
      <c r="D6" s="140" t="s">
        <v>11</v>
      </c>
      <c r="F6" s="301"/>
      <c r="G6" s="167" t="s">
        <v>145</v>
      </c>
      <c r="H6" s="44">
        <f>ZG!$X$51</f>
        <v>3.8150999999999997</v>
      </c>
      <c r="I6" s="44" t="str">
        <f>ZGP!$U$50</f>
        <v>N/A</v>
      </c>
      <c r="J6" s="170">
        <f>HP!$S$49</f>
        <v>12.021176000000001</v>
      </c>
      <c r="K6" s="44" t="str">
        <f>HS!$S$49</f>
        <v>N/A</v>
      </c>
      <c r="L6" s="155" t="str">
        <f>ZF!$S$49</f>
        <v>N/A</v>
      </c>
      <c r="M6" s="159">
        <f>ZG!$X64</f>
        <v>1.325354698051066</v>
      </c>
      <c r="N6" s="3">
        <f>ZGP!$U58</f>
        <v>3.8229499999999996</v>
      </c>
      <c r="O6" s="3">
        <f>HP!$S57</f>
        <v>9.1096633333333354</v>
      </c>
      <c r="P6" s="3">
        <f>HS!$B66</f>
        <v>0</v>
      </c>
      <c r="Q6" s="151">
        <f>ZF!$B63</f>
        <v>0</v>
      </c>
      <c r="R6" s="188" t="s">
        <v>16</v>
      </c>
      <c r="T6" s="29">
        <f>ZG!B9</f>
        <v>8.3000000000000007</v>
      </c>
      <c r="U6">
        <f>ZG!C9</f>
        <v>10</v>
      </c>
      <c r="V6" s="136">
        <f>ZG!D9</f>
        <v>41.5</v>
      </c>
      <c r="W6" s="1">
        <f>ZG!E9</f>
        <v>10</v>
      </c>
      <c r="X6" s="136">
        <f>ZG!F9</f>
        <v>207.5</v>
      </c>
      <c r="Y6">
        <f>ZG!G9</f>
        <v>10</v>
      </c>
      <c r="Z6" s="136">
        <f>ZG!H9</f>
        <v>705.5</v>
      </c>
      <c r="AA6" s="1">
        <f>ZG!I9</f>
        <v>10</v>
      </c>
      <c r="AB6" s="136">
        <f>ZG!J9</f>
        <v>996</v>
      </c>
      <c r="AC6" s="1">
        <f>ZG!K9</f>
        <v>10</v>
      </c>
      <c r="AD6" s="136">
        <f>ZG!L9</f>
        <v>1660</v>
      </c>
      <c r="AE6" s="1">
        <f>ZG!M9</f>
        <v>10</v>
      </c>
      <c r="AF6" s="136">
        <f>ZG!N9</f>
        <v>4150</v>
      </c>
      <c r="AG6" s="1">
        <f>ZG!O9</f>
        <v>10</v>
      </c>
      <c r="AH6" s="136">
        <f>ZG!P9</f>
        <v>8300</v>
      </c>
      <c r="AI6" s="1">
        <f>ZG!Q9</f>
        <v>10</v>
      </c>
      <c r="AJ6" s="136">
        <f>ZG!R9</f>
        <v>16600</v>
      </c>
      <c r="AK6" s="30">
        <f>ZG!S9</f>
        <v>10</v>
      </c>
      <c r="AO6" s="29">
        <f>ZGP!B8</f>
        <v>41.5</v>
      </c>
      <c r="AP6" s="1">
        <f>ZGP!C8</f>
        <v>10</v>
      </c>
      <c r="AQ6" s="136">
        <f>ZGP!D8</f>
        <v>705.5</v>
      </c>
      <c r="AR6" s="1">
        <f>ZGP!E8</f>
        <v>10</v>
      </c>
      <c r="AS6" s="136">
        <f>ZGP!F8</f>
        <v>4150</v>
      </c>
      <c r="AT6" s="30">
        <f>ZGP!G8</f>
        <v>10</v>
      </c>
      <c r="AV6" s="29">
        <f>HP!B8</f>
        <v>249</v>
      </c>
      <c r="AW6" s="1">
        <f>HP!C8</f>
        <v>10</v>
      </c>
      <c r="AX6" s="136">
        <f>HP!D8</f>
        <v>2490</v>
      </c>
      <c r="AY6" s="1">
        <f>HP!E8</f>
        <v>10</v>
      </c>
      <c r="AZ6" s="136">
        <f>HP!F8</f>
        <v>8300</v>
      </c>
      <c r="BA6" s="30">
        <f>HP!G8</f>
        <v>10</v>
      </c>
      <c r="BC6" s="29">
        <f>HS!B8</f>
        <v>99.6</v>
      </c>
      <c r="BD6" s="1">
        <f>HS!C8</f>
        <v>10</v>
      </c>
      <c r="BE6" s="136">
        <f>HS!D8</f>
        <v>664</v>
      </c>
      <c r="BF6" s="1">
        <f>HS!E8</f>
        <v>10</v>
      </c>
      <c r="BG6" s="136">
        <f>HS!F8</f>
        <v>1245</v>
      </c>
      <c r="BH6" s="30">
        <f>HS!G8</f>
        <v>10</v>
      </c>
      <c r="BJ6" s="29">
        <f>ZF!B8</f>
        <v>207.5</v>
      </c>
      <c r="BK6" s="1">
        <f>ZF!C8</f>
        <v>10</v>
      </c>
      <c r="BL6" s="136">
        <f>ZF!D8</f>
        <v>2490</v>
      </c>
      <c r="BM6" s="30">
        <f>ZF!E8</f>
        <v>10</v>
      </c>
    </row>
    <row r="7" spans="2:65" ht="30.75" thickBot="1" x14ac:dyDescent="0.3">
      <c r="B7" s="148" t="s">
        <v>130</v>
      </c>
      <c r="C7" s="149" t="e">
        <f>#REF!</f>
        <v>#REF!</v>
      </c>
      <c r="D7" s="150"/>
      <c r="F7" s="301"/>
      <c r="G7" s="168" t="s">
        <v>162</v>
      </c>
      <c r="H7" s="129">
        <v>0</v>
      </c>
      <c r="I7" s="129">
        <v>0</v>
      </c>
      <c r="J7" s="129">
        <v>0</v>
      </c>
      <c r="K7" s="129">
        <v>0</v>
      </c>
      <c r="L7" s="129">
        <v>0</v>
      </c>
      <c r="M7" s="129">
        <v>0</v>
      </c>
      <c r="N7" s="129">
        <v>0</v>
      </c>
      <c r="O7" s="129">
        <v>0</v>
      </c>
      <c r="P7" s="129">
        <v>0</v>
      </c>
      <c r="Q7" s="129">
        <v>0</v>
      </c>
      <c r="R7" s="195">
        <v>0</v>
      </c>
      <c r="T7" s="29">
        <f>ZG!B10</f>
        <v>7.7</v>
      </c>
      <c r="U7">
        <f>ZG!C10</f>
        <v>15</v>
      </c>
      <c r="V7" s="136">
        <f>ZG!D10</f>
        <v>38.5</v>
      </c>
      <c r="W7" s="1">
        <f>ZG!E10</f>
        <v>15</v>
      </c>
      <c r="X7" s="136">
        <f>ZG!F10</f>
        <v>192.5</v>
      </c>
      <c r="Y7">
        <f>ZG!G10</f>
        <v>15</v>
      </c>
      <c r="Z7" s="136">
        <f>ZG!H10</f>
        <v>654.5</v>
      </c>
      <c r="AA7" s="1">
        <f>ZG!I10</f>
        <v>15</v>
      </c>
      <c r="AB7" s="136">
        <f>ZG!J10</f>
        <v>924</v>
      </c>
      <c r="AC7" s="1">
        <f>ZG!K10</f>
        <v>15</v>
      </c>
      <c r="AD7" s="136">
        <f>ZG!L10</f>
        <v>1540</v>
      </c>
      <c r="AE7" s="1">
        <f>ZG!M10</f>
        <v>15</v>
      </c>
      <c r="AF7" s="136">
        <f>ZG!N10</f>
        <v>3850</v>
      </c>
      <c r="AG7" s="1">
        <f>ZG!O10</f>
        <v>15</v>
      </c>
      <c r="AH7" s="136">
        <f>ZG!P10</f>
        <v>7700</v>
      </c>
      <c r="AI7" s="1">
        <f>ZG!Q10</f>
        <v>15</v>
      </c>
      <c r="AJ7" s="136">
        <f>ZG!R10</f>
        <v>15400</v>
      </c>
      <c r="AK7" s="30">
        <f>ZG!S10</f>
        <v>15</v>
      </c>
      <c r="AO7" s="29">
        <f>ZGP!B9</f>
        <v>38.5</v>
      </c>
      <c r="AP7" s="1">
        <f>ZGP!C9</f>
        <v>15</v>
      </c>
      <c r="AQ7" s="136">
        <f>ZGP!D9</f>
        <v>654.5</v>
      </c>
      <c r="AR7" s="1">
        <f>ZGP!E9</f>
        <v>15</v>
      </c>
      <c r="AS7" s="136">
        <f>ZGP!F9</f>
        <v>3850</v>
      </c>
      <c r="AT7" s="30">
        <f>ZGP!G9</f>
        <v>15</v>
      </c>
      <c r="AV7" s="29">
        <f>HP!B9</f>
        <v>231</v>
      </c>
      <c r="AW7" s="1">
        <f>HP!C9</f>
        <v>15</v>
      </c>
      <c r="AX7" s="136">
        <f>HP!D9</f>
        <v>2310</v>
      </c>
      <c r="AY7" s="1">
        <f>HP!E9</f>
        <v>15</v>
      </c>
      <c r="AZ7" s="136">
        <f>HP!F9</f>
        <v>7700</v>
      </c>
      <c r="BA7" s="30">
        <f>HP!G9</f>
        <v>15</v>
      </c>
      <c r="BC7" s="29">
        <f>HS!B9</f>
        <v>92.4</v>
      </c>
      <c r="BD7" s="1">
        <f>HS!C9</f>
        <v>15</v>
      </c>
      <c r="BE7" s="136">
        <f>HS!D9</f>
        <v>616</v>
      </c>
      <c r="BF7" s="1">
        <f>HS!E9</f>
        <v>15</v>
      </c>
      <c r="BG7" s="136">
        <f>HS!F9</f>
        <v>1155</v>
      </c>
      <c r="BH7" s="30">
        <f>HS!G9</f>
        <v>15</v>
      </c>
      <c r="BJ7" s="29">
        <f>ZF!B9</f>
        <v>192.5</v>
      </c>
      <c r="BK7" s="1">
        <f>ZF!C9</f>
        <v>15</v>
      </c>
      <c r="BL7" s="136">
        <f>ZF!D9</f>
        <v>2310</v>
      </c>
      <c r="BM7" s="30">
        <f>ZF!E9</f>
        <v>15</v>
      </c>
    </row>
    <row r="8" spans="2:65" ht="45" x14ac:dyDescent="0.25">
      <c r="F8" s="301"/>
      <c r="G8" s="168" t="s">
        <v>166</v>
      </c>
      <c r="H8" s="129">
        <v>0</v>
      </c>
      <c r="I8" s="129">
        <v>0</v>
      </c>
      <c r="J8" s="129">
        <v>0</v>
      </c>
      <c r="K8" s="129">
        <v>0</v>
      </c>
      <c r="L8" s="129">
        <v>0</v>
      </c>
      <c r="M8" s="129">
        <v>0</v>
      </c>
      <c r="N8" s="129">
        <v>0</v>
      </c>
      <c r="O8" s="129">
        <v>0</v>
      </c>
      <c r="P8" s="129">
        <v>0</v>
      </c>
      <c r="Q8" s="129">
        <v>0</v>
      </c>
      <c r="R8" s="195" t="s">
        <v>163</v>
      </c>
      <c r="T8" s="29">
        <f>ZG!B11</f>
        <v>7.2</v>
      </c>
      <c r="U8">
        <f>ZG!C11</f>
        <v>20</v>
      </c>
      <c r="V8" s="136">
        <f>ZG!D11</f>
        <v>36</v>
      </c>
      <c r="W8" s="1">
        <f>ZG!E11</f>
        <v>20</v>
      </c>
      <c r="X8" s="136">
        <f>ZG!F11</f>
        <v>180</v>
      </c>
      <c r="Y8">
        <f>ZG!G11</f>
        <v>20</v>
      </c>
      <c r="Z8" s="136">
        <f>ZG!H11</f>
        <v>612</v>
      </c>
      <c r="AA8" s="1">
        <f>ZG!I11</f>
        <v>20</v>
      </c>
      <c r="AB8" s="136">
        <f>ZG!J11</f>
        <v>864</v>
      </c>
      <c r="AC8" s="1">
        <f>ZG!K11</f>
        <v>20</v>
      </c>
      <c r="AD8" s="136">
        <f>ZG!L11</f>
        <v>1440</v>
      </c>
      <c r="AE8" s="1">
        <f>ZG!M11</f>
        <v>20</v>
      </c>
      <c r="AF8" s="136">
        <f>ZG!N11</f>
        <v>3600</v>
      </c>
      <c r="AG8" s="1">
        <f>ZG!O11</f>
        <v>20</v>
      </c>
      <c r="AH8" s="136">
        <f>ZG!P11</f>
        <v>7200</v>
      </c>
      <c r="AI8" s="1">
        <f>ZG!Q11</f>
        <v>20</v>
      </c>
      <c r="AJ8" s="136">
        <f>ZG!R11</f>
        <v>14400</v>
      </c>
      <c r="AK8" s="30">
        <f>ZG!S11</f>
        <v>20</v>
      </c>
      <c r="AO8" s="29">
        <f>ZGP!B10</f>
        <v>36</v>
      </c>
      <c r="AP8" s="1">
        <f>ZGP!C10</f>
        <v>20</v>
      </c>
      <c r="AQ8" s="136">
        <f>ZGP!D10</f>
        <v>612</v>
      </c>
      <c r="AR8" s="1">
        <f>ZGP!E10</f>
        <v>20</v>
      </c>
      <c r="AS8" s="136">
        <f>ZGP!F10</f>
        <v>3600</v>
      </c>
      <c r="AT8" s="30">
        <f>ZGP!G10</f>
        <v>20</v>
      </c>
      <c r="AV8" s="29">
        <f>HP!B10</f>
        <v>216</v>
      </c>
      <c r="AW8" s="1">
        <f>HP!C10</f>
        <v>20</v>
      </c>
      <c r="AX8" s="136">
        <f>HP!D10</f>
        <v>2160</v>
      </c>
      <c r="AY8" s="1">
        <f>HP!E10</f>
        <v>20</v>
      </c>
      <c r="AZ8" s="136">
        <f>HP!F10</f>
        <v>7200</v>
      </c>
      <c r="BA8" s="30">
        <f>HP!G10</f>
        <v>20</v>
      </c>
      <c r="BC8" s="29">
        <f>HS!B10</f>
        <v>86.4</v>
      </c>
      <c r="BD8" s="1">
        <f>HS!C10</f>
        <v>20</v>
      </c>
      <c r="BE8" s="136">
        <f>HS!D10</f>
        <v>576</v>
      </c>
      <c r="BF8" s="1">
        <f>HS!E10</f>
        <v>20</v>
      </c>
      <c r="BG8" s="136">
        <f>HS!F10</f>
        <v>1080</v>
      </c>
      <c r="BH8" s="30">
        <f>HS!G10</f>
        <v>20</v>
      </c>
      <c r="BJ8" s="29">
        <f>ZF!B10</f>
        <v>180</v>
      </c>
      <c r="BK8" s="1">
        <f>ZF!C10</f>
        <v>20</v>
      </c>
      <c r="BL8" s="136">
        <f>ZF!D10</f>
        <v>2160</v>
      </c>
      <c r="BM8" s="30">
        <f>ZF!E10</f>
        <v>20</v>
      </c>
    </row>
    <row r="9" spans="2:65" ht="30" x14ac:dyDescent="0.25">
      <c r="F9" s="301"/>
      <c r="G9" s="168" t="s">
        <v>164</v>
      </c>
      <c r="H9" s="129">
        <v>0</v>
      </c>
      <c r="I9" s="129">
        <v>0</v>
      </c>
      <c r="J9" s="129">
        <v>0</v>
      </c>
      <c r="K9" s="129">
        <v>0</v>
      </c>
      <c r="L9" s="129">
        <v>0</v>
      </c>
      <c r="M9" s="129">
        <v>0</v>
      </c>
      <c r="N9" s="129">
        <v>0</v>
      </c>
      <c r="O9" s="129">
        <v>0</v>
      </c>
      <c r="P9" s="129">
        <v>0</v>
      </c>
      <c r="Q9" s="129">
        <v>0</v>
      </c>
      <c r="R9" s="195" t="s">
        <v>163</v>
      </c>
      <c r="T9" s="29">
        <f>ZG!B12</f>
        <v>6.8</v>
      </c>
      <c r="U9">
        <f>ZG!C12</f>
        <v>25</v>
      </c>
      <c r="V9" s="136">
        <f>ZG!D12</f>
        <v>34</v>
      </c>
      <c r="W9" s="1">
        <f>ZG!E12</f>
        <v>25</v>
      </c>
      <c r="X9" s="136">
        <f>ZG!F12</f>
        <v>170</v>
      </c>
      <c r="Y9">
        <f>ZG!G12</f>
        <v>25</v>
      </c>
      <c r="Z9" s="136">
        <f>ZG!H12</f>
        <v>578</v>
      </c>
      <c r="AA9" s="1">
        <f>ZG!I12</f>
        <v>25</v>
      </c>
      <c r="AB9" s="136">
        <f>ZG!J12</f>
        <v>816</v>
      </c>
      <c r="AC9" s="1">
        <f>ZG!K12</f>
        <v>25</v>
      </c>
      <c r="AD9" s="136">
        <f>ZG!L12</f>
        <v>1360</v>
      </c>
      <c r="AE9" s="1">
        <f>ZG!M12</f>
        <v>25</v>
      </c>
      <c r="AF9" s="136">
        <f>ZG!N12</f>
        <v>3400</v>
      </c>
      <c r="AG9" s="1">
        <f>ZG!O12</f>
        <v>25</v>
      </c>
      <c r="AH9" s="136">
        <f>ZG!P12</f>
        <v>6800</v>
      </c>
      <c r="AI9" s="1">
        <f>ZG!Q12</f>
        <v>25</v>
      </c>
      <c r="AJ9" s="136">
        <f>ZG!R12</f>
        <v>13600</v>
      </c>
      <c r="AK9" s="30">
        <f>ZG!S12</f>
        <v>25</v>
      </c>
      <c r="AO9" s="29">
        <f>ZGP!B11</f>
        <v>34</v>
      </c>
      <c r="AP9" s="1">
        <f>ZGP!C11</f>
        <v>25</v>
      </c>
      <c r="AQ9" s="136">
        <f>ZGP!D11</f>
        <v>578</v>
      </c>
      <c r="AR9" s="1">
        <f>ZGP!E11</f>
        <v>25</v>
      </c>
      <c r="AS9" s="136">
        <f>ZGP!F11</f>
        <v>3400</v>
      </c>
      <c r="AT9" s="30">
        <f>ZGP!G11</f>
        <v>25</v>
      </c>
      <c r="AV9" s="29">
        <f>HP!B11</f>
        <v>204</v>
      </c>
      <c r="AW9" s="1">
        <f>HP!C11</f>
        <v>25</v>
      </c>
      <c r="AX9" s="136">
        <f>HP!D11</f>
        <v>2040</v>
      </c>
      <c r="AY9" s="1">
        <f>HP!E11</f>
        <v>25</v>
      </c>
      <c r="AZ9" s="136">
        <f>HP!F11</f>
        <v>6800</v>
      </c>
      <c r="BA9" s="30">
        <f>HP!G11</f>
        <v>25</v>
      </c>
      <c r="BC9" s="29">
        <f>HS!B11</f>
        <v>81.599999999999994</v>
      </c>
      <c r="BD9" s="1">
        <f>HS!C11</f>
        <v>25</v>
      </c>
      <c r="BE9" s="136">
        <f>HS!D11</f>
        <v>544</v>
      </c>
      <c r="BF9" s="1">
        <f>HS!E11</f>
        <v>25</v>
      </c>
      <c r="BG9" s="136">
        <f>HS!F11</f>
        <v>1020</v>
      </c>
      <c r="BH9" s="30">
        <f>HS!G11</f>
        <v>25</v>
      </c>
      <c r="BJ9" s="29">
        <f>ZF!B11</f>
        <v>170</v>
      </c>
      <c r="BK9" s="1">
        <f>ZF!C11</f>
        <v>25</v>
      </c>
      <c r="BL9" s="136">
        <f>ZF!D11</f>
        <v>2040</v>
      </c>
      <c r="BM9" s="30">
        <f>ZF!E11</f>
        <v>25</v>
      </c>
    </row>
    <row r="10" spans="2:65" ht="30" x14ac:dyDescent="0.25">
      <c r="F10" s="301"/>
      <c r="G10" s="168" t="s">
        <v>165</v>
      </c>
      <c r="H10" s="129">
        <v>0</v>
      </c>
      <c r="I10" s="129">
        <v>0</v>
      </c>
      <c r="J10" s="129">
        <v>0</v>
      </c>
      <c r="K10" s="129">
        <v>0</v>
      </c>
      <c r="L10" s="129">
        <v>0</v>
      </c>
      <c r="M10" s="129">
        <v>0</v>
      </c>
      <c r="N10" s="129">
        <v>0</v>
      </c>
      <c r="O10" s="129">
        <v>0</v>
      </c>
      <c r="P10" s="129">
        <v>0</v>
      </c>
      <c r="Q10" s="129">
        <v>0</v>
      </c>
      <c r="R10" s="195" t="s">
        <v>163</v>
      </c>
      <c r="T10" s="29">
        <f>ZG!B13</f>
        <v>6.55</v>
      </c>
      <c r="U10">
        <f>ZG!C13</f>
        <v>30</v>
      </c>
      <c r="V10" s="136">
        <f>ZG!D13</f>
        <v>32.75</v>
      </c>
      <c r="W10" s="1">
        <f>ZG!E13</f>
        <v>30</v>
      </c>
      <c r="X10" s="136">
        <f>ZG!F13</f>
        <v>163.75</v>
      </c>
      <c r="Y10">
        <f>ZG!G13</f>
        <v>30</v>
      </c>
      <c r="Z10" s="136">
        <f>ZG!H13</f>
        <v>556.75</v>
      </c>
      <c r="AA10" s="1">
        <f>ZG!I13</f>
        <v>30</v>
      </c>
      <c r="AB10" s="136">
        <f>ZG!J13</f>
        <v>786</v>
      </c>
      <c r="AC10" s="1">
        <f>ZG!K13</f>
        <v>30</v>
      </c>
      <c r="AD10" s="136">
        <f>ZG!L13</f>
        <v>1310</v>
      </c>
      <c r="AE10" s="1">
        <f>ZG!M13</f>
        <v>30</v>
      </c>
      <c r="AF10" s="136">
        <f>ZG!N13</f>
        <v>3275</v>
      </c>
      <c r="AG10" s="1">
        <f>ZG!O13</f>
        <v>30</v>
      </c>
      <c r="AH10" s="136">
        <f>ZG!P13</f>
        <v>6550</v>
      </c>
      <c r="AI10" s="1">
        <f>ZG!Q13</f>
        <v>30</v>
      </c>
      <c r="AJ10" s="136">
        <f>ZG!R13</f>
        <v>13100</v>
      </c>
      <c r="AK10" s="30">
        <f>ZG!S13</f>
        <v>30</v>
      </c>
      <c r="AO10" s="29">
        <f>ZGP!B12</f>
        <v>32.75</v>
      </c>
      <c r="AP10" s="1">
        <f>ZGP!C12</f>
        <v>30</v>
      </c>
      <c r="AQ10" s="136">
        <f>ZGP!D12</f>
        <v>556.75</v>
      </c>
      <c r="AR10" s="1">
        <f>ZGP!E12</f>
        <v>30</v>
      </c>
      <c r="AS10" s="136">
        <f>ZGP!F12</f>
        <v>3275</v>
      </c>
      <c r="AT10" s="30">
        <f>ZGP!G12</f>
        <v>30</v>
      </c>
      <c r="AV10" s="29">
        <f>HP!B12</f>
        <v>196.5</v>
      </c>
      <c r="AW10" s="1">
        <f>HP!C12</f>
        <v>30</v>
      </c>
      <c r="AX10" s="136">
        <f>HP!D12</f>
        <v>1965</v>
      </c>
      <c r="AY10" s="1">
        <f>HP!E12</f>
        <v>30</v>
      </c>
      <c r="AZ10" s="136">
        <f>HP!F12</f>
        <v>6550</v>
      </c>
      <c r="BA10" s="30">
        <f>HP!G12</f>
        <v>30</v>
      </c>
      <c r="BC10" s="29">
        <f>HS!B12</f>
        <v>78.599999999999994</v>
      </c>
      <c r="BD10" s="1">
        <f>HS!C12</f>
        <v>30</v>
      </c>
      <c r="BE10" s="136">
        <f>HS!D12</f>
        <v>524</v>
      </c>
      <c r="BF10" s="1">
        <f>HS!E12</f>
        <v>30</v>
      </c>
      <c r="BG10" s="136">
        <f>HS!F12</f>
        <v>982.5</v>
      </c>
      <c r="BH10" s="30">
        <f>HS!G12</f>
        <v>30</v>
      </c>
      <c r="BJ10" s="29">
        <f>ZF!B12</f>
        <v>163.75</v>
      </c>
      <c r="BK10" s="1">
        <f>ZF!C12</f>
        <v>30</v>
      </c>
      <c r="BL10" s="136">
        <f>ZF!D12</f>
        <v>1965</v>
      </c>
      <c r="BM10" s="30">
        <f>ZF!E12</f>
        <v>30</v>
      </c>
    </row>
    <row r="11" spans="2:65" ht="60" customHeight="1" x14ac:dyDescent="0.25">
      <c r="B11" s="70" t="s">
        <v>196</v>
      </c>
      <c r="F11" s="301"/>
      <c r="G11" s="167" t="s">
        <v>146</v>
      </c>
      <c r="H11" s="3">
        <f>ZG!$X$53</f>
        <v>145</v>
      </c>
      <c r="I11" s="3" t="str">
        <f>ZGP!$U$51</f>
        <v>N/A</v>
      </c>
      <c r="J11" s="4">
        <f>HP!$S$50</f>
        <v>844.5</v>
      </c>
      <c r="K11" s="3" t="str">
        <f>HS!$S$50</f>
        <v>N/A</v>
      </c>
      <c r="L11" s="156" t="str">
        <f>ZF!$S$50</f>
        <v>N/A</v>
      </c>
      <c r="M11" s="158">
        <f>ZG!$X65</f>
        <v>2.650709396102132</v>
      </c>
      <c r="N11" s="3">
        <f>ZGP!$U59</f>
        <v>243.5</v>
      </c>
      <c r="O11" s="3">
        <f>HP!$S58</f>
        <v>845</v>
      </c>
      <c r="P11" s="3">
        <f>HS!$B67</f>
        <v>0</v>
      </c>
      <c r="Q11" s="151">
        <f>ZF!$B64</f>
        <v>0</v>
      </c>
      <c r="R11" s="188" t="s">
        <v>12</v>
      </c>
      <c r="T11" s="29">
        <f>ZG!B14</f>
        <v>6.3</v>
      </c>
      <c r="U11">
        <f>ZG!C14</f>
        <v>35</v>
      </c>
      <c r="V11" s="136">
        <f>ZG!D14</f>
        <v>31.5</v>
      </c>
      <c r="W11" s="1">
        <f>ZG!E14</f>
        <v>35</v>
      </c>
      <c r="X11" s="136">
        <f>ZG!F14</f>
        <v>157.5</v>
      </c>
      <c r="Y11">
        <f>ZG!G14</f>
        <v>35</v>
      </c>
      <c r="Z11" s="136">
        <f>ZG!H14</f>
        <v>535.5</v>
      </c>
      <c r="AA11" s="1">
        <f>ZG!I14</f>
        <v>35</v>
      </c>
      <c r="AB11" s="136">
        <f>ZG!J14</f>
        <v>756</v>
      </c>
      <c r="AC11" s="1">
        <f>ZG!K14</f>
        <v>35</v>
      </c>
      <c r="AD11" s="136">
        <f>ZG!L14</f>
        <v>1260</v>
      </c>
      <c r="AE11" s="1">
        <f>ZG!M14</f>
        <v>35</v>
      </c>
      <c r="AF11" s="136">
        <f>ZG!N14</f>
        <v>3150</v>
      </c>
      <c r="AG11" s="1">
        <f>ZG!O14</f>
        <v>35</v>
      </c>
      <c r="AH11" s="136">
        <f>ZG!P14</f>
        <v>6300</v>
      </c>
      <c r="AI11" s="1">
        <f>ZG!Q14</f>
        <v>35</v>
      </c>
      <c r="AJ11" s="136">
        <f>ZG!R14</f>
        <v>12600</v>
      </c>
      <c r="AK11" s="30">
        <f>ZG!S14</f>
        <v>35</v>
      </c>
      <c r="AO11" s="29">
        <f>ZGP!B13</f>
        <v>31.5</v>
      </c>
      <c r="AP11" s="1">
        <f>ZGP!C13</f>
        <v>35</v>
      </c>
      <c r="AQ11" s="136">
        <f>ZGP!D13</f>
        <v>535.5</v>
      </c>
      <c r="AR11" s="1">
        <f>ZGP!E13</f>
        <v>35</v>
      </c>
      <c r="AS11" s="136">
        <f>ZGP!F13</f>
        <v>3150</v>
      </c>
      <c r="AT11" s="30">
        <f>ZGP!G13</f>
        <v>35</v>
      </c>
      <c r="AV11" s="29">
        <f>HP!B13</f>
        <v>189</v>
      </c>
      <c r="AW11" s="1">
        <f>HP!C13</f>
        <v>35</v>
      </c>
      <c r="AX11" s="136">
        <f>HP!D13</f>
        <v>1890</v>
      </c>
      <c r="AY11" s="1">
        <f>HP!E13</f>
        <v>35</v>
      </c>
      <c r="AZ11" s="136">
        <f>HP!F13</f>
        <v>6300</v>
      </c>
      <c r="BA11" s="30">
        <f>HP!G13</f>
        <v>35</v>
      </c>
      <c r="BC11" s="29">
        <f>HS!B13</f>
        <v>75.599999999999994</v>
      </c>
      <c r="BD11" s="1">
        <f>HS!C13</f>
        <v>35</v>
      </c>
      <c r="BE11" s="136">
        <f>HS!D13</f>
        <v>504</v>
      </c>
      <c r="BF11" s="1">
        <f>HS!E13</f>
        <v>35</v>
      </c>
      <c r="BG11" s="136">
        <f>HS!F13</f>
        <v>945</v>
      </c>
      <c r="BH11" s="30">
        <f>HS!G13</f>
        <v>35</v>
      </c>
      <c r="BJ11" s="29">
        <f>ZF!B13</f>
        <v>157.5</v>
      </c>
      <c r="BK11" s="1">
        <f>ZF!C13</f>
        <v>35</v>
      </c>
      <c r="BL11" s="136">
        <f>ZF!D13</f>
        <v>1890</v>
      </c>
      <c r="BM11" s="30">
        <f>ZF!E13</f>
        <v>35</v>
      </c>
    </row>
    <row r="12" spans="2:65" ht="30" customHeight="1" x14ac:dyDescent="0.25">
      <c r="F12" s="301"/>
      <c r="G12" s="167" t="s">
        <v>147</v>
      </c>
      <c r="H12" s="3">
        <f>ZG!$X$54</f>
        <v>2.2950492956015617E-2</v>
      </c>
      <c r="I12" s="44" t="str">
        <f>ZGP!$U$52</f>
        <v>N/A</v>
      </c>
      <c r="J12" s="170">
        <f>HP!$S$51</f>
        <v>6.7526956097712212E-2</v>
      </c>
      <c r="K12" s="44" t="str">
        <f>HS!$S$51</f>
        <v>N/A</v>
      </c>
      <c r="L12" s="155" t="str">
        <f>ZF!$S$51</f>
        <v>N/A</v>
      </c>
      <c r="M12" s="162">
        <f>ZG!$X66</f>
        <v>3.9760640941531982</v>
      </c>
      <c r="N12" s="3">
        <f>ZGP!$U60</f>
        <v>3.3965258939892555E-3</v>
      </c>
      <c r="O12" s="3">
        <f>HP!$S59</f>
        <v>1.0696717261834248E-2</v>
      </c>
      <c r="P12" s="3">
        <f>HS!$B68</f>
        <v>0</v>
      </c>
      <c r="Q12" s="151">
        <f>ZF!$B65</f>
        <v>0</v>
      </c>
      <c r="R12" s="188" t="s">
        <v>14</v>
      </c>
      <c r="T12" s="29">
        <f>ZG!B15</f>
        <v>6.15</v>
      </c>
      <c r="U12">
        <f>ZG!C15</f>
        <v>40</v>
      </c>
      <c r="V12" s="136">
        <f>ZG!D15</f>
        <v>30.75</v>
      </c>
      <c r="W12" s="1">
        <f>ZG!E15</f>
        <v>40</v>
      </c>
      <c r="X12" s="136">
        <f>ZG!F15</f>
        <v>153.75</v>
      </c>
      <c r="Y12">
        <f>ZG!G15</f>
        <v>40</v>
      </c>
      <c r="Z12" s="136">
        <f>ZG!H15</f>
        <v>522.75</v>
      </c>
      <c r="AA12" s="1">
        <f>ZG!I15</f>
        <v>40</v>
      </c>
      <c r="AB12" s="136">
        <f>ZG!J15</f>
        <v>738</v>
      </c>
      <c r="AC12" s="1">
        <f>ZG!K15</f>
        <v>40</v>
      </c>
      <c r="AD12" s="136">
        <f>ZG!L15</f>
        <v>1230</v>
      </c>
      <c r="AE12" s="1">
        <f>ZG!M15</f>
        <v>40</v>
      </c>
      <c r="AF12" s="136">
        <f>ZG!N15</f>
        <v>3075</v>
      </c>
      <c r="AG12" s="1">
        <f>ZG!O15</f>
        <v>40</v>
      </c>
      <c r="AH12" s="136">
        <f>ZG!P15</f>
        <v>6150</v>
      </c>
      <c r="AI12" s="1">
        <f>ZG!Q15</f>
        <v>40</v>
      </c>
      <c r="AJ12" s="136">
        <f>ZG!R15</f>
        <v>12300</v>
      </c>
      <c r="AK12" s="30">
        <f>ZG!S15</f>
        <v>40</v>
      </c>
      <c r="AO12" s="29">
        <f>ZGP!B14</f>
        <v>30.75</v>
      </c>
      <c r="AP12" s="1">
        <f>ZGP!C14</f>
        <v>40</v>
      </c>
      <c r="AQ12" s="136">
        <f>ZGP!D14</f>
        <v>522.75</v>
      </c>
      <c r="AR12" s="1">
        <f>ZGP!E14</f>
        <v>40</v>
      </c>
      <c r="AS12" s="136">
        <f>ZGP!F14</f>
        <v>3075</v>
      </c>
      <c r="AT12" s="30">
        <f>ZGP!G14</f>
        <v>40</v>
      </c>
      <c r="AV12" s="29">
        <f>HP!B14</f>
        <v>184.5</v>
      </c>
      <c r="AW12" s="1">
        <f>HP!C14</f>
        <v>40</v>
      </c>
      <c r="AX12" s="136">
        <f>HP!D14</f>
        <v>1845</v>
      </c>
      <c r="AY12" s="1">
        <f>HP!E14</f>
        <v>40</v>
      </c>
      <c r="AZ12" s="136">
        <f>HP!F14</f>
        <v>6150</v>
      </c>
      <c r="BA12" s="30">
        <f>HP!G14</f>
        <v>40</v>
      </c>
      <c r="BC12" s="29">
        <f>HS!B14</f>
        <v>73.8</v>
      </c>
      <c r="BD12" s="1">
        <f>HS!C14</f>
        <v>40</v>
      </c>
      <c r="BE12" s="136">
        <f>HS!D14</f>
        <v>492</v>
      </c>
      <c r="BF12" s="1">
        <f>HS!E14</f>
        <v>40</v>
      </c>
      <c r="BG12" s="136">
        <f>HS!F14</f>
        <v>922.5</v>
      </c>
      <c r="BH12" s="30">
        <f>HS!G14</f>
        <v>40</v>
      </c>
      <c r="BJ12" s="29">
        <f>ZF!B14</f>
        <v>153.75</v>
      </c>
      <c r="BK12" s="1">
        <f>ZF!C14</f>
        <v>40</v>
      </c>
      <c r="BL12" s="136">
        <f>ZF!D14</f>
        <v>1845</v>
      </c>
      <c r="BM12" s="30">
        <f>ZF!E14</f>
        <v>40</v>
      </c>
    </row>
    <row r="13" spans="2:65" ht="30" x14ac:dyDescent="0.25">
      <c r="F13" s="301"/>
      <c r="G13" s="167" t="s">
        <v>148</v>
      </c>
      <c r="H13" s="44">
        <f>ZG!$X$55</f>
        <v>2.2765</v>
      </c>
      <c r="I13" s="44" t="str">
        <f>ZGP!$U$53</f>
        <v>N/A</v>
      </c>
      <c r="J13" s="170">
        <f>HP!$S$52</f>
        <v>6.0105880000000003</v>
      </c>
      <c r="K13" s="44" t="str">
        <f>HS!S52</f>
        <v>N/A</v>
      </c>
      <c r="L13" s="155" t="str">
        <f>ZF!$S$52</f>
        <v>N/A</v>
      </c>
      <c r="M13" s="159">
        <f>ZG!$X67</f>
        <v>5.3014187922042639</v>
      </c>
      <c r="N13" s="3">
        <f>ZGP!$U61</f>
        <v>1.9114749999999998</v>
      </c>
      <c r="O13" s="3">
        <f>HP!$S60</f>
        <v>4.5548316666666677</v>
      </c>
      <c r="P13" s="3">
        <f>HS!$B69</f>
        <v>0</v>
      </c>
      <c r="Q13" s="151">
        <f>ZF!$B66</f>
        <v>0</v>
      </c>
      <c r="R13" s="188" t="s">
        <v>16</v>
      </c>
      <c r="T13" s="29">
        <f>ZG!B16</f>
        <v>6</v>
      </c>
      <c r="U13">
        <f>ZG!C16</f>
        <v>45</v>
      </c>
      <c r="V13" s="136">
        <f>ZG!D16</f>
        <v>30</v>
      </c>
      <c r="W13" s="1">
        <f>ZG!E16</f>
        <v>45</v>
      </c>
      <c r="X13" s="136">
        <f>ZG!F16</f>
        <v>150</v>
      </c>
      <c r="Y13">
        <f>ZG!G16</f>
        <v>45</v>
      </c>
      <c r="Z13" s="136">
        <f>ZG!H16</f>
        <v>510</v>
      </c>
      <c r="AA13" s="1">
        <f>ZG!I16</f>
        <v>45</v>
      </c>
      <c r="AB13" s="136">
        <f>ZG!J16</f>
        <v>720</v>
      </c>
      <c r="AC13" s="1">
        <f>ZG!K16</f>
        <v>45</v>
      </c>
      <c r="AD13" s="136">
        <f>ZG!L16</f>
        <v>1200</v>
      </c>
      <c r="AE13" s="1">
        <f>ZG!M16</f>
        <v>45</v>
      </c>
      <c r="AF13" s="136">
        <f>ZG!N16</f>
        <v>3000</v>
      </c>
      <c r="AG13" s="1">
        <f>ZG!O16</f>
        <v>45</v>
      </c>
      <c r="AH13" s="136">
        <f>ZG!P16</f>
        <v>6000</v>
      </c>
      <c r="AI13" s="1">
        <f>ZG!Q16</f>
        <v>45</v>
      </c>
      <c r="AJ13" s="136">
        <f>ZG!R16</f>
        <v>12000</v>
      </c>
      <c r="AK13" s="30">
        <f>ZG!S16</f>
        <v>45</v>
      </c>
      <c r="AO13" s="29">
        <f>ZGP!B15</f>
        <v>30</v>
      </c>
      <c r="AP13" s="1">
        <f>ZGP!C15</f>
        <v>45</v>
      </c>
      <c r="AQ13" s="136">
        <f>ZGP!D15</f>
        <v>510</v>
      </c>
      <c r="AR13" s="1">
        <f>ZGP!E15</f>
        <v>45</v>
      </c>
      <c r="AS13" s="136">
        <f>ZGP!F15</f>
        <v>3000</v>
      </c>
      <c r="AT13" s="30">
        <f>ZGP!G15</f>
        <v>45</v>
      </c>
      <c r="AV13" s="29">
        <f>HP!B15</f>
        <v>180</v>
      </c>
      <c r="AW13" s="1">
        <f>HP!C15</f>
        <v>45</v>
      </c>
      <c r="AX13" s="136">
        <f>HP!D15</f>
        <v>1800</v>
      </c>
      <c r="AY13" s="1">
        <f>HP!E15</f>
        <v>45</v>
      </c>
      <c r="AZ13" s="136">
        <f>HP!F15</f>
        <v>6000</v>
      </c>
      <c r="BA13" s="30">
        <f>HP!G15</f>
        <v>45</v>
      </c>
      <c r="BC13" s="29">
        <f>HS!B15</f>
        <v>72</v>
      </c>
      <c r="BD13" s="1">
        <f>HS!C15</f>
        <v>45</v>
      </c>
      <c r="BE13" s="136">
        <f>HS!D15</f>
        <v>480</v>
      </c>
      <c r="BF13" s="1">
        <f>HS!E15</f>
        <v>45</v>
      </c>
      <c r="BG13" s="136">
        <f>HS!F15</f>
        <v>900</v>
      </c>
      <c r="BH13" s="30">
        <f>HS!G15</f>
        <v>45</v>
      </c>
      <c r="BJ13" s="29">
        <f>ZF!B15</f>
        <v>150</v>
      </c>
      <c r="BK13" s="1">
        <f>ZF!C15</f>
        <v>45</v>
      </c>
      <c r="BL13" s="136">
        <f>ZF!D15</f>
        <v>1800</v>
      </c>
      <c r="BM13" s="30">
        <f>ZF!E15</f>
        <v>45</v>
      </c>
    </row>
    <row r="14" spans="2:65" ht="45" x14ac:dyDescent="0.25">
      <c r="F14" s="301"/>
      <c r="G14" s="168" t="s">
        <v>167</v>
      </c>
      <c r="H14" s="129">
        <v>0</v>
      </c>
      <c r="I14" s="129">
        <v>0</v>
      </c>
      <c r="J14" s="129">
        <v>0</v>
      </c>
      <c r="K14" s="129">
        <v>0</v>
      </c>
      <c r="L14" s="129">
        <v>0</v>
      </c>
      <c r="M14" s="129">
        <v>0</v>
      </c>
      <c r="N14" s="129">
        <v>0</v>
      </c>
      <c r="O14" s="129">
        <v>0</v>
      </c>
      <c r="P14" s="129">
        <v>0</v>
      </c>
      <c r="Q14" s="129">
        <v>0</v>
      </c>
      <c r="R14" s="195" t="s">
        <v>163</v>
      </c>
      <c r="T14" s="29">
        <f>ZG!B17</f>
        <v>5.86</v>
      </c>
      <c r="U14">
        <f>ZG!C17</f>
        <v>50</v>
      </c>
      <c r="V14" s="136">
        <f>ZG!D17</f>
        <v>29.3</v>
      </c>
      <c r="W14" s="1">
        <f>ZG!E17</f>
        <v>50</v>
      </c>
      <c r="X14" s="136">
        <f>ZG!F17</f>
        <v>146.5</v>
      </c>
      <c r="Y14">
        <f>ZG!G17</f>
        <v>50</v>
      </c>
      <c r="Z14" s="136">
        <f>ZG!H17</f>
        <v>498.1</v>
      </c>
      <c r="AA14" s="1">
        <f>ZG!I17</f>
        <v>50</v>
      </c>
      <c r="AB14" s="136">
        <f>ZG!J17</f>
        <v>703.2</v>
      </c>
      <c r="AC14" s="1">
        <f>ZG!K17</f>
        <v>50</v>
      </c>
      <c r="AD14" s="136">
        <f>ZG!L17</f>
        <v>1172</v>
      </c>
      <c r="AE14" s="1">
        <f>ZG!M17</f>
        <v>50</v>
      </c>
      <c r="AF14" s="136">
        <f>ZG!N17</f>
        <v>2930</v>
      </c>
      <c r="AG14" s="1">
        <f>ZG!O17</f>
        <v>50</v>
      </c>
      <c r="AH14" s="136">
        <f>ZG!P17</f>
        <v>5860</v>
      </c>
      <c r="AI14" s="1">
        <f>ZG!Q17</f>
        <v>50</v>
      </c>
      <c r="AJ14" s="136">
        <f>ZG!R17</f>
        <v>11720</v>
      </c>
      <c r="AK14" s="30">
        <f>ZG!S17</f>
        <v>50</v>
      </c>
      <c r="AO14" s="29">
        <f>ZGP!B16</f>
        <v>29.3</v>
      </c>
      <c r="AP14" s="1">
        <f>ZGP!C16</f>
        <v>50</v>
      </c>
      <c r="AQ14" s="136">
        <f>ZGP!D16</f>
        <v>498.1</v>
      </c>
      <c r="AR14" s="1">
        <f>ZGP!E16</f>
        <v>50</v>
      </c>
      <c r="AS14" s="136">
        <f>ZGP!F16</f>
        <v>2930</v>
      </c>
      <c r="AT14" s="30">
        <f>ZGP!G16</f>
        <v>50</v>
      </c>
      <c r="AV14" s="29">
        <f>HP!B16</f>
        <v>175.8</v>
      </c>
      <c r="AW14" s="1">
        <f>HP!C16</f>
        <v>50</v>
      </c>
      <c r="AX14" s="136">
        <f>HP!D16</f>
        <v>1758</v>
      </c>
      <c r="AY14" s="1">
        <f>HP!E16</f>
        <v>50</v>
      </c>
      <c r="AZ14" s="136">
        <f>HP!F16</f>
        <v>5860</v>
      </c>
      <c r="BA14" s="30">
        <f>HP!G16</f>
        <v>50</v>
      </c>
      <c r="BC14" s="29">
        <f>HS!B16</f>
        <v>70.319999999999993</v>
      </c>
      <c r="BD14" s="1">
        <f>HS!C16</f>
        <v>50</v>
      </c>
      <c r="BE14" s="136">
        <f>HS!D16</f>
        <v>468.8</v>
      </c>
      <c r="BF14" s="1">
        <f>HS!E16</f>
        <v>50</v>
      </c>
      <c r="BG14" s="136">
        <f>HS!F16</f>
        <v>879</v>
      </c>
      <c r="BH14" s="30">
        <f>HS!G16</f>
        <v>50</v>
      </c>
      <c r="BJ14" s="29">
        <f>ZF!B16</f>
        <v>146.5</v>
      </c>
      <c r="BK14" s="1">
        <f>ZF!C16</f>
        <v>50</v>
      </c>
      <c r="BL14" s="136">
        <f>ZF!D16</f>
        <v>1758</v>
      </c>
      <c r="BM14" s="30">
        <f>ZF!E16</f>
        <v>50</v>
      </c>
    </row>
    <row r="15" spans="2:65" ht="30" x14ac:dyDescent="0.25">
      <c r="F15" s="301"/>
      <c r="G15" s="168" t="s">
        <v>168</v>
      </c>
      <c r="H15" s="129">
        <v>0</v>
      </c>
      <c r="I15" s="129">
        <v>0</v>
      </c>
      <c r="J15" s="129">
        <v>0</v>
      </c>
      <c r="K15" s="129">
        <v>0</v>
      </c>
      <c r="L15" s="129">
        <v>0</v>
      </c>
      <c r="M15" s="129">
        <v>0</v>
      </c>
      <c r="N15" s="129">
        <v>0</v>
      </c>
      <c r="O15" s="129">
        <v>0</v>
      </c>
      <c r="P15" s="129">
        <v>0</v>
      </c>
      <c r="Q15" s="129">
        <v>0</v>
      </c>
      <c r="R15" s="195" t="s">
        <v>163</v>
      </c>
      <c r="T15" s="29">
        <f>ZG!B18</f>
        <v>5.7</v>
      </c>
      <c r="U15">
        <f>ZG!C18</f>
        <v>55</v>
      </c>
      <c r="V15" s="136">
        <f>ZG!D18</f>
        <v>28.5</v>
      </c>
      <c r="W15" s="1">
        <f>ZG!E18</f>
        <v>55</v>
      </c>
      <c r="X15" s="136">
        <f>ZG!F18</f>
        <v>142.5</v>
      </c>
      <c r="Y15">
        <f>ZG!G18</f>
        <v>55</v>
      </c>
      <c r="Z15" s="136">
        <f>ZG!H18</f>
        <v>484.5</v>
      </c>
      <c r="AA15" s="1">
        <f>ZG!I18</f>
        <v>55</v>
      </c>
      <c r="AB15" s="136">
        <f>ZG!J18</f>
        <v>684</v>
      </c>
      <c r="AC15" s="1">
        <f>ZG!K18</f>
        <v>55</v>
      </c>
      <c r="AD15" s="136">
        <f>ZG!L18</f>
        <v>1140</v>
      </c>
      <c r="AE15" s="1">
        <f>ZG!M18</f>
        <v>55</v>
      </c>
      <c r="AF15" s="136">
        <f>ZG!N18</f>
        <v>2850</v>
      </c>
      <c r="AG15" s="1">
        <f>ZG!O18</f>
        <v>55</v>
      </c>
      <c r="AH15" s="136">
        <f>ZG!P18</f>
        <v>5700</v>
      </c>
      <c r="AI15" s="1">
        <f>ZG!Q18</f>
        <v>55</v>
      </c>
      <c r="AJ15" s="136">
        <f>ZG!R18</f>
        <v>11400</v>
      </c>
      <c r="AK15" s="30">
        <f>ZG!S18</f>
        <v>55</v>
      </c>
      <c r="AO15" s="29">
        <f>ZGP!B17</f>
        <v>28.5</v>
      </c>
      <c r="AP15" s="1">
        <f>ZGP!C17</f>
        <v>55</v>
      </c>
      <c r="AQ15" s="136">
        <f>ZGP!D17</f>
        <v>484.5</v>
      </c>
      <c r="AR15" s="1">
        <f>ZGP!E17</f>
        <v>55</v>
      </c>
      <c r="AS15" s="136">
        <f>ZGP!F17</f>
        <v>2850</v>
      </c>
      <c r="AT15" s="30">
        <f>ZGP!G17</f>
        <v>55</v>
      </c>
      <c r="AV15" s="29">
        <f>HP!B17</f>
        <v>171</v>
      </c>
      <c r="AW15" s="1">
        <f>HP!C17</f>
        <v>55</v>
      </c>
      <c r="AX15" s="136">
        <f>HP!D17</f>
        <v>1710</v>
      </c>
      <c r="AY15" s="1">
        <f>HP!E17</f>
        <v>55</v>
      </c>
      <c r="AZ15" s="136">
        <f>HP!F17</f>
        <v>5700</v>
      </c>
      <c r="BA15" s="30">
        <f>HP!G17</f>
        <v>55</v>
      </c>
      <c r="BC15" s="29">
        <f>HS!B17</f>
        <v>68.400000000000006</v>
      </c>
      <c r="BD15" s="1">
        <f>HS!C17</f>
        <v>55</v>
      </c>
      <c r="BE15" s="136">
        <f>HS!D17</f>
        <v>456</v>
      </c>
      <c r="BF15" s="1">
        <f>HS!E17</f>
        <v>55</v>
      </c>
      <c r="BG15" s="136">
        <f>HS!F17</f>
        <v>855</v>
      </c>
      <c r="BH15" s="30">
        <f>HS!G17</f>
        <v>55</v>
      </c>
      <c r="BJ15" s="29">
        <f>ZF!B17</f>
        <v>142.5</v>
      </c>
      <c r="BK15" s="1">
        <f>ZF!C17</f>
        <v>55</v>
      </c>
      <c r="BL15" s="136">
        <f>ZF!D17</f>
        <v>1710</v>
      </c>
      <c r="BM15" s="30">
        <f>ZF!E17</f>
        <v>55</v>
      </c>
    </row>
    <row r="16" spans="2:65" ht="30" x14ac:dyDescent="0.25">
      <c r="F16" s="301"/>
      <c r="G16" s="168" t="s">
        <v>169</v>
      </c>
      <c r="H16" s="129">
        <v>0</v>
      </c>
      <c r="I16" s="129">
        <v>0</v>
      </c>
      <c r="J16" s="129">
        <v>0</v>
      </c>
      <c r="K16" s="129">
        <v>0</v>
      </c>
      <c r="L16" s="129">
        <v>0</v>
      </c>
      <c r="M16" s="129">
        <v>0</v>
      </c>
      <c r="N16" s="129">
        <v>0</v>
      </c>
      <c r="O16" s="129">
        <v>0</v>
      </c>
      <c r="P16" s="129">
        <v>0</v>
      </c>
      <c r="Q16" s="129">
        <v>0</v>
      </c>
      <c r="R16" s="195" t="s">
        <v>163</v>
      </c>
      <c r="T16" s="29">
        <f>ZG!B19</f>
        <v>5.6</v>
      </c>
      <c r="U16">
        <f>ZG!C19</f>
        <v>60</v>
      </c>
      <c r="V16" s="136">
        <f>ZG!D19</f>
        <v>28</v>
      </c>
      <c r="W16" s="1">
        <f>ZG!E19</f>
        <v>60</v>
      </c>
      <c r="X16" s="136">
        <f>ZG!F19</f>
        <v>140</v>
      </c>
      <c r="Y16">
        <f>ZG!G19</f>
        <v>60</v>
      </c>
      <c r="Z16" s="136">
        <f>ZG!H19</f>
        <v>476</v>
      </c>
      <c r="AA16" s="1">
        <f>ZG!I19</f>
        <v>60</v>
      </c>
      <c r="AB16" s="136">
        <f>ZG!J19</f>
        <v>672</v>
      </c>
      <c r="AC16" s="1">
        <f>ZG!K19</f>
        <v>60</v>
      </c>
      <c r="AD16" s="136">
        <f>ZG!L19</f>
        <v>1120</v>
      </c>
      <c r="AE16" s="1">
        <f>ZG!M19</f>
        <v>60</v>
      </c>
      <c r="AF16" s="136">
        <f>ZG!N19</f>
        <v>2800</v>
      </c>
      <c r="AG16" s="1">
        <f>ZG!O19</f>
        <v>60</v>
      </c>
      <c r="AH16" s="136">
        <f>ZG!P19</f>
        <v>5600</v>
      </c>
      <c r="AI16" s="1">
        <f>ZG!Q19</f>
        <v>60</v>
      </c>
      <c r="AJ16" s="136">
        <f>ZG!R19</f>
        <v>11200</v>
      </c>
      <c r="AK16" s="30">
        <f>ZG!S19</f>
        <v>60</v>
      </c>
      <c r="AO16" s="29">
        <f>ZGP!B18</f>
        <v>28</v>
      </c>
      <c r="AP16" s="1">
        <f>ZGP!C18</f>
        <v>60</v>
      </c>
      <c r="AQ16" s="136">
        <f>ZGP!D18</f>
        <v>476</v>
      </c>
      <c r="AR16" s="1">
        <f>ZGP!E18</f>
        <v>60</v>
      </c>
      <c r="AS16" s="136">
        <f>ZGP!F18</f>
        <v>2800</v>
      </c>
      <c r="AT16" s="30">
        <f>ZGP!G18</f>
        <v>60</v>
      </c>
      <c r="AV16" s="29">
        <f>HP!B18</f>
        <v>168</v>
      </c>
      <c r="AW16" s="1">
        <f>HP!C18</f>
        <v>60</v>
      </c>
      <c r="AX16" s="136">
        <f>HP!D18</f>
        <v>1680</v>
      </c>
      <c r="AY16" s="1">
        <f>HP!E18</f>
        <v>60</v>
      </c>
      <c r="AZ16" s="136">
        <f>HP!F18</f>
        <v>5600</v>
      </c>
      <c r="BA16" s="30">
        <f>HP!G18</f>
        <v>60</v>
      </c>
      <c r="BC16" s="29">
        <f>HS!B18</f>
        <v>67.2</v>
      </c>
      <c r="BD16" s="1">
        <f>HS!C18</f>
        <v>60</v>
      </c>
      <c r="BE16" s="136">
        <f>HS!D18</f>
        <v>448</v>
      </c>
      <c r="BF16" s="1">
        <f>HS!E18</f>
        <v>60</v>
      </c>
      <c r="BG16" s="136">
        <f>HS!F18</f>
        <v>840</v>
      </c>
      <c r="BH16" s="30">
        <f>HS!G18</f>
        <v>60</v>
      </c>
      <c r="BJ16" s="29">
        <f>ZF!B18</f>
        <v>140</v>
      </c>
      <c r="BK16" s="1">
        <f>ZF!C18</f>
        <v>60</v>
      </c>
      <c r="BL16" s="136">
        <f>ZF!D18</f>
        <v>1680</v>
      </c>
      <c r="BM16" s="30">
        <f>ZF!E18</f>
        <v>60</v>
      </c>
    </row>
    <row r="17" spans="2:65" ht="30.75" thickBot="1" x14ac:dyDescent="0.3">
      <c r="B17" s="70"/>
      <c r="C17" s="74"/>
      <c r="F17" s="302"/>
      <c r="G17" s="169" t="s">
        <v>17</v>
      </c>
      <c r="H17" s="129">
        <v>0</v>
      </c>
      <c r="I17" s="129">
        <v>0</v>
      </c>
      <c r="J17" s="129">
        <v>0</v>
      </c>
      <c r="K17" s="129">
        <v>0</v>
      </c>
      <c r="L17" s="129">
        <v>0</v>
      </c>
      <c r="M17" s="129">
        <v>0</v>
      </c>
      <c r="N17" s="129">
        <v>0</v>
      </c>
      <c r="O17" s="129">
        <v>0</v>
      </c>
      <c r="P17" s="129">
        <v>0</v>
      </c>
      <c r="Q17" s="129">
        <v>0</v>
      </c>
      <c r="R17" s="196" t="s">
        <v>18</v>
      </c>
      <c r="T17" s="29">
        <f>ZG!B20</f>
        <v>5.5</v>
      </c>
      <c r="U17">
        <f>ZG!C20</f>
        <v>65</v>
      </c>
      <c r="V17" s="136">
        <f>ZG!D20</f>
        <v>27.5</v>
      </c>
      <c r="W17" s="1">
        <f>ZG!E20</f>
        <v>65</v>
      </c>
      <c r="X17" s="136">
        <f>ZG!F20</f>
        <v>137.5</v>
      </c>
      <c r="Y17">
        <f>ZG!G20</f>
        <v>65</v>
      </c>
      <c r="Z17" s="136">
        <f>ZG!H20</f>
        <v>467.5</v>
      </c>
      <c r="AA17" s="1">
        <f>ZG!I20</f>
        <v>65</v>
      </c>
      <c r="AB17" s="136">
        <f>ZG!J20</f>
        <v>660</v>
      </c>
      <c r="AC17" s="1">
        <f>ZG!K20</f>
        <v>65</v>
      </c>
      <c r="AD17" s="136">
        <f>ZG!L20</f>
        <v>1100</v>
      </c>
      <c r="AE17" s="1">
        <f>ZG!M20</f>
        <v>65</v>
      </c>
      <c r="AF17" s="136">
        <f>ZG!N20</f>
        <v>2750</v>
      </c>
      <c r="AG17" s="1">
        <f>ZG!O20</f>
        <v>65</v>
      </c>
      <c r="AH17" s="136">
        <f>ZG!P20</f>
        <v>5500</v>
      </c>
      <c r="AI17" s="1">
        <f>ZG!Q20</f>
        <v>65</v>
      </c>
      <c r="AJ17" s="136">
        <f>ZG!R20</f>
        <v>11000</v>
      </c>
      <c r="AK17" s="30">
        <f>ZG!S20</f>
        <v>65</v>
      </c>
      <c r="AO17" s="29">
        <f>ZGP!B19</f>
        <v>27.5</v>
      </c>
      <c r="AP17" s="1">
        <f>ZGP!C19</f>
        <v>65</v>
      </c>
      <c r="AQ17" s="136">
        <f>ZGP!D19</f>
        <v>467.5</v>
      </c>
      <c r="AR17" s="1">
        <f>ZGP!E19</f>
        <v>65</v>
      </c>
      <c r="AS17" s="136">
        <f>ZGP!F19</f>
        <v>2750</v>
      </c>
      <c r="AT17" s="30">
        <f>ZGP!G19</f>
        <v>65</v>
      </c>
      <c r="AV17" s="29">
        <f>HP!B19</f>
        <v>165</v>
      </c>
      <c r="AW17" s="1">
        <f>HP!C19</f>
        <v>65</v>
      </c>
      <c r="AX17" s="136">
        <f>HP!D19</f>
        <v>1650</v>
      </c>
      <c r="AY17" s="1">
        <f>HP!E19</f>
        <v>65</v>
      </c>
      <c r="AZ17" s="136">
        <f>HP!F19</f>
        <v>5500</v>
      </c>
      <c r="BA17" s="30">
        <f>HP!G19</f>
        <v>65</v>
      </c>
      <c r="BC17" s="29">
        <f>HS!B19</f>
        <v>66</v>
      </c>
      <c r="BD17" s="1">
        <f>HS!C19</f>
        <v>65</v>
      </c>
      <c r="BE17" s="136">
        <f>HS!D19</f>
        <v>440</v>
      </c>
      <c r="BF17" s="1">
        <f>HS!E19</f>
        <v>65</v>
      </c>
      <c r="BG17" s="136">
        <f>HS!F19</f>
        <v>825</v>
      </c>
      <c r="BH17" s="30">
        <f>HS!G19</f>
        <v>65</v>
      </c>
      <c r="BJ17" s="29">
        <f>ZF!B19</f>
        <v>137.5</v>
      </c>
      <c r="BK17" s="1">
        <f>ZF!C19</f>
        <v>65</v>
      </c>
      <c r="BL17" s="136">
        <f>ZF!D19</f>
        <v>1650</v>
      </c>
      <c r="BM17" s="30">
        <f>ZF!E19</f>
        <v>65</v>
      </c>
    </row>
    <row r="18" spans="2:65" ht="60" customHeight="1" x14ac:dyDescent="0.25">
      <c r="B18" s="70"/>
      <c r="C18" s="74"/>
      <c r="F18" s="300" t="s">
        <v>141</v>
      </c>
      <c r="G18" s="190" t="s">
        <v>142</v>
      </c>
      <c r="H18" s="153">
        <f>INDEX(ZG!$M$48:$M$65,MATCH(H$3,ZG!$B$48:$B$65,0))</f>
        <v>199.5</v>
      </c>
      <c r="I18" s="153"/>
      <c r="J18" s="152"/>
      <c r="K18" s="153"/>
      <c r="L18" s="137"/>
      <c r="M18" s="165"/>
      <c r="N18" s="153"/>
      <c r="O18" s="153"/>
      <c r="P18" s="153"/>
      <c r="Q18" s="137"/>
      <c r="R18" s="187" t="s">
        <v>11</v>
      </c>
      <c r="T18" s="29">
        <f>ZG!B21</f>
        <v>5.4</v>
      </c>
      <c r="U18">
        <f>ZG!C21</f>
        <v>70</v>
      </c>
      <c r="V18" s="136">
        <f>ZG!D21</f>
        <v>27</v>
      </c>
      <c r="W18" s="1">
        <f>ZG!E21</f>
        <v>70</v>
      </c>
      <c r="X18" s="136">
        <f>ZG!F21</f>
        <v>135</v>
      </c>
      <c r="Y18">
        <f>ZG!G21</f>
        <v>70</v>
      </c>
      <c r="Z18" s="136">
        <f>ZG!H21</f>
        <v>459</v>
      </c>
      <c r="AA18" s="1">
        <f>ZG!I21</f>
        <v>70</v>
      </c>
      <c r="AB18" s="136">
        <f>ZG!J21</f>
        <v>648</v>
      </c>
      <c r="AC18" s="1">
        <f>ZG!K21</f>
        <v>70</v>
      </c>
      <c r="AD18" s="136">
        <f>ZG!L21</f>
        <v>1080</v>
      </c>
      <c r="AE18" s="1">
        <f>ZG!M21</f>
        <v>70</v>
      </c>
      <c r="AF18" s="136">
        <f>ZG!N21</f>
        <v>2700</v>
      </c>
      <c r="AG18" s="1">
        <f>ZG!O21</f>
        <v>70</v>
      </c>
      <c r="AH18" s="136">
        <f>ZG!P21</f>
        <v>5400</v>
      </c>
      <c r="AI18" s="1">
        <f>ZG!Q21</f>
        <v>70</v>
      </c>
      <c r="AJ18" s="136">
        <f>ZG!R21</f>
        <v>10800</v>
      </c>
      <c r="AK18" s="30">
        <f>ZG!S21</f>
        <v>70</v>
      </c>
      <c r="AO18" s="29">
        <f>ZGP!B20</f>
        <v>27</v>
      </c>
      <c r="AP18" s="1">
        <f>ZGP!C20</f>
        <v>70</v>
      </c>
      <c r="AQ18" s="136">
        <f>ZGP!D20</f>
        <v>459</v>
      </c>
      <c r="AR18" s="1">
        <f>ZGP!E20</f>
        <v>70</v>
      </c>
      <c r="AS18" s="136">
        <f>ZGP!F20</f>
        <v>2700</v>
      </c>
      <c r="AT18" s="30">
        <f>ZGP!G20</f>
        <v>70</v>
      </c>
      <c r="AV18" s="29">
        <f>HP!B20</f>
        <v>162</v>
      </c>
      <c r="AW18" s="1">
        <f>HP!C20</f>
        <v>70</v>
      </c>
      <c r="AX18" s="136">
        <f>HP!D20</f>
        <v>1620</v>
      </c>
      <c r="AY18" s="1">
        <f>HP!E20</f>
        <v>70</v>
      </c>
      <c r="AZ18" s="136">
        <f>HP!F20</f>
        <v>5400</v>
      </c>
      <c r="BA18" s="30">
        <f>HP!G20</f>
        <v>70</v>
      </c>
      <c r="BC18" s="29">
        <f>HS!B20</f>
        <v>64.8</v>
      </c>
      <c r="BD18" s="1">
        <f>HS!C20</f>
        <v>70</v>
      </c>
      <c r="BE18" s="136">
        <f>HS!D20</f>
        <v>432</v>
      </c>
      <c r="BF18" s="1">
        <f>HS!E20</f>
        <v>70</v>
      </c>
      <c r="BG18" s="136">
        <f>HS!F20</f>
        <v>810</v>
      </c>
      <c r="BH18" s="30">
        <f>HS!G20</f>
        <v>70</v>
      </c>
      <c r="BJ18" s="29">
        <f>ZF!B20</f>
        <v>135</v>
      </c>
      <c r="BK18" s="1">
        <f>ZF!C20</f>
        <v>70</v>
      </c>
      <c r="BL18" s="136">
        <f>ZF!D20</f>
        <v>1620</v>
      </c>
      <c r="BM18" s="30">
        <f>ZF!E20</f>
        <v>70</v>
      </c>
    </row>
    <row r="19" spans="2:65" x14ac:dyDescent="0.25">
      <c r="B19" s="70"/>
      <c r="C19" s="130"/>
      <c r="F19" s="301"/>
      <c r="G19" s="191" t="s">
        <v>143</v>
      </c>
      <c r="H19" s="3">
        <f>INDEX(ZG!$D$48:$D$69,MATCH(H$3,ZG!$B$48:$B$65,0))</f>
        <v>300</v>
      </c>
      <c r="I19" s="3"/>
      <c r="J19" s="4"/>
      <c r="K19" s="3"/>
      <c r="L19" s="138"/>
      <c r="M19" s="158"/>
      <c r="N19" s="3"/>
      <c r="O19" s="3"/>
      <c r="P19" s="3"/>
      <c r="Q19" s="138"/>
      <c r="R19" s="188" t="s">
        <v>11</v>
      </c>
      <c r="T19" s="29">
        <f>ZG!B22</f>
        <v>5.3</v>
      </c>
      <c r="U19">
        <f>ZG!C22</f>
        <v>75</v>
      </c>
      <c r="V19" s="136">
        <f>ZG!D22</f>
        <v>26.5</v>
      </c>
      <c r="W19" s="1">
        <f>ZG!E22</f>
        <v>75</v>
      </c>
      <c r="X19" s="136">
        <f>ZG!F22</f>
        <v>132.5</v>
      </c>
      <c r="Y19">
        <f>ZG!G22</f>
        <v>75</v>
      </c>
      <c r="Z19" s="136">
        <f>ZG!H22</f>
        <v>450.5</v>
      </c>
      <c r="AA19" s="1">
        <f>ZG!I22</f>
        <v>75</v>
      </c>
      <c r="AB19" s="136">
        <f>ZG!J22</f>
        <v>636</v>
      </c>
      <c r="AC19" s="1">
        <f>ZG!K22</f>
        <v>75</v>
      </c>
      <c r="AD19" s="136">
        <f>ZG!L22</f>
        <v>1060</v>
      </c>
      <c r="AE19" s="1">
        <f>ZG!M22</f>
        <v>75</v>
      </c>
      <c r="AF19" s="136">
        <f>ZG!N22</f>
        <v>2650</v>
      </c>
      <c r="AG19" s="1">
        <f>ZG!O22</f>
        <v>75</v>
      </c>
      <c r="AH19" s="136">
        <f>ZG!P22</f>
        <v>5300</v>
      </c>
      <c r="AI19" s="1">
        <f>ZG!Q22</f>
        <v>75</v>
      </c>
      <c r="AJ19" s="136">
        <f>ZG!R22</f>
        <v>10600</v>
      </c>
      <c r="AK19" s="30">
        <f>ZG!S22</f>
        <v>75</v>
      </c>
      <c r="AO19" s="29">
        <f>ZGP!B21</f>
        <v>26.5</v>
      </c>
      <c r="AP19" s="1">
        <f>ZGP!C21</f>
        <v>75</v>
      </c>
      <c r="AQ19" s="136">
        <f>ZGP!D21</f>
        <v>450.5</v>
      </c>
      <c r="AR19" s="1">
        <f>ZGP!E21</f>
        <v>75</v>
      </c>
      <c r="AS19" s="136">
        <f>ZGP!F21</f>
        <v>2650</v>
      </c>
      <c r="AT19" s="30">
        <f>ZGP!G21</f>
        <v>75</v>
      </c>
      <c r="AV19" s="29">
        <f>HP!B21</f>
        <v>159</v>
      </c>
      <c r="AW19" s="1">
        <f>HP!C21</f>
        <v>75</v>
      </c>
      <c r="AX19" s="136">
        <f>HP!D21</f>
        <v>1590</v>
      </c>
      <c r="AY19" s="1">
        <f>HP!E21</f>
        <v>75</v>
      </c>
      <c r="AZ19" s="136">
        <f>HP!F21</f>
        <v>5300</v>
      </c>
      <c r="BA19" s="30">
        <f>HP!G21</f>
        <v>75</v>
      </c>
      <c r="BC19" s="29">
        <f>HS!B21</f>
        <v>63.6</v>
      </c>
      <c r="BD19" s="1">
        <f>HS!C21</f>
        <v>75</v>
      </c>
      <c r="BE19" s="136">
        <f>HS!D21</f>
        <v>424</v>
      </c>
      <c r="BF19" s="1">
        <f>HS!E21</f>
        <v>75</v>
      </c>
      <c r="BG19" s="136">
        <f>HS!F21</f>
        <v>795</v>
      </c>
      <c r="BH19" s="30">
        <f>HS!G21</f>
        <v>75</v>
      </c>
      <c r="BJ19" s="29">
        <f>ZF!B21</f>
        <v>132.5</v>
      </c>
      <c r="BK19" s="1">
        <f>ZF!C21</f>
        <v>75</v>
      </c>
      <c r="BL19" s="136">
        <f>ZF!D21</f>
        <v>1590</v>
      </c>
      <c r="BM19" s="30">
        <f>ZF!E21</f>
        <v>75</v>
      </c>
    </row>
    <row r="20" spans="2:65" x14ac:dyDescent="0.25">
      <c r="B20" s="70"/>
      <c r="C20" s="130"/>
      <c r="F20" s="301"/>
      <c r="G20" s="183" t="s">
        <v>170</v>
      </c>
      <c r="H20" s="129" t="s">
        <v>149</v>
      </c>
      <c r="I20" s="129" t="s">
        <v>149</v>
      </c>
      <c r="J20" s="128" t="s">
        <v>149</v>
      </c>
      <c r="K20" s="129" t="s">
        <v>149</v>
      </c>
      <c r="L20" s="179" t="s">
        <v>149</v>
      </c>
      <c r="M20" s="184" t="s">
        <v>149</v>
      </c>
      <c r="N20" s="129" t="s">
        <v>149</v>
      </c>
      <c r="O20" s="129" t="s">
        <v>149</v>
      </c>
      <c r="P20" s="129" t="s">
        <v>149</v>
      </c>
      <c r="Q20" s="179" t="s">
        <v>149</v>
      </c>
      <c r="R20" s="189"/>
      <c r="T20" s="29">
        <f>ZG!B23</f>
        <v>5.2</v>
      </c>
      <c r="U20">
        <f>ZG!C23</f>
        <v>80</v>
      </c>
      <c r="V20" s="136">
        <f>ZG!D23</f>
        <v>26</v>
      </c>
      <c r="W20" s="1">
        <f>ZG!E23</f>
        <v>80</v>
      </c>
      <c r="X20" s="136">
        <f>ZG!F23</f>
        <v>130</v>
      </c>
      <c r="Y20">
        <f>ZG!G23</f>
        <v>80</v>
      </c>
      <c r="Z20" s="136">
        <f>ZG!H23</f>
        <v>442</v>
      </c>
      <c r="AA20" s="1">
        <f>ZG!I23</f>
        <v>80</v>
      </c>
      <c r="AB20" s="136">
        <f>ZG!J23</f>
        <v>624</v>
      </c>
      <c r="AC20" s="1">
        <f>ZG!K23</f>
        <v>80</v>
      </c>
      <c r="AD20" s="136">
        <f>ZG!L23</f>
        <v>1040</v>
      </c>
      <c r="AE20" s="1">
        <f>ZG!M23</f>
        <v>80</v>
      </c>
      <c r="AF20" s="136">
        <f>ZG!N23</f>
        <v>2600</v>
      </c>
      <c r="AG20" s="1">
        <f>ZG!O23</f>
        <v>80</v>
      </c>
      <c r="AH20" s="136">
        <f>ZG!P23</f>
        <v>5200</v>
      </c>
      <c r="AI20" s="1">
        <f>ZG!Q23</f>
        <v>80</v>
      </c>
      <c r="AJ20" s="136">
        <f>ZG!R23</f>
        <v>10400</v>
      </c>
      <c r="AK20" s="30">
        <f>ZG!S23</f>
        <v>80</v>
      </c>
      <c r="AO20" s="29">
        <f>ZGP!B22</f>
        <v>26</v>
      </c>
      <c r="AP20" s="1">
        <f>ZGP!C22</f>
        <v>80</v>
      </c>
      <c r="AQ20" s="136">
        <f>ZGP!D22</f>
        <v>442</v>
      </c>
      <c r="AR20" s="1">
        <f>ZGP!E22</f>
        <v>80</v>
      </c>
      <c r="AS20" s="136">
        <f>ZGP!F22</f>
        <v>2600</v>
      </c>
      <c r="AT20" s="30">
        <f>ZGP!G22</f>
        <v>80</v>
      </c>
      <c r="AV20" s="29">
        <f>HP!B22</f>
        <v>156</v>
      </c>
      <c r="AW20" s="1">
        <f>HP!C22</f>
        <v>80</v>
      </c>
      <c r="AX20" s="136">
        <f>HP!D22</f>
        <v>1560</v>
      </c>
      <c r="AY20" s="1">
        <f>HP!E22</f>
        <v>80</v>
      </c>
      <c r="AZ20" s="136">
        <f>HP!F22</f>
        <v>5200</v>
      </c>
      <c r="BA20" s="30">
        <f>HP!G22</f>
        <v>80</v>
      </c>
      <c r="BC20" s="29">
        <f>HS!B22</f>
        <v>62.4</v>
      </c>
      <c r="BD20" s="1">
        <f>HS!C22</f>
        <v>80</v>
      </c>
      <c r="BE20" s="136">
        <f>HS!D22</f>
        <v>416</v>
      </c>
      <c r="BF20" s="1">
        <f>HS!E22</f>
        <v>80</v>
      </c>
      <c r="BG20" s="136">
        <f>HS!F22</f>
        <v>780</v>
      </c>
      <c r="BH20" s="30">
        <f>HS!G22</f>
        <v>80</v>
      </c>
      <c r="BJ20" s="29">
        <f>ZF!B22</f>
        <v>130</v>
      </c>
      <c r="BK20" s="1">
        <f>ZF!C22</f>
        <v>80</v>
      </c>
      <c r="BL20" s="136">
        <f>ZF!D22</f>
        <v>1560</v>
      </c>
      <c r="BM20" s="30">
        <f>ZF!E22</f>
        <v>80</v>
      </c>
    </row>
    <row r="21" spans="2:65" x14ac:dyDescent="0.25">
      <c r="B21" s="70"/>
      <c r="C21" s="74"/>
      <c r="F21" s="301"/>
      <c r="G21" s="192" t="s">
        <v>171</v>
      </c>
      <c r="H21" s="161" t="s">
        <v>149</v>
      </c>
      <c r="I21" s="161" t="s">
        <v>149</v>
      </c>
      <c r="J21" s="171" t="s">
        <v>149</v>
      </c>
      <c r="K21" s="161" t="s">
        <v>149</v>
      </c>
      <c r="L21" s="180" t="s">
        <v>149</v>
      </c>
      <c r="M21" s="185" t="s">
        <v>149</v>
      </c>
      <c r="N21" s="161" t="s">
        <v>149</v>
      </c>
      <c r="O21" s="161" t="s">
        <v>149</v>
      </c>
      <c r="P21" s="161" t="s">
        <v>149</v>
      </c>
      <c r="Q21" s="180" t="s">
        <v>149</v>
      </c>
      <c r="R21" s="195"/>
      <c r="T21" s="29">
        <f>ZG!B24</f>
        <v>5.0999999999999996</v>
      </c>
      <c r="U21">
        <f>ZG!C24</f>
        <v>85</v>
      </c>
      <c r="V21" s="136">
        <f>ZG!D24</f>
        <v>25.5</v>
      </c>
      <c r="W21" s="1">
        <f>ZG!E24</f>
        <v>85</v>
      </c>
      <c r="X21" s="136">
        <f>ZG!F24</f>
        <v>127.5</v>
      </c>
      <c r="Y21">
        <f>ZG!G24</f>
        <v>85</v>
      </c>
      <c r="Z21" s="136">
        <f>ZG!H24</f>
        <v>433.5</v>
      </c>
      <c r="AA21" s="1">
        <f>ZG!I24</f>
        <v>85</v>
      </c>
      <c r="AB21" s="136">
        <f>ZG!J24</f>
        <v>612</v>
      </c>
      <c r="AC21" s="1">
        <f>ZG!K24</f>
        <v>85</v>
      </c>
      <c r="AD21" s="136">
        <f>ZG!L24</f>
        <v>1020</v>
      </c>
      <c r="AE21" s="1">
        <f>ZG!M24</f>
        <v>85</v>
      </c>
      <c r="AF21" s="136">
        <f>ZG!N24</f>
        <v>2550</v>
      </c>
      <c r="AG21" s="1">
        <f>ZG!O24</f>
        <v>85</v>
      </c>
      <c r="AH21" s="136">
        <f>ZG!P24</f>
        <v>5100</v>
      </c>
      <c r="AI21" s="1">
        <f>ZG!Q24</f>
        <v>85</v>
      </c>
      <c r="AJ21" s="136">
        <f>ZG!R24</f>
        <v>10200</v>
      </c>
      <c r="AK21" s="30">
        <f>ZG!S24</f>
        <v>85</v>
      </c>
      <c r="AO21" s="29">
        <f>ZGP!B23</f>
        <v>25.5</v>
      </c>
      <c r="AP21" s="1">
        <f>ZGP!C23</f>
        <v>85</v>
      </c>
      <c r="AQ21" s="136">
        <f>ZGP!D23</f>
        <v>433.5</v>
      </c>
      <c r="AR21" s="1">
        <f>ZGP!E23</f>
        <v>85</v>
      </c>
      <c r="AS21" s="136">
        <f>ZGP!F23</f>
        <v>2550</v>
      </c>
      <c r="AT21" s="30">
        <f>ZGP!G23</f>
        <v>85</v>
      </c>
      <c r="AV21" s="29">
        <f>HP!B23</f>
        <v>153</v>
      </c>
      <c r="AW21" s="1">
        <f>HP!C23</f>
        <v>85</v>
      </c>
      <c r="AX21" s="136">
        <f>HP!D23</f>
        <v>1530</v>
      </c>
      <c r="AY21" s="1">
        <f>HP!E23</f>
        <v>85</v>
      </c>
      <c r="AZ21" s="136">
        <f>HP!F23</f>
        <v>5100</v>
      </c>
      <c r="BA21" s="30">
        <f>HP!G23</f>
        <v>85</v>
      </c>
      <c r="BC21" s="29">
        <f>HS!B23</f>
        <v>61.2</v>
      </c>
      <c r="BD21" s="1">
        <f>HS!C23</f>
        <v>85</v>
      </c>
      <c r="BE21" s="136">
        <f>HS!D23</f>
        <v>408</v>
      </c>
      <c r="BF21" s="1">
        <f>HS!E23</f>
        <v>85</v>
      </c>
      <c r="BG21" s="136">
        <f>HS!F23</f>
        <v>765</v>
      </c>
      <c r="BH21" s="30">
        <f>HS!G23</f>
        <v>85</v>
      </c>
      <c r="BJ21" s="29">
        <f>ZF!B23</f>
        <v>127.5</v>
      </c>
      <c r="BK21" s="1">
        <f>ZF!C23</f>
        <v>85</v>
      </c>
      <c r="BL21" s="136">
        <f>ZF!D23</f>
        <v>1530</v>
      </c>
      <c r="BM21" s="30">
        <f>ZF!E23</f>
        <v>85</v>
      </c>
    </row>
    <row r="22" spans="2:65" ht="30" x14ac:dyDescent="0.25">
      <c r="B22" s="70"/>
      <c r="C22" s="130"/>
      <c r="F22" s="301"/>
      <c r="G22" s="5" t="s">
        <v>172</v>
      </c>
      <c r="H22" s="4" t="s">
        <v>173</v>
      </c>
      <c r="I22" s="4" t="s">
        <v>175</v>
      </c>
      <c r="J22" s="4" t="s">
        <v>173</v>
      </c>
      <c r="K22" s="4" t="s">
        <v>173</v>
      </c>
      <c r="L22" s="181" t="s">
        <v>174</v>
      </c>
      <c r="M22" s="186" t="s">
        <v>173</v>
      </c>
      <c r="N22" s="4" t="s">
        <v>175</v>
      </c>
      <c r="O22" s="4" t="s">
        <v>173</v>
      </c>
      <c r="P22" s="4" t="s">
        <v>173</v>
      </c>
      <c r="Q22" s="181" t="s">
        <v>174</v>
      </c>
      <c r="R22" s="188"/>
      <c r="T22" s="29">
        <f>ZG!B25</f>
        <v>5</v>
      </c>
      <c r="U22">
        <f>ZG!C25</f>
        <v>90</v>
      </c>
      <c r="V22" s="136">
        <f>ZG!D25</f>
        <v>25</v>
      </c>
      <c r="W22" s="1">
        <f>ZG!E25</f>
        <v>90</v>
      </c>
      <c r="X22" s="136">
        <f>ZG!F25</f>
        <v>125</v>
      </c>
      <c r="Y22">
        <f>ZG!G25</f>
        <v>90</v>
      </c>
      <c r="Z22" s="136">
        <f>ZG!H25</f>
        <v>425</v>
      </c>
      <c r="AA22" s="1">
        <f>ZG!I25</f>
        <v>90</v>
      </c>
      <c r="AB22" s="136">
        <f>ZG!J25</f>
        <v>600</v>
      </c>
      <c r="AC22" s="1">
        <f>ZG!K25</f>
        <v>90</v>
      </c>
      <c r="AD22" s="136">
        <f>ZG!L25</f>
        <v>1000</v>
      </c>
      <c r="AE22" s="1">
        <f>ZG!M25</f>
        <v>90</v>
      </c>
      <c r="AF22" s="136">
        <f>ZG!N25</f>
        <v>2500</v>
      </c>
      <c r="AG22" s="1">
        <f>ZG!O25</f>
        <v>90</v>
      </c>
      <c r="AH22" s="136">
        <f>ZG!P25</f>
        <v>5000</v>
      </c>
      <c r="AI22" s="1">
        <f>ZG!Q25</f>
        <v>90</v>
      </c>
      <c r="AJ22" s="136">
        <f>ZG!R25</f>
        <v>10000</v>
      </c>
      <c r="AK22" s="30">
        <f>ZG!S25</f>
        <v>90</v>
      </c>
      <c r="AO22" s="29">
        <f>ZGP!B24</f>
        <v>25</v>
      </c>
      <c r="AP22" s="1">
        <f>ZGP!C24</f>
        <v>90</v>
      </c>
      <c r="AQ22" s="136">
        <f>ZGP!D24</f>
        <v>425</v>
      </c>
      <c r="AR22" s="1">
        <f>ZGP!E24</f>
        <v>90</v>
      </c>
      <c r="AS22" s="136">
        <f>ZGP!F24</f>
        <v>2500</v>
      </c>
      <c r="AT22" s="30">
        <f>ZGP!G24</f>
        <v>90</v>
      </c>
      <c r="AV22" s="29">
        <f>HP!B24</f>
        <v>150</v>
      </c>
      <c r="AW22" s="1">
        <f>HP!C24</f>
        <v>90</v>
      </c>
      <c r="AX22" s="136">
        <f>HP!D24</f>
        <v>1500</v>
      </c>
      <c r="AY22" s="1">
        <f>HP!E24</f>
        <v>90</v>
      </c>
      <c r="AZ22" s="136">
        <f>HP!F24</f>
        <v>5000</v>
      </c>
      <c r="BA22" s="30">
        <f>HP!G24</f>
        <v>90</v>
      </c>
      <c r="BC22" s="29">
        <f>HS!B24</f>
        <v>60</v>
      </c>
      <c r="BD22" s="1">
        <f>HS!C24</f>
        <v>90</v>
      </c>
      <c r="BE22" s="136">
        <f>HS!D24</f>
        <v>400</v>
      </c>
      <c r="BF22" s="1">
        <f>HS!E24</f>
        <v>90</v>
      </c>
      <c r="BG22" s="136">
        <f>HS!F24</f>
        <v>750</v>
      </c>
      <c r="BH22" s="30">
        <f>HS!G24</f>
        <v>90</v>
      </c>
      <c r="BJ22" s="29">
        <f>ZF!B24</f>
        <v>125</v>
      </c>
      <c r="BK22" s="1">
        <f>ZF!C24</f>
        <v>90</v>
      </c>
      <c r="BL22" s="136">
        <f>ZF!D24</f>
        <v>1500</v>
      </c>
      <c r="BM22" s="30">
        <f>ZF!E24</f>
        <v>90</v>
      </c>
    </row>
    <row r="23" spans="2:65" ht="30" x14ac:dyDescent="0.25">
      <c r="F23" s="301"/>
      <c r="G23" s="5" t="s">
        <v>176</v>
      </c>
      <c r="H23" s="172" t="s">
        <v>177</v>
      </c>
      <c r="I23" s="173" t="s">
        <v>178</v>
      </c>
      <c r="J23" s="173" t="s">
        <v>177</v>
      </c>
      <c r="K23" s="173" t="s">
        <v>177</v>
      </c>
      <c r="L23" s="193" t="s">
        <v>177</v>
      </c>
      <c r="M23" s="194" t="s">
        <v>177</v>
      </c>
      <c r="N23" s="173" t="s">
        <v>178</v>
      </c>
      <c r="O23" s="173" t="s">
        <v>177</v>
      </c>
      <c r="P23" s="173" t="s">
        <v>177</v>
      </c>
      <c r="Q23" s="193" t="s">
        <v>177</v>
      </c>
      <c r="R23" s="188"/>
      <c r="T23" s="29">
        <f>ZG!B26</f>
        <v>4.9000000000000004</v>
      </c>
      <c r="U23">
        <f>ZG!C26</f>
        <v>95</v>
      </c>
      <c r="V23" s="136">
        <f>ZG!D26</f>
        <v>24.5</v>
      </c>
      <c r="W23" s="1">
        <f>ZG!E26</f>
        <v>95</v>
      </c>
      <c r="X23" s="136">
        <f>ZG!F26</f>
        <v>122.5</v>
      </c>
      <c r="Y23">
        <f>ZG!G26</f>
        <v>95</v>
      </c>
      <c r="Z23" s="136">
        <f>ZG!H26</f>
        <v>416.5</v>
      </c>
      <c r="AA23" s="1">
        <f>ZG!I26</f>
        <v>95</v>
      </c>
      <c r="AB23" s="136">
        <f>ZG!J26</f>
        <v>588</v>
      </c>
      <c r="AC23" s="1">
        <f>ZG!K26</f>
        <v>95</v>
      </c>
      <c r="AD23" s="136">
        <f>ZG!L26</f>
        <v>980</v>
      </c>
      <c r="AE23" s="1">
        <f>ZG!M26</f>
        <v>95</v>
      </c>
      <c r="AF23" s="136">
        <f>ZG!N26</f>
        <v>2450</v>
      </c>
      <c r="AG23" s="1">
        <f>ZG!O26</f>
        <v>95</v>
      </c>
      <c r="AH23" s="136">
        <f>ZG!P26</f>
        <v>4900</v>
      </c>
      <c r="AI23" s="1">
        <f>ZG!Q26</f>
        <v>95</v>
      </c>
      <c r="AJ23" s="136">
        <f>ZG!R26</f>
        <v>9800</v>
      </c>
      <c r="AK23" s="30">
        <f>ZG!S26</f>
        <v>95</v>
      </c>
      <c r="AO23" s="29">
        <f>ZGP!B25</f>
        <v>24.5</v>
      </c>
      <c r="AP23" s="1">
        <f>ZGP!C25</f>
        <v>95</v>
      </c>
      <c r="AQ23" s="136">
        <f>ZGP!D25</f>
        <v>416.5</v>
      </c>
      <c r="AR23" s="1">
        <f>ZGP!E25</f>
        <v>95</v>
      </c>
      <c r="AS23" s="136">
        <f>ZGP!F25</f>
        <v>2450</v>
      </c>
      <c r="AT23" s="30">
        <f>ZGP!G25</f>
        <v>95</v>
      </c>
      <c r="AV23" s="29">
        <f>HP!B25</f>
        <v>147</v>
      </c>
      <c r="AW23" s="1">
        <f>HP!C25</f>
        <v>95</v>
      </c>
      <c r="AX23" s="136">
        <f>HP!D25</f>
        <v>1470</v>
      </c>
      <c r="AY23" s="1">
        <f>HP!E25</f>
        <v>95</v>
      </c>
      <c r="AZ23" s="136">
        <f>HP!F25</f>
        <v>4900</v>
      </c>
      <c r="BA23" s="30">
        <f>HP!G25</f>
        <v>95</v>
      </c>
      <c r="BC23" s="29">
        <f>HS!B25</f>
        <v>58.8</v>
      </c>
      <c r="BD23" s="1">
        <f>HS!C25</f>
        <v>95</v>
      </c>
      <c r="BE23" s="136">
        <f>HS!D25</f>
        <v>392</v>
      </c>
      <c r="BF23" s="1">
        <f>HS!E25</f>
        <v>95</v>
      </c>
      <c r="BG23" s="136">
        <f>HS!F25</f>
        <v>735</v>
      </c>
      <c r="BH23" s="30">
        <f>HS!G25</f>
        <v>95</v>
      </c>
      <c r="BJ23" s="29">
        <f>ZF!B25</f>
        <v>122.5</v>
      </c>
      <c r="BK23" s="1">
        <f>ZF!C25</f>
        <v>95</v>
      </c>
      <c r="BL23" s="136">
        <f>ZF!D25</f>
        <v>1470</v>
      </c>
      <c r="BM23" s="30">
        <f>ZF!E25</f>
        <v>95</v>
      </c>
    </row>
    <row r="24" spans="2:65" x14ac:dyDescent="0.25">
      <c r="F24" s="301"/>
      <c r="G24" s="197" t="s">
        <v>150</v>
      </c>
      <c r="H24" s="161" t="s">
        <v>149</v>
      </c>
      <c r="I24" s="161" t="s">
        <v>149</v>
      </c>
      <c r="J24" s="171" t="s">
        <v>149</v>
      </c>
      <c r="K24" s="161" t="s">
        <v>149</v>
      </c>
      <c r="L24" s="180" t="s">
        <v>149</v>
      </c>
      <c r="M24" s="185" t="s">
        <v>149</v>
      </c>
      <c r="N24" s="161" t="s">
        <v>149</v>
      </c>
      <c r="O24" s="161" t="s">
        <v>149</v>
      </c>
      <c r="P24" s="161" t="s">
        <v>149</v>
      </c>
      <c r="Q24" s="180" t="s">
        <v>149</v>
      </c>
      <c r="R24" s="195"/>
      <c r="T24" s="29">
        <f>ZG!B27</f>
        <v>4.8499999999999996</v>
      </c>
      <c r="U24">
        <f>ZG!C27</f>
        <v>100</v>
      </c>
      <c r="V24" s="136">
        <f>ZG!D27</f>
        <v>24.25</v>
      </c>
      <c r="W24" s="1">
        <f>ZG!E27</f>
        <v>100</v>
      </c>
      <c r="X24" s="136">
        <f>ZG!F27</f>
        <v>121.25</v>
      </c>
      <c r="Y24">
        <f>ZG!G27</f>
        <v>100</v>
      </c>
      <c r="Z24" s="136">
        <f>ZG!H27</f>
        <v>412.25</v>
      </c>
      <c r="AA24" s="1">
        <f>ZG!I27</f>
        <v>100</v>
      </c>
      <c r="AB24" s="136">
        <f>ZG!J27</f>
        <v>582</v>
      </c>
      <c r="AC24" s="1">
        <f>ZG!K27</f>
        <v>100</v>
      </c>
      <c r="AD24" s="136">
        <f>ZG!L27</f>
        <v>970</v>
      </c>
      <c r="AE24" s="1">
        <f>ZG!M27</f>
        <v>100</v>
      </c>
      <c r="AF24" s="136">
        <f>ZG!N27</f>
        <v>2425</v>
      </c>
      <c r="AG24" s="1">
        <f>ZG!O27</f>
        <v>100</v>
      </c>
      <c r="AH24" s="136">
        <f>ZG!P27</f>
        <v>4850</v>
      </c>
      <c r="AI24" s="1">
        <f>ZG!Q27</f>
        <v>100</v>
      </c>
      <c r="AJ24" s="136">
        <f>ZG!R27</f>
        <v>9700</v>
      </c>
      <c r="AK24" s="30">
        <f>ZG!S27</f>
        <v>100</v>
      </c>
      <c r="AO24" s="29">
        <f>ZGP!B26</f>
        <v>24.25</v>
      </c>
      <c r="AP24" s="1">
        <f>ZGP!C26</f>
        <v>100</v>
      </c>
      <c r="AQ24" s="136">
        <f>ZGP!D26</f>
        <v>412.25</v>
      </c>
      <c r="AR24" s="1">
        <f>ZGP!E26</f>
        <v>100</v>
      </c>
      <c r="AS24" s="136">
        <f>ZGP!F26</f>
        <v>2425</v>
      </c>
      <c r="AT24" s="30">
        <f>ZGP!G26</f>
        <v>100</v>
      </c>
      <c r="AV24" s="29">
        <f>HP!B26</f>
        <v>145.5</v>
      </c>
      <c r="AW24" s="1">
        <f>HP!C26</f>
        <v>100</v>
      </c>
      <c r="AX24" s="136">
        <f>HP!D26</f>
        <v>1455</v>
      </c>
      <c r="AY24" s="1">
        <f>HP!E26</f>
        <v>100</v>
      </c>
      <c r="AZ24" s="136">
        <f>HP!F26</f>
        <v>4850</v>
      </c>
      <c r="BA24" s="30">
        <f>HP!G26</f>
        <v>100</v>
      </c>
      <c r="BC24" s="29">
        <f>HS!B26</f>
        <v>58.2</v>
      </c>
      <c r="BD24" s="1">
        <f>HS!C26</f>
        <v>100</v>
      </c>
      <c r="BE24" s="136">
        <f>HS!D26</f>
        <v>388</v>
      </c>
      <c r="BF24" s="1">
        <f>HS!E26</f>
        <v>100</v>
      </c>
      <c r="BG24" s="136">
        <f>HS!F26</f>
        <v>727.5</v>
      </c>
      <c r="BH24" s="30">
        <f>HS!G26</f>
        <v>100</v>
      </c>
      <c r="BJ24" s="29">
        <f>ZF!B26</f>
        <v>121.25</v>
      </c>
      <c r="BK24" s="1">
        <f>ZF!C26</f>
        <v>100</v>
      </c>
      <c r="BL24" s="136">
        <f>ZF!D26</f>
        <v>1455</v>
      </c>
      <c r="BM24" s="30">
        <f>ZF!E26</f>
        <v>100</v>
      </c>
    </row>
    <row r="25" spans="2:65" ht="45.75" thickBot="1" x14ac:dyDescent="0.3">
      <c r="F25" s="302"/>
      <c r="G25" s="169" t="s">
        <v>151</v>
      </c>
      <c r="H25" s="161" t="s">
        <v>149</v>
      </c>
      <c r="I25" s="161" t="s">
        <v>149</v>
      </c>
      <c r="J25" s="171" t="s">
        <v>149</v>
      </c>
      <c r="K25" s="161" t="s">
        <v>149</v>
      </c>
      <c r="L25" s="180" t="s">
        <v>149</v>
      </c>
      <c r="M25" s="185" t="s">
        <v>149</v>
      </c>
      <c r="N25" s="161" t="s">
        <v>149</v>
      </c>
      <c r="O25" s="161" t="s">
        <v>149</v>
      </c>
      <c r="P25" s="161" t="s">
        <v>149</v>
      </c>
      <c r="Q25" s="180" t="s">
        <v>149</v>
      </c>
      <c r="R25" s="195"/>
      <c r="T25" s="29">
        <f>ZG!B28</f>
        <v>4.3</v>
      </c>
      <c r="U25">
        <f>ZG!C28</f>
        <v>150</v>
      </c>
      <c r="V25" s="136">
        <f>ZG!D28</f>
        <v>21.5</v>
      </c>
      <c r="W25" s="1">
        <f>ZG!E28</f>
        <v>150</v>
      </c>
      <c r="X25" s="136">
        <f>ZG!F28</f>
        <v>107.5</v>
      </c>
      <c r="Y25">
        <f>ZG!G28</f>
        <v>150</v>
      </c>
      <c r="Z25" s="136">
        <f>ZG!H28</f>
        <v>365.5</v>
      </c>
      <c r="AA25" s="1">
        <f>ZG!I28</f>
        <v>150</v>
      </c>
      <c r="AB25" s="136">
        <f>ZG!J28</f>
        <v>516</v>
      </c>
      <c r="AC25" s="1">
        <f>ZG!K28</f>
        <v>150</v>
      </c>
      <c r="AD25" s="136">
        <f>ZG!L28</f>
        <v>860</v>
      </c>
      <c r="AE25" s="1">
        <f>ZG!M28</f>
        <v>150</v>
      </c>
      <c r="AF25" s="136">
        <f>ZG!N28</f>
        <v>2150</v>
      </c>
      <c r="AG25" s="1">
        <f>ZG!O28</f>
        <v>150</v>
      </c>
      <c r="AH25" s="136">
        <f>ZG!P28</f>
        <v>4300</v>
      </c>
      <c r="AI25" s="1">
        <f>ZG!Q28</f>
        <v>150</v>
      </c>
      <c r="AJ25" s="136">
        <f>ZG!R28</f>
        <v>8600</v>
      </c>
      <c r="AK25" s="30">
        <f>ZG!S28</f>
        <v>150</v>
      </c>
      <c r="AO25" s="29">
        <f>ZGP!B27</f>
        <v>21.5</v>
      </c>
      <c r="AP25" s="1">
        <f>ZGP!C27</f>
        <v>150</v>
      </c>
      <c r="AQ25" s="136">
        <f>ZGP!D27</f>
        <v>365.5</v>
      </c>
      <c r="AR25" s="1">
        <f>ZGP!E27</f>
        <v>150</v>
      </c>
      <c r="AS25" s="136">
        <f>ZGP!F27</f>
        <v>2150</v>
      </c>
      <c r="AT25" s="30">
        <f>ZGP!G27</f>
        <v>150</v>
      </c>
      <c r="AV25" s="29">
        <f>HP!B27</f>
        <v>129</v>
      </c>
      <c r="AW25" s="1">
        <f>HP!C27</f>
        <v>150</v>
      </c>
      <c r="AX25" s="136">
        <f>HP!D27</f>
        <v>1290</v>
      </c>
      <c r="AY25" s="1">
        <f>HP!E27</f>
        <v>150</v>
      </c>
      <c r="AZ25" s="136">
        <f>HP!F27</f>
        <v>4300</v>
      </c>
      <c r="BA25" s="30">
        <f>HP!G27</f>
        <v>150</v>
      </c>
      <c r="BC25" s="29">
        <f>HS!B27</f>
        <v>51.6</v>
      </c>
      <c r="BD25" s="1">
        <f>HS!C27</f>
        <v>150</v>
      </c>
      <c r="BE25" s="136">
        <f>HS!D27</f>
        <v>344</v>
      </c>
      <c r="BF25" s="1">
        <f>HS!E27</f>
        <v>150</v>
      </c>
      <c r="BG25" s="136">
        <f>HS!F27</f>
        <v>645</v>
      </c>
      <c r="BH25" s="30">
        <f>HS!G27</f>
        <v>150</v>
      </c>
      <c r="BJ25" s="29">
        <f>ZF!B27</f>
        <v>107.5</v>
      </c>
      <c r="BK25" s="1">
        <f>ZF!C27</f>
        <v>150</v>
      </c>
      <c r="BL25" s="136">
        <f>ZF!D27</f>
        <v>1290</v>
      </c>
      <c r="BM25" s="30">
        <f>ZF!E27</f>
        <v>150</v>
      </c>
    </row>
    <row r="26" spans="2:65" x14ac:dyDescent="0.25">
      <c r="T26" s="29">
        <f>ZG!B29</f>
        <v>3.9</v>
      </c>
      <c r="U26">
        <f>ZG!C29</f>
        <v>200</v>
      </c>
      <c r="V26" s="136">
        <f>ZG!D29</f>
        <v>19.5</v>
      </c>
      <c r="W26" s="1">
        <f>ZG!E29</f>
        <v>200</v>
      </c>
      <c r="X26" s="136">
        <f>ZG!F29</f>
        <v>97.5</v>
      </c>
      <c r="Y26">
        <f>ZG!G29</f>
        <v>200</v>
      </c>
      <c r="Z26" s="136">
        <f>ZG!H29</f>
        <v>331.5</v>
      </c>
      <c r="AA26" s="1">
        <f>ZG!I29</f>
        <v>200</v>
      </c>
      <c r="AB26" s="136">
        <f>ZG!J29</f>
        <v>468</v>
      </c>
      <c r="AC26" s="1">
        <f>ZG!K29</f>
        <v>200</v>
      </c>
      <c r="AD26" s="136">
        <f>ZG!L29</f>
        <v>780</v>
      </c>
      <c r="AE26" s="1">
        <f>ZG!M29</f>
        <v>200</v>
      </c>
      <c r="AF26" s="136">
        <f>ZG!N29</f>
        <v>1950</v>
      </c>
      <c r="AG26" s="1">
        <f>ZG!O29</f>
        <v>200</v>
      </c>
      <c r="AH26" s="136">
        <f>ZG!P29</f>
        <v>3900</v>
      </c>
      <c r="AI26" s="1">
        <f>ZG!Q29</f>
        <v>200</v>
      </c>
      <c r="AJ26" s="136">
        <f>ZG!R29</f>
        <v>7800</v>
      </c>
      <c r="AK26" s="30">
        <f>ZG!S29</f>
        <v>200</v>
      </c>
      <c r="AO26" s="29">
        <f>ZGP!B28</f>
        <v>19.5</v>
      </c>
      <c r="AP26" s="1">
        <f>ZGP!C28</f>
        <v>200</v>
      </c>
      <c r="AQ26" s="136">
        <f>ZGP!D28</f>
        <v>331.5</v>
      </c>
      <c r="AR26" s="1">
        <f>ZGP!E28</f>
        <v>200</v>
      </c>
      <c r="AS26" s="136">
        <f>ZGP!F28</f>
        <v>1950</v>
      </c>
      <c r="AT26" s="30">
        <f>ZGP!G28</f>
        <v>200</v>
      </c>
      <c r="AV26" s="29">
        <f>HP!B28</f>
        <v>117</v>
      </c>
      <c r="AW26" s="1">
        <f>HP!C28</f>
        <v>200</v>
      </c>
      <c r="AX26" s="136">
        <f>HP!D28</f>
        <v>1170</v>
      </c>
      <c r="AY26" s="1">
        <f>HP!E28</f>
        <v>200</v>
      </c>
      <c r="AZ26" s="136">
        <f>HP!F28</f>
        <v>3900</v>
      </c>
      <c r="BA26" s="30">
        <f>HP!G28</f>
        <v>200</v>
      </c>
      <c r="BC26" s="29">
        <f>HS!B28</f>
        <v>46.8</v>
      </c>
      <c r="BD26" s="1">
        <f>HS!C28</f>
        <v>200</v>
      </c>
      <c r="BE26" s="136">
        <f>HS!D28</f>
        <v>312</v>
      </c>
      <c r="BF26" s="1">
        <f>HS!E28</f>
        <v>200</v>
      </c>
      <c r="BG26" s="136">
        <f>HS!F28</f>
        <v>585</v>
      </c>
      <c r="BH26" s="30">
        <f>HS!G28</f>
        <v>200</v>
      </c>
      <c r="BJ26" s="29">
        <f>ZF!B28</f>
        <v>97.5</v>
      </c>
      <c r="BK26" s="1">
        <f>ZF!C28</f>
        <v>200</v>
      </c>
      <c r="BL26" s="136">
        <f>ZF!D28</f>
        <v>1170</v>
      </c>
      <c r="BM26" s="30">
        <f>ZF!E28</f>
        <v>200</v>
      </c>
    </row>
    <row r="27" spans="2:65" x14ac:dyDescent="0.25">
      <c r="T27" s="29">
        <f>ZG!B30</f>
        <v>3.55</v>
      </c>
      <c r="U27">
        <f>ZG!C30</f>
        <v>250</v>
      </c>
      <c r="V27" s="136">
        <f>ZG!D30</f>
        <v>17.75</v>
      </c>
      <c r="W27" s="1">
        <f>ZG!E30</f>
        <v>250</v>
      </c>
      <c r="X27" s="136">
        <f>ZG!F30</f>
        <v>88.75</v>
      </c>
      <c r="Y27">
        <f>ZG!G30</f>
        <v>250</v>
      </c>
      <c r="Z27" s="136">
        <f>ZG!H30</f>
        <v>301.75</v>
      </c>
      <c r="AA27" s="1">
        <f>ZG!I30</f>
        <v>250</v>
      </c>
      <c r="AB27" s="136">
        <f>ZG!J30</f>
        <v>426</v>
      </c>
      <c r="AC27" s="1">
        <f>ZG!K30</f>
        <v>250</v>
      </c>
      <c r="AD27" s="136">
        <f>ZG!L30</f>
        <v>710</v>
      </c>
      <c r="AE27" s="1">
        <f>ZG!M30</f>
        <v>250</v>
      </c>
      <c r="AF27" s="136">
        <f>ZG!N30</f>
        <v>1775</v>
      </c>
      <c r="AG27" s="1">
        <f>ZG!O30</f>
        <v>250</v>
      </c>
      <c r="AH27" s="136">
        <f>ZG!P30</f>
        <v>3550</v>
      </c>
      <c r="AI27" s="1">
        <f>ZG!Q30</f>
        <v>250</v>
      </c>
      <c r="AJ27" s="136">
        <f>ZG!R30</f>
        <v>7100</v>
      </c>
      <c r="AK27" s="30">
        <f>ZG!S30</f>
        <v>250</v>
      </c>
      <c r="AO27" s="29">
        <f>ZGP!B29</f>
        <v>17.75</v>
      </c>
      <c r="AP27" s="1">
        <f>ZGP!C29</f>
        <v>250</v>
      </c>
      <c r="AQ27" s="136">
        <f>ZGP!D29</f>
        <v>301.75</v>
      </c>
      <c r="AR27" s="1">
        <f>ZGP!E29</f>
        <v>250</v>
      </c>
      <c r="AS27" s="136">
        <f>ZGP!F29</f>
        <v>1775</v>
      </c>
      <c r="AT27" s="30">
        <f>ZGP!G29</f>
        <v>250</v>
      </c>
      <c r="AV27" s="29">
        <f>HP!B29</f>
        <v>106.5</v>
      </c>
      <c r="AW27" s="1">
        <f>HP!C29</f>
        <v>250</v>
      </c>
      <c r="AX27" s="136">
        <f>HP!D29</f>
        <v>1065</v>
      </c>
      <c r="AY27" s="1">
        <f>HP!E29</f>
        <v>250</v>
      </c>
      <c r="AZ27" s="136">
        <f>HP!F29</f>
        <v>3550</v>
      </c>
      <c r="BA27" s="30">
        <f>HP!G29</f>
        <v>250</v>
      </c>
      <c r="BC27" s="29">
        <f>HS!B29</f>
        <v>42.6</v>
      </c>
      <c r="BD27" s="1">
        <f>HS!C29</f>
        <v>250</v>
      </c>
      <c r="BE27" s="136">
        <f>HS!D29</f>
        <v>284</v>
      </c>
      <c r="BF27" s="1">
        <f>HS!E29</f>
        <v>250</v>
      </c>
      <c r="BG27" s="136">
        <f>HS!F29</f>
        <v>532.5</v>
      </c>
      <c r="BH27" s="30">
        <f>HS!G29</f>
        <v>250</v>
      </c>
      <c r="BJ27" s="29">
        <f>ZF!B29</f>
        <v>88.75</v>
      </c>
      <c r="BK27" s="1">
        <f>ZF!C29</f>
        <v>250</v>
      </c>
      <c r="BL27" s="136">
        <f>ZF!D29</f>
        <v>1065</v>
      </c>
      <c r="BM27" s="30">
        <f>ZF!E29</f>
        <v>250</v>
      </c>
    </row>
    <row r="28" spans="2:65" x14ac:dyDescent="0.25">
      <c r="T28" s="29">
        <f>ZG!B31</f>
        <v>3.2</v>
      </c>
      <c r="U28">
        <f>ZG!C31</f>
        <v>300</v>
      </c>
      <c r="V28" s="136">
        <f>ZG!D31</f>
        <v>16</v>
      </c>
      <c r="W28" s="1">
        <f>ZG!E31</f>
        <v>300</v>
      </c>
      <c r="X28" s="136">
        <f>ZG!F31</f>
        <v>80</v>
      </c>
      <c r="Y28">
        <f>ZG!G31</f>
        <v>300</v>
      </c>
      <c r="Z28" s="136">
        <f>ZG!H31</f>
        <v>272</v>
      </c>
      <c r="AA28" s="1">
        <f>ZG!I31</f>
        <v>300</v>
      </c>
      <c r="AB28" s="136">
        <f>ZG!J31</f>
        <v>384</v>
      </c>
      <c r="AC28" s="1">
        <f>ZG!K31</f>
        <v>300</v>
      </c>
      <c r="AD28" s="136">
        <f>ZG!L31</f>
        <v>640</v>
      </c>
      <c r="AE28" s="1">
        <f>ZG!M31</f>
        <v>300</v>
      </c>
      <c r="AF28" s="136">
        <f>ZG!N31</f>
        <v>1600</v>
      </c>
      <c r="AG28" s="1">
        <f>ZG!O31</f>
        <v>300</v>
      </c>
      <c r="AH28" s="136">
        <f>ZG!P31</f>
        <v>3200</v>
      </c>
      <c r="AI28" s="1">
        <f>ZG!Q31</f>
        <v>300</v>
      </c>
      <c r="AJ28" s="136">
        <f>ZG!R31</f>
        <v>6400</v>
      </c>
      <c r="AK28" s="30">
        <f>ZG!S31</f>
        <v>300</v>
      </c>
      <c r="AO28" s="29">
        <f>ZGP!B30</f>
        <v>16</v>
      </c>
      <c r="AP28" s="1">
        <f>ZGP!C30</f>
        <v>300</v>
      </c>
      <c r="AQ28" s="136">
        <f>ZGP!D30</f>
        <v>272</v>
      </c>
      <c r="AR28" s="1">
        <f>ZGP!E30</f>
        <v>300</v>
      </c>
      <c r="AS28" s="136">
        <f>ZGP!F30</f>
        <v>1600</v>
      </c>
      <c r="AT28" s="30">
        <f>ZGP!G30</f>
        <v>300</v>
      </c>
      <c r="AV28" s="29">
        <f>HP!B30</f>
        <v>96</v>
      </c>
      <c r="AW28" s="1">
        <f>HP!C30</f>
        <v>300</v>
      </c>
      <c r="AX28" s="136">
        <f>HP!D30</f>
        <v>960</v>
      </c>
      <c r="AY28" s="1">
        <f>HP!E30</f>
        <v>300</v>
      </c>
      <c r="AZ28" s="136">
        <f>HP!F30</f>
        <v>3200</v>
      </c>
      <c r="BA28" s="30">
        <f>HP!G30</f>
        <v>300</v>
      </c>
      <c r="BC28" s="29">
        <f>HS!B30</f>
        <v>38.4</v>
      </c>
      <c r="BD28" s="1">
        <f>HS!C30</f>
        <v>300</v>
      </c>
      <c r="BE28" s="136">
        <f>HS!D30</f>
        <v>256</v>
      </c>
      <c r="BF28" s="1">
        <f>HS!E30</f>
        <v>300</v>
      </c>
      <c r="BG28" s="136">
        <f>HS!F30</f>
        <v>480</v>
      </c>
      <c r="BH28" s="30">
        <f>HS!G30</f>
        <v>300</v>
      </c>
      <c r="BJ28" s="29">
        <f>ZF!B30</f>
        <v>80</v>
      </c>
      <c r="BK28" s="1">
        <f>ZF!C30</f>
        <v>300</v>
      </c>
      <c r="BL28" s="136">
        <f>ZF!D30</f>
        <v>960</v>
      </c>
      <c r="BM28" s="30">
        <f>ZF!E30</f>
        <v>300</v>
      </c>
    </row>
    <row r="29" spans="2:65" x14ac:dyDescent="0.25">
      <c r="T29" s="29">
        <f>ZG!B32</f>
        <v>2.9</v>
      </c>
      <c r="U29">
        <f>ZG!C32</f>
        <v>350</v>
      </c>
      <c r="V29" s="136">
        <f>ZG!D32</f>
        <v>14.5</v>
      </c>
      <c r="W29" s="1">
        <f>ZG!E32</f>
        <v>350</v>
      </c>
      <c r="X29" s="136">
        <f>ZG!F32</f>
        <v>72.5</v>
      </c>
      <c r="Y29">
        <f>ZG!G32</f>
        <v>350</v>
      </c>
      <c r="Z29" s="136">
        <f>ZG!H32</f>
        <v>246.5</v>
      </c>
      <c r="AA29" s="1">
        <f>ZG!I32</f>
        <v>350</v>
      </c>
      <c r="AB29" s="136">
        <f>ZG!J32</f>
        <v>348</v>
      </c>
      <c r="AC29" s="1">
        <f>ZG!K32</f>
        <v>350</v>
      </c>
      <c r="AD29" s="136">
        <f>ZG!L32</f>
        <v>580</v>
      </c>
      <c r="AE29" s="1">
        <f>ZG!M32</f>
        <v>350</v>
      </c>
      <c r="AF29" s="136">
        <f>ZG!N32</f>
        <v>1450</v>
      </c>
      <c r="AG29" s="1">
        <f>ZG!O32</f>
        <v>350</v>
      </c>
      <c r="AH29" s="136">
        <f>ZG!P32</f>
        <v>2900</v>
      </c>
      <c r="AI29" s="1">
        <f>ZG!Q32</f>
        <v>350</v>
      </c>
      <c r="AJ29" s="136">
        <f>ZG!R32</f>
        <v>5800</v>
      </c>
      <c r="AK29" s="30">
        <f>ZG!S32</f>
        <v>350</v>
      </c>
      <c r="AO29" s="29">
        <f>ZGP!B31</f>
        <v>14.5</v>
      </c>
      <c r="AP29" s="1">
        <f>ZGP!C31</f>
        <v>350</v>
      </c>
      <c r="AQ29" s="136">
        <f>ZGP!D31</f>
        <v>246.5</v>
      </c>
      <c r="AR29" s="1">
        <f>ZGP!E31</f>
        <v>350</v>
      </c>
      <c r="AS29" s="136">
        <f>ZGP!F31</f>
        <v>1450</v>
      </c>
      <c r="AT29" s="30">
        <f>ZGP!G31</f>
        <v>350</v>
      </c>
      <c r="AV29" s="29">
        <f>HP!B31</f>
        <v>87</v>
      </c>
      <c r="AW29" s="1">
        <f>HP!C31</f>
        <v>350</v>
      </c>
      <c r="AX29" s="136">
        <f>HP!D31</f>
        <v>870</v>
      </c>
      <c r="AY29" s="1">
        <f>HP!E31</f>
        <v>350</v>
      </c>
      <c r="AZ29" s="136">
        <f>HP!F31</f>
        <v>2900</v>
      </c>
      <c r="BA29" s="30">
        <f>HP!G31</f>
        <v>350</v>
      </c>
      <c r="BC29" s="29">
        <f>HS!B31</f>
        <v>34.799999999999997</v>
      </c>
      <c r="BD29" s="1">
        <f>HS!C31</f>
        <v>350</v>
      </c>
      <c r="BE29" s="136">
        <f>HS!D31</f>
        <v>232</v>
      </c>
      <c r="BF29" s="1">
        <f>HS!E31</f>
        <v>350</v>
      </c>
      <c r="BG29" s="136">
        <f>HS!F31</f>
        <v>435</v>
      </c>
      <c r="BH29" s="30">
        <f>HS!G31</f>
        <v>350</v>
      </c>
      <c r="BJ29" s="29">
        <f>ZF!B31</f>
        <v>72.5</v>
      </c>
      <c r="BK29" s="1">
        <f>ZF!C31</f>
        <v>350</v>
      </c>
      <c r="BL29" s="136">
        <f>ZF!D31</f>
        <v>870</v>
      </c>
      <c r="BM29" s="30">
        <f>ZF!E31</f>
        <v>350</v>
      </c>
    </row>
    <row r="30" spans="2:65" x14ac:dyDescent="0.25">
      <c r="T30" s="29">
        <f>ZG!B33</f>
        <v>2.6</v>
      </c>
      <c r="U30">
        <f>ZG!C33</f>
        <v>400</v>
      </c>
      <c r="V30" s="136">
        <f>ZG!D33</f>
        <v>13</v>
      </c>
      <c r="W30" s="1">
        <f>ZG!E33</f>
        <v>400</v>
      </c>
      <c r="X30" s="136">
        <f>ZG!F33</f>
        <v>65</v>
      </c>
      <c r="Y30">
        <f>ZG!G33</f>
        <v>400</v>
      </c>
      <c r="Z30" s="136">
        <f>ZG!H33</f>
        <v>221</v>
      </c>
      <c r="AA30" s="1">
        <f>ZG!I33</f>
        <v>400</v>
      </c>
      <c r="AB30" s="136">
        <f>ZG!J33</f>
        <v>312</v>
      </c>
      <c r="AC30" s="1">
        <f>ZG!K33</f>
        <v>400</v>
      </c>
      <c r="AD30" s="136">
        <f>ZG!L33</f>
        <v>520</v>
      </c>
      <c r="AE30" s="1">
        <f>ZG!M33</f>
        <v>400</v>
      </c>
      <c r="AF30" s="136">
        <f>ZG!N33</f>
        <v>1300</v>
      </c>
      <c r="AG30" s="1">
        <f>ZG!O33</f>
        <v>400</v>
      </c>
      <c r="AH30" s="136">
        <f>ZG!P33</f>
        <v>2600</v>
      </c>
      <c r="AI30" s="1">
        <f>ZG!Q33</f>
        <v>400</v>
      </c>
      <c r="AJ30" s="136">
        <f>ZG!R33</f>
        <v>5200</v>
      </c>
      <c r="AK30" s="30">
        <f>ZG!S33</f>
        <v>400</v>
      </c>
      <c r="AO30" s="29">
        <f>ZGP!B32</f>
        <v>13</v>
      </c>
      <c r="AP30" s="1">
        <f>ZGP!C32</f>
        <v>400</v>
      </c>
      <c r="AQ30" s="136">
        <f>ZGP!D32</f>
        <v>221</v>
      </c>
      <c r="AR30" s="1">
        <f>ZGP!E32</f>
        <v>400</v>
      </c>
      <c r="AS30" s="136">
        <f>ZGP!F32</f>
        <v>1300</v>
      </c>
      <c r="AT30" s="30">
        <f>ZGP!G32</f>
        <v>400</v>
      </c>
      <c r="AV30" s="29">
        <f>HP!B32</f>
        <v>78</v>
      </c>
      <c r="AW30" s="1">
        <f>HP!C32</f>
        <v>400</v>
      </c>
      <c r="AX30" s="136">
        <f>HP!D32</f>
        <v>780</v>
      </c>
      <c r="AY30" s="1">
        <f>HP!E32</f>
        <v>400</v>
      </c>
      <c r="AZ30" s="136">
        <f>HP!F32</f>
        <v>2600</v>
      </c>
      <c r="BA30" s="30">
        <f>HP!G32</f>
        <v>400</v>
      </c>
      <c r="BC30" s="29">
        <f>HS!B32</f>
        <v>31.2</v>
      </c>
      <c r="BD30" s="1">
        <f>HS!C32</f>
        <v>400</v>
      </c>
      <c r="BE30" s="136">
        <f>HS!D32</f>
        <v>208</v>
      </c>
      <c r="BF30" s="1">
        <f>HS!E32</f>
        <v>400</v>
      </c>
      <c r="BG30" s="136">
        <f>HS!F32</f>
        <v>390</v>
      </c>
      <c r="BH30" s="30">
        <f>HS!G32</f>
        <v>400</v>
      </c>
      <c r="BJ30" s="29">
        <f>ZF!B32</f>
        <v>65</v>
      </c>
      <c r="BK30" s="1">
        <f>ZF!C32</f>
        <v>400</v>
      </c>
      <c r="BL30" s="136">
        <f>ZF!D32</f>
        <v>780</v>
      </c>
      <c r="BM30" s="30">
        <f>ZF!E32</f>
        <v>400</v>
      </c>
    </row>
    <row r="31" spans="2:65" x14ac:dyDescent="0.25">
      <c r="T31" s="29">
        <f>ZG!B34</f>
        <v>2.35</v>
      </c>
      <c r="U31">
        <f>ZG!C34</f>
        <v>450</v>
      </c>
      <c r="V31" s="136">
        <f>ZG!D34</f>
        <v>11.75</v>
      </c>
      <c r="W31" s="1">
        <f>ZG!E34</f>
        <v>450</v>
      </c>
      <c r="X31" s="136">
        <f>ZG!F34</f>
        <v>58.75</v>
      </c>
      <c r="Y31">
        <f>ZG!G34</f>
        <v>450</v>
      </c>
      <c r="Z31" s="136">
        <f>ZG!H34</f>
        <v>199.75</v>
      </c>
      <c r="AA31" s="1">
        <f>ZG!I34</f>
        <v>450</v>
      </c>
      <c r="AB31" s="136">
        <f>ZG!J34</f>
        <v>282</v>
      </c>
      <c r="AC31" s="1">
        <f>ZG!K34</f>
        <v>450</v>
      </c>
      <c r="AD31" s="136">
        <f>ZG!L34</f>
        <v>470</v>
      </c>
      <c r="AE31" s="1">
        <f>ZG!M34</f>
        <v>450</v>
      </c>
      <c r="AF31" s="136">
        <f>ZG!N34</f>
        <v>1175</v>
      </c>
      <c r="AG31" s="1">
        <f>ZG!O34</f>
        <v>450</v>
      </c>
      <c r="AH31" s="136">
        <f>ZG!P34</f>
        <v>2350</v>
      </c>
      <c r="AI31" s="1">
        <f>ZG!Q34</f>
        <v>450</v>
      </c>
      <c r="AJ31" s="136">
        <f>ZG!R34</f>
        <v>4700</v>
      </c>
      <c r="AK31" s="30">
        <f>ZG!S34</f>
        <v>450</v>
      </c>
      <c r="AO31" s="29">
        <f>ZGP!B33</f>
        <v>11.75</v>
      </c>
      <c r="AP31" s="1">
        <f>ZGP!C33</f>
        <v>450</v>
      </c>
      <c r="AQ31" s="136">
        <f>ZGP!D33</f>
        <v>199.75</v>
      </c>
      <c r="AR31" s="1">
        <f>ZGP!E33</f>
        <v>450</v>
      </c>
      <c r="AS31" s="136">
        <f>ZGP!F33</f>
        <v>1175</v>
      </c>
      <c r="AT31" s="30">
        <f>ZGP!G33</f>
        <v>450</v>
      </c>
      <c r="AV31" s="29">
        <f>HP!B33</f>
        <v>70.5</v>
      </c>
      <c r="AW31" s="1">
        <f>HP!C33</f>
        <v>450</v>
      </c>
      <c r="AX31" s="136">
        <f>HP!D33</f>
        <v>705</v>
      </c>
      <c r="AY31" s="1">
        <f>HP!E33</f>
        <v>450</v>
      </c>
      <c r="AZ31" s="136">
        <f>HP!F33</f>
        <v>2350</v>
      </c>
      <c r="BA31" s="30">
        <f>HP!G33</f>
        <v>450</v>
      </c>
      <c r="BC31" s="29">
        <f>HS!B33</f>
        <v>28.2</v>
      </c>
      <c r="BD31" s="1">
        <f>HS!C33</f>
        <v>450</v>
      </c>
      <c r="BE31" s="136">
        <f>HS!D33</f>
        <v>188</v>
      </c>
      <c r="BF31" s="1">
        <f>HS!E33</f>
        <v>450</v>
      </c>
      <c r="BG31" s="136">
        <f>HS!F33</f>
        <v>352.5</v>
      </c>
      <c r="BH31" s="30">
        <f>HS!G33</f>
        <v>450</v>
      </c>
      <c r="BJ31" s="29">
        <f>ZF!B33</f>
        <v>58.75</v>
      </c>
      <c r="BK31" s="1">
        <f>ZF!C33</f>
        <v>450</v>
      </c>
      <c r="BL31" s="136">
        <f>ZF!D33</f>
        <v>705</v>
      </c>
      <c r="BM31" s="30">
        <f>ZF!E33</f>
        <v>450</v>
      </c>
    </row>
    <row r="32" spans="2:65" x14ac:dyDescent="0.25">
      <c r="T32" s="29">
        <f>ZG!B35</f>
        <v>2.1</v>
      </c>
      <c r="U32">
        <f>ZG!C35</f>
        <v>500</v>
      </c>
      <c r="V32" s="136">
        <f>ZG!D35</f>
        <v>10.5</v>
      </c>
      <c r="W32" s="1">
        <f>ZG!E35</f>
        <v>500</v>
      </c>
      <c r="X32" s="136">
        <f>ZG!F35</f>
        <v>52.5</v>
      </c>
      <c r="Y32">
        <f>ZG!G35</f>
        <v>500</v>
      </c>
      <c r="Z32" s="136">
        <f>ZG!H35</f>
        <v>178.5</v>
      </c>
      <c r="AA32" s="1">
        <f>ZG!I35</f>
        <v>500</v>
      </c>
      <c r="AB32" s="136">
        <f>ZG!J35</f>
        <v>252</v>
      </c>
      <c r="AC32" s="1">
        <f>ZG!K35</f>
        <v>500</v>
      </c>
      <c r="AD32" s="136">
        <f>ZG!L35</f>
        <v>420</v>
      </c>
      <c r="AE32" s="1">
        <f>ZG!M35</f>
        <v>500</v>
      </c>
      <c r="AF32" s="136">
        <f>ZG!N35</f>
        <v>1050</v>
      </c>
      <c r="AG32" s="1">
        <f>ZG!O35</f>
        <v>500</v>
      </c>
      <c r="AH32" s="136">
        <f>ZG!P35</f>
        <v>2100</v>
      </c>
      <c r="AI32" s="1">
        <f>ZG!Q35</f>
        <v>500</v>
      </c>
      <c r="AJ32" s="136">
        <f>ZG!R35</f>
        <v>4200</v>
      </c>
      <c r="AK32" s="30">
        <f>ZG!S35</f>
        <v>500</v>
      </c>
      <c r="AO32" s="29">
        <f>ZGP!B34</f>
        <v>10.5</v>
      </c>
      <c r="AP32" s="1">
        <f>ZGP!C34</f>
        <v>500</v>
      </c>
      <c r="AQ32" s="136">
        <f>ZGP!D34</f>
        <v>178.5</v>
      </c>
      <c r="AR32" s="1">
        <f>ZGP!E34</f>
        <v>500</v>
      </c>
      <c r="AS32" s="136">
        <f>ZGP!F34</f>
        <v>1050</v>
      </c>
      <c r="AT32" s="30">
        <f>ZGP!G34</f>
        <v>500</v>
      </c>
      <c r="AV32" s="29">
        <f>HP!B34</f>
        <v>63</v>
      </c>
      <c r="AW32" s="1">
        <f>HP!C34</f>
        <v>500</v>
      </c>
      <c r="AX32" s="136">
        <f>HP!D34</f>
        <v>630</v>
      </c>
      <c r="AY32" s="1">
        <f>HP!E34</f>
        <v>500</v>
      </c>
      <c r="AZ32" s="136">
        <f>HP!F34</f>
        <v>2100</v>
      </c>
      <c r="BA32" s="30">
        <f>HP!G34</f>
        <v>500</v>
      </c>
      <c r="BC32" s="29">
        <f>HS!B34</f>
        <v>25.2</v>
      </c>
      <c r="BD32" s="1">
        <f>HS!C34</f>
        <v>500</v>
      </c>
      <c r="BE32" s="136">
        <f>HS!D34</f>
        <v>168</v>
      </c>
      <c r="BF32" s="1">
        <f>HS!E34</f>
        <v>500</v>
      </c>
      <c r="BG32" s="136">
        <f>HS!F34</f>
        <v>315</v>
      </c>
      <c r="BH32" s="30">
        <f>HS!G34</f>
        <v>500</v>
      </c>
      <c r="BJ32" s="29">
        <f>ZF!B34</f>
        <v>52.5</v>
      </c>
      <c r="BK32" s="1">
        <f>ZF!C34</f>
        <v>500</v>
      </c>
      <c r="BL32" s="136">
        <f>ZF!D34</f>
        <v>630</v>
      </c>
      <c r="BM32" s="30">
        <f>ZF!E34</f>
        <v>500</v>
      </c>
    </row>
    <row r="33" spans="20:65" x14ac:dyDescent="0.25">
      <c r="T33" s="29">
        <f>ZG!B36</f>
        <v>1.9</v>
      </c>
      <c r="U33">
        <f>ZG!C36</f>
        <v>550</v>
      </c>
      <c r="V33" s="136">
        <f>ZG!D36</f>
        <v>9.5</v>
      </c>
      <c r="W33" s="1">
        <f>ZG!E36</f>
        <v>550</v>
      </c>
      <c r="X33" s="136">
        <f>ZG!F36</f>
        <v>47.5</v>
      </c>
      <c r="Y33">
        <f>ZG!G36</f>
        <v>550</v>
      </c>
      <c r="Z33" s="136">
        <f>ZG!H36</f>
        <v>161.5</v>
      </c>
      <c r="AA33" s="1">
        <f>ZG!I36</f>
        <v>550</v>
      </c>
      <c r="AB33" s="136">
        <f>ZG!J36</f>
        <v>228</v>
      </c>
      <c r="AC33" s="1">
        <f>ZG!K36</f>
        <v>550</v>
      </c>
      <c r="AD33" s="136">
        <f>ZG!L36</f>
        <v>380</v>
      </c>
      <c r="AE33" s="1">
        <f>ZG!M36</f>
        <v>550</v>
      </c>
      <c r="AF33" s="136">
        <f>ZG!N36</f>
        <v>950</v>
      </c>
      <c r="AG33" s="1">
        <f>ZG!O36</f>
        <v>550</v>
      </c>
      <c r="AH33" s="136">
        <f>ZG!P36</f>
        <v>1900</v>
      </c>
      <c r="AI33" s="1">
        <f>ZG!Q36</f>
        <v>550</v>
      </c>
      <c r="AJ33" s="136">
        <f>ZG!R36</f>
        <v>3800</v>
      </c>
      <c r="AK33" s="30">
        <f>ZG!S36</f>
        <v>550</v>
      </c>
      <c r="AO33" s="29">
        <f>ZGP!B35</f>
        <v>9.5</v>
      </c>
      <c r="AP33" s="1">
        <f>ZGP!C35</f>
        <v>550</v>
      </c>
      <c r="AQ33" s="136">
        <f>ZGP!D35</f>
        <v>161.5</v>
      </c>
      <c r="AR33" s="1">
        <f>ZGP!E35</f>
        <v>550</v>
      </c>
      <c r="AS33" s="136">
        <f>ZGP!F35</f>
        <v>950</v>
      </c>
      <c r="AT33" s="30">
        <f>ZGP!G35</f>
        <v>550</v>
      </c>
      <c r="AV33" s="29">
        <f>HP!B35</f>
        <v>57</v>
      </c>
      <c r="AW33" s="1">
        <f>HP!C35</f>
        <v>550</v>
      </c>
      <c r="AX33" s="136">
        <f>HP!D35</f>
        <v>570</v>
      </c>
      <c r="AY33" s="1">
        <f>HP!E35</f>
        <v>550</v>
      </c>
      <c r="AZ33" s="136">
        <f>HP!F35</f>
        <v>1900</v>
      </c>
      <c r="BA33" s="30">
        <f>HP!G35</f>
        <v>550</v>
      </c>
      <c r="BC33" s="29">
        <f>HS!B35</f>
        <v>22.8</v>
      </c>
      <c r="BD33" s="1">
        <f>HS!C35</f>
        <v>550</v>
      </c>
      <c r="BE33" s="136">
        <f>HS!D35</f>
        <v>152</v>
      </c>
      <c r="BF33" s="1">
        <f>HS!E35</f>
        <v>550</v>
      </c>
      <c r="BG33" s="136">
        <f>HS!F35</f>
        <v>285</v>
      </c>
      <c r="BH33" s="30">
        <f>HS!G35</f>
        <v>550</v>
      </c>
      <c r="BJ33" s="29">
        <f>ZF!B35</f>
        <v>47.5</v>
      </c>
      <c r="BK33" s="1">
        <f>ZF!C35</f>
        <v>550</v>
      </c>
      <c r="BL33" s="136">
        <f>ZF!D35</f>
        <v>570</v>
      </c>
      <c r="BM33" s="30">
        <f>ZF!E35</f>
        <v>550</v>
      </c>
    </row>
    <row r="34" spans="20:65" x14ac:dyDescent="0.25">
      <c r="T34" s="29">
        <f>ZG!B37</f>
        <v>1.7</v>
      </c>
      <c r="U34">
        <f>ZG!C37</f>
        <v>600</v>
      </c>
      <c r="V34" s="136">
        <f>ZG!D37</f>
        <v>8.5</v>
      </c>
      <c r="W34" s="1">
        <f>ZG!E37</f>
        <v>600</v>
      </c>
      <c r="X34" s="136">
        <f>ZG!F37</f>
        <v>42.5</v>
      </c>
      <c r="Y34">
        <f>ZG!G37</f>
        <v>600</v>
      </c>
      <c r="Z34" s="136">
        <f>ZG!H37</f>
        <v>144.5</v>
      </c>
      <c r="AA34" s="1">
        <f>ZG!I37</f>
        <v>600</v>
      </c>
      <c r="AB34" s="136">
        <f>ZG!J37</f>
        <v>204</v>
      </c>
      <c r="AC34" s="1">
        <f>ZG!K37</f>
        <v>600</v>
      </c>
      <c r="AD34" s="136">
        <f>ZG!L37</f>
        <v>340</v>
      </c>
      <c r="AE34" s="1">
        <f>ZG!M37</f>
        <v>600</v>
      </c>
      <c r="AF34" s="136">
        <f>ZG!N37</f>
        <v>850</v>
      </c>
      <c r="AG34" s="1">
        <f>ZG!O37</f>
        <v>600</v>
      </c>
      <c r="AH34" s="136">
        <f>ZG!P37</f>
        <v>1700</v>
      </c>
      <c r="AI34" s="1">
        <f>ZG!Q37</f>
        <v>600</v>
      </c>
      <c r="AJ34" s="136">
        <f>ZG!R37</f>
        <v>3400</v>
      </c>
      <c r="AK34" s="30">
        <f>ZG!S37</f>
        <v>600</v>
      </c>
      <c r="AO34" s="29">
        <f>ZGP!B36</f>
        <v>8.5</v>
      </c>
      <c r="AP34" s="1">
        <f>ZGP!C36</f>
        <v>600</v>
      </c>
      <c r="AQ34" s="136">
        <f>ZGP!D36</f>
        <v>144.5</v>
      </c>
      <c r="AR34" s="1">
        <f>ZGP!E36</f>
        <v>600</v>
      </c>
      <c r="AS34" s="136">
        <f>ZGP!F36</f>
        <v>850</v>
      </c>
      <c r="AT34" s="30">
        <f>ZGP!G36</f>
        <v>600</v>
      </c>
      <c r="AV34" s="29">
        <f>HP!B36</f>
        <v>51</v>
      </c>
      <c r="AW34" s="1">
        <f>HP!C36</f>
        <v>600</v>
      </c>
      <c r="AX34" s="136">
        <f>HP!D36</f>
        <v>510</v>
      </c>
      <c r="AY34" s="1">
        <f>HP!E36</f>
        <v>600</v>
      </c>
      <c r="AZ34" s="136">
        <f>HP!F36</f>
        <v>1700</v>
      </c>
      <c r="BA34" s="30">
        <f>HP!G36</f>
        <v>600</v>
      </c>
      <c r="BC34" s="29">
        <f>HS!B36</f>
        <v>20.399999999999999</v>
      </c>
      <c r="BD34" s="1">
        <f>HS!C36</f>
        <v>600</v>
      </c>
      <c r="BE34" s="136">
        <f>HS!D36</f>
        <v>136</v>
      </c>
      <c r="BF34" s="1">
        <f>HS!E36</f>
        <v>600</v>
      </c>
      <c r="BG34" s="136">
        <f>HS!F36</f>
        <v>255</v>
      </c>
      <c r="BH34" s="30">
        <f>HS!G36</f>
        <v>600</v>
      </c>
      <c r="BJ34" s="29">
        <f>ZF!B36</f>
        <v>42.5</v>
      </c>
      <c r="BK34" s="1">
        <f>ZF!C36</f>
        <v>600</v>
      </c>
      <c r="BL34" s="136">
        <f>ZF!D36</f>
        <v>510</v>
      </c>
      <c r="BM34" s="30">
        <f>ZF!E36</f>
        <v>600</v>
      </c>
    </row>
    <row r="35" spans="20:65" x14ac:dyDescent="0.25">
      <c r="T35" s="29">
        <f>ZG!B38</f>
        <v>1.5</v>
      </c>
      <c r="U35">
        <f>ZG!C38</f>
        <v>650</v>
      </c>
      <c r="V35" s="136">
        <f>ZG!D38</f>
        <v>7.5</v>
      </c>
      <c r="W35" s="1">
        <f>ZG!E38</f>
        <v>650</v>
      </c>
      <c r="X35" s="136">
        <f>ZG!F38</f>
        <v>37.5</v>
      </c>
      <c r="Y35">
        <f>ZG!G38</f>
        <v>650</v>
      </c>
      <c r="Z35" s="136">
        <f>ZG!H38</f>
        <v>127.5</v>
      </c>
      <c r="AA35" s="1">
        <f>ZG!I38</f>
        <v>650</v>
      </c>
      <c r="AB35" s="136">
        <f>ZG!J38</f>
        <v>180</v>
      </c>
      <c r="AC35" s="1">
        <f>ZG!K38</f>
        <v>650</v>
      </c>
      <c r="AD35" s="136">
        <f>ZG!L38</f>
        <v>300</v>
      </c>
      <c r="AE35" s="1">
        <f>ZG!M38</f>
        <v>650</v>
      </c>
      <c r="AF35" s="136">
        <f>ZG!N38</f>
        <v>750</v>
      </c>
      <c r="AG35" s="1">
        <f>ZG!O38</f>
        <v>650</v>
      </c>
      <c r="AH35" s="136">
        <f>ZG!P38</f>
        <v>1500</v>
      </c>
      <c r="AI35" s="1">
        <f>ZG!Q38</f>
        <v>650</v>
      </c>
      <c r="AJ35" s="136">
        <f>ZG!R38</f>
        <v>3000</v>
      </c>
      <c r="AK35" s="30">
        <f>ZG!S38</f>
        <v>650</v>
      </c>
      <c r="AO35" s="29">
        <f>ZGP!B37</f>
        <v>7.5</v>
      </c>
      <c r="AP35" s="1">
        <f>ZGP!C37</f>
        <v>650</v>
      </c>
      <c r="AQ35" s="136">
        <f>ZGP!D37</f>
        <v>127.5</v>
      </c>
      <c r="AR35" s="1">
        <f>ZGP!E37</f>
        <v>650</v>
      </c>
      <c r="AS35" s="136">
        <f>ZGP!F37</f>
        <v>750</v>
      </c>
      <c r="AT35" s="30">
        <f>ZGP!G37</f>
        <v>650</v>
      </c>
      <c r="AV35" s="29">
        <f>HP!B37</f>
        <v>45</v>
      </c>
      <c r="AW35" s="1">
        <f>HP!C37</f>
        <v>650</v>
      </c>
      <c r="AX35" s="136">
        <f>HP!D37</f>
        <v>450</v>
      </c>
      <c r="AY35" s="1">
        <f>HP!E37</f>
        <v>650</v>
      </c>
      <c r="AZ35" s="136">
        <f>HP!F37</f>
        <v>1500</v>
      </c>
      <c r="BA35" s="30">
        <f>HP!G37</f>
        <v>650</v>
      </c>
      <c r="BC35" s="29">
        <f>HS!B37</f>
        <v>18</v>
      </c>
      <c r="BD35" s="1">
        <f>HS!C37</f>
        <v>650</v>
      </c>
      <c r="BE35" s="136">
        <f>HS!D37</f>
        <v>120</v>
      </c>
      <c r="BF35" s="1">
        <f>HS!E37</f>
        <v>650</v>
      </c>
      <c r="BG35" s="136">
        <f>HS!F37</f>
        <v>225</v>
      </c>
      <c r="BH35" s="30">
        <f>HS!G37</f>
        <v>650</v>
      </c>
      <c r="BJ35" s="29">
        <f>ZF!B37</f>
        <v>37.5</v>
      </c>
      <c r="BK35" s="1">
        <f>ZF!C37</f>
        <v>650</v>
      </c>
      <c r="BL35" s="136">
        <f>ZF!D37</f>
        <v>450</v>
      </c>
      <c r="BM35" s="30">
        <f>ZF!E37</f>
        <v>650</v>
      </c>
    </row>
    <row r="36" spans="20:65" x14ac:dyDescent="0.25">
      <c r="T36" s="29">
        <f>ZG!B39</f>
        <v>1.32</v>
      </c>
      <c r="U36">
        <f>ZG!C39</f>
        <v>700</v>
      </c>
      <c r="V36" s="136">
        <f>ZG!D39</f>
        <v>6.6</v>
      </c>
      <c r="W36" s="1">
        <f>ZG!E39</f>
        <v>700</v>
      </c>
      <c r="X36" s="136">
        <f>ZG!F39</f>
        <v>33</v>
      </c>
      <c r="Y36">
        <f>ZG!G39</f>
        <v>700</v>
      </c>
      <c r="Z36" s="136">
        <f>ZG!H39</f>
        <v>112.2</v>
      </c>
      <c r="AA36" s="1">
        <f>ZG!I39</f>
        <v>700</v>
      </c>
      <c r="AB36" s="136">
        <f>ZG!J39</f>
        <v>158.4</v>
      </c>
      <c r="AC36" s="1">
        <f>ZG!K39</f>
        <v>700</v>
      </c>
      <c r="AD36" s="136">
        <f>ZG!L39</f>
        <v>264</v>
      </c>
      <c r="AE36" s="1">
        <f>ZG!M39</f>
        <v>700</v>
      </c>
      <c r="AF36" s="136">
        <f>ZG!N39</f>
        <v>660</v>
      </c>
      <c r="AG36" s="1">
        <f>ZG!O39</f>
        <v>700</v>
      </c>
      <c r="AH36" s="136">
        <f>ZG!P39</f>
        <v>1320</v>
      </c>
      <c r="AI36" s="1">
        <f>ZG!Q39</f>
        <v>700</v>
      </c>
      <c r="AJ36" s="136">
        <f>ZG!R39</f>
        <v>2640</v>
      </c>
      <c r="AK36" s="30">
        <f>ZG!S39</f>
        <v>700</v>
      </c>
      <c r="AO36" s="29">
        <f>ZGP!B38</f>
        <v>6.6</v>
      </c>
      <c r="AP36" s="1">
        <f>ZGP!C38</f>
        <v>700</v>
      </c>
      <c r="AQ36" s="136">
        <f>ZGP!D38</f>
        <v>112.2</v>
      </c>
      <c r="AR36" s="1">
        <f>ZGP!E38</f>
        <v>700</v>
      </c>
      <c r="AS36" s="136">
        <f>ZGP!F38</f>
        <v>660</v>
      </c>
      <c r="AT36" s="30">
        <f>ZGP!G38</f>
        <v>700</v>
      </c>
      <c r="AV36" s="29">
        <f>HP!B38</f>
        <v>39.6</v>
      </c>
      <c r="AW36" s="1">
        <f>HP!C38</f>
        <v>700</v>
      </c>
      <c r="AX36" s="136">
        <f>HP!D38</f>
        <v>396</v>
      </c>
      <c r="AY36" s="1">
        <f>HP!E38</f>
        <v>700</v>
      </c>
      <c r="AZ36" s="136">
        <f>HP!F38</f>
        <v>1320</v>
      </c>
      <c r="BA36" s="30">
        <f>HP!G38</f>
        <v>700</v>
      </c>
      <c r="BC36" s="29">
        <f>HS!B38</f>
        <v>15.84</v>
      </c>
      <c r="BD36" s="1">
        <f>HS!C38</f>
        <v>700</v>
      </c>
      <c r="BE36" s="136">
        <f>HS!D38</f>
        <v>105.6</v>
      </c>
      <c r="BF36" s="1">
        <f>HS!E38</f>
        <v>700</v>
      </c>
      <c r="BG36" s="136">
        <f>HS!F38</f>
        <v>198</v>
      </c>
      <c r="BH36" s="30">
        <f>HS!G38</f>
        <v>700</v>
      </c>
      <c r="BJ36" s="29">
        <f>ZF!B38</f>
        <v>33</v>
      </c>
      <c r="BK36" s="1">
        <f>ZF!C38</f>
        <v>700</v>
      </c>
      <c r="BL36" s="136">
        <f>ZF!D38</f>
        <v>396</v>
      </c>
      <c r="BM36" s="30">
        <f>ZF!E38</f>
        <v>700</v>
      </c>
    </row>
    <row r="37" spans="20:65" x14ac:dyDescent="0.25">
      <c r="T37" s="29">
        <f>ZG!B40</f>
        <v>1.1499999999999999</v>
      </c>
      <c r="U37">
        <f>ZG!C40</f>
        <v>750</v>
      </c>
      <c r="V37" s="136">
        <f>ZG!D40</f>
        <v>5.75</v>
      </c>
      <c r="W37" s="1">
        <f>ZG!E40</f>
        <v>750</v>
      </c>
      <c r="X37" s="136">
        <f>ZG!F40</f>
        <v>28.75</v>
      </c>
      <c r="Y37">
        <f>ZG!G40</f>
        <v>750</v>
      </c>
      <c r="Z37" s="136">
        <f>ZG!H40</f>
        <v>97.75</v>
      </c>
      <c r="AA37" s="1">
        <f>ZG!I40</f>
        <v>750</v>
      </c>
      <c r="AB37" s="136">
        <f>ZG!J40</f>
        <v>138</v>
      </c>
      <c r="AC37" s="1">
        <f>ZG!K40</f>
        <v>750</v>
      </c>
      <c r="AD37" s="136">
        <f>ZG!L40</f>
        <v>230</v>
      </c>
      <c r="AE37" s="1">
        <f>ZG!M40</f>
        <v>750</v>
      </c>
      <c r="AF37" s="136">
        <f>ZG!N40</f>
        <v>575</v>
      </c>
      <c r="AG37" s="1">
        <f>ZG!O40</f>
        <v>750</v>
      </c>
      <c r="AH37" s="136">
        <f>ZG!P40</f>
        <v>1150</v>
      </c>
      <c r="AI37" s="1">
        <f>ZG!Q40</f>
        <v>750</v>
      </c>
      <c r="AJ37" s="136">
        <f>ZG!R40</f>
        <v>2300</v>
      </c>
      <c r="AK37" s="30">
        <f>ZG!S40</f>
        <v>750</v>
      </c>
      <c r="AO37" s="29">
        <f>ZGP!B39</f>
        <v>5.75</v>
      </c>
      <c r="AP37" s="1">
        <f>ZGP!C39</f>
        <v>750</v>
      </c>
      <c r="AQ37" s="136">
        <f>ZGP!D39</f>
        <v>97.75</v>
      </c>
      <c r="AR37" s="1">
        <f>ZGP!E39</f>
        <v>750</v>
      </c>
      <c r="AS37" s="136">
        <f>ZGP!F39</f>
        <v>575</v>
      </c>
      <c r="AT37" s="30">
        <f>ZGP!G39</f>
        <v>750</v>
      </c>
      <c r="AV37" s="29">
        <f>HP!B39</f>
        <v>34.5</v>
      </c>
      <c r="AW37" s="1">
        <f>HP!C39</f>
        <v>750</v>
      </c>
      <c r="AX37" s="136">
        <f>HP!D39</f>
        <v>345</v>
      </c>
      <c r="AY37" s="1">
        <f>HP!E39</f>
        <v>750</v>
      </c>
      <c r="AZ37" s="136">
        <f>HP!F39</f>
        <v>1150</v>
      </c>
      <c r="BA37" s="30">
        <f>HP!G39</f>
        <v>750</v>
      </c>
      <c r="BC37" s="29">
        <f>HS!B39</f>
        <v>13.8</v>
      </c>
      <c r="BD37" s="1">
        <f>HS!C39</f>
        <v>750</v>
      </c>
      <c r="BE37" s="136">
        <f>HS!D39</f>
        <v>92</v>
      </c>
      <c r="BF37" s="1">
        <f>HS!E39</f>
        <v>750</v>
      </c>
      <c r="BG37" s="136">
        <f>HS!F39</f>
        <v>172.5</v>
      </c>
      <c r="BH37" s="30">
        <f>HS!G39</f>
        <v>750</v>
      </c>
      <c r="BJ37" s="29">
        <f>ZF!B39</f>
        <v>28.75</v>
      </c>
      <c r="BK37" s="1">
        <f>ZF!C39</f>
        <v>750</v>
      </c>
      <c r="BL37" s="136">
        <f>ZF!D39</f>
        <v>345</v>
      </c>
      <c r="BM37" s="30">
        <f>ZF!E39</f>
        <v>750</v>
      </c>
    </row>
    <row r="38" spans="20:65" ht="15.75" thickBot="1" x14ac:dyDescent="0.3">
      <c r="T38" s="33">
        <f>ZG!B41</f>
        <v>1</v>
      </c>
      <c r="U38" s="76">
        <f>ZG!C41</f>
        <v>800</v>
      </c>
      <c r="V38" s="141">
        <f>ZG!D41</f>
        <v>5</v>
      </c>
      <c r="W38" s="142">
        <f>ZG!E41</f>
        <v>800</v>
      </c>
      <c r="X38" s="141">
        <f>ZG!F41</f>
        <v>25</v>
      </c>
      <c r="Y38" s="76">
        <f>ZG!G41</f>
        <v>800</v>
      </c>
      <c r="Z38" s="141">
        <f>ZG!H41</f>
        <v>85</v>
      </c>
      <c r="AA38" s="142">
        <f>ZG!I41</f>
        <v>800</v>
      </c>
      <c r="AB38" s="141">
        <f>ZG!J41</f>
        <v>120</v>
      </c>
      <c r="AC38" s="142">
        <f>ZG!K41</f>
        <v>800</v>
      </c>
      <c r="AD38" s="141">
        <f>ZG!L41</f>
        <v>200</v>
      </c>
      <c r="AE38" s="142">
        <f>ZG!M41</f>
        <v>800</v>
      </c>
      <c r="AF38" s="141">
        <f>ZG!N41</f>
        <v>500</v>
      </c>
      <c r="AG38" s="142">
        <f>ZG!O41</f>
        <v>800</v>
      </c>
      <c r="AH38" s="141">
        <f>ZG!P41</f>
        <v>1000</v>
      </c>
      <c r="AI38" s="142">
        <f>ZG!Q41</f>
        <v>800</v>
      </c>
      <c r="AJ38" s="141">
        <f>ZG!R41</f>
        <v>2000</v>
      </c>
      <c r="AK38" s="34">
        <f>ZG!S41</f>
        <v>800</v>
      </c>
      <c r="AO38" s="33">
        <f>ZGP!B40</f>
        <v>5</v>
      </c>
      <c r="AP38" s="142">
        <f>ZGP!C40</f>
        <v>800</v>
      </c>
      <c r="AQ38" s="141">
        <f>ZGP!D40</f>
        <v>85</v>
      </c>
      <c r="AR38" s="142">
        <f>ZGP!E40</f>
        <v>800</v>
      </c>
      <c r="AS38" s="141">
        <f>ZGP!F40</f>
        <v>500</v>
      </c>
      <c r="AT38" s="34">
        <f>ZGP!G40</f>
        <v>800</v>
      </c>
      <c r="AV38" s="33">
        <f>HP!B40</f>
        <v>30</v>
      </c>
      <c r="AW38" s="142">
        <f>HP!C40</f>
        <v>800</v>
      </c>
      <c r="AX38" s="141">
        <f>HP!D40</f>
        <v>300</v>
      </c>
      <c r="AY38" s="142">
        <f>HP!E40</f>
        <v>800</v>
      </c>
      <c r="AZ38" s="141">
        <f>HP!F40</f>
        <v>1000</v>
      </c>
      <c r="BA38" s="34">
        <f>HP!G40</f>
        <v>800</v>
      </c>
      <c r="BC38" s="33">
        <f>HS!B40</f>
        <v>12</v>
      </c>
      <c r="BD38" s="142">
        <f>HS!C40</f>
        <v>800</v>
      </c>
      <c r="BE38" s="141">
        <f>HS!D40</f>
        <v>80</v>
      </c>
      <c r="BF38" s="142">
        <f>HS!E40</f>
        <v>800</v>
      </c>
      <c r="BG38" s="141">
        <f>HS!F40</f>
        <v>150</v>
      </c>
      <c r="BH38" s="34">
        <f>HS!G40</f>
        <v>800</v>
      </c>
      <c r="BJ38" s="33">
        <f>ZF!B40</f>
        <v>25</v>
      </c>
      <c r="BK38" s="142">
        <f>ZF!C40</f>
        <v>800</v>
      </c>
      <c r="BL38" s="141">
        <f>ZF!D40</f>
        <v>300</v>
      </c>
      <c r="BM38" s="34">
        <f>ZF!E40</f>
        <v>800</v>
      </c>
    </row>
  </sheetData>
  <mergeCells count="6">
    <mergeCell ref="F18:F25"/>
    <mergeCell ref="B1:D1"/>
    <mergeCell ref="H1:L1"/>
    <mergeCell ref="M1:Q1"/>
    <mergeCell ref="T1:BM1"/>
    <mergeCell ref="F3:F1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06dbb2e4a844f07ade2e2ec6666b7dd xmlns="bcefeded-d1be-47e7-ac51-55f70281957c">
      <Terms xmlns="http://schemas.microsoft.com/office/infopath/2007/PartnerControls"/>
    </i06dbb2e4a844f07ade2e2ec6666b7dd>
    <TaxCatchAll xmlns="bcefeded-d1be-47e7-ac51-55f70281957c" xsi:nil="true"/>
    <lcf76f155ced4ddcb4097134ff3c332f xmlns="965c24eb-ee91-41b4-a797-d1ed8e8d739d">
      <Terms xmlns="http://schemas.microsoft.com/office/infopath/2007/PartnerControls"/>
    </lcf76f155ced4ddcb4097134ff3c332f>
    <_Flow_SignoffStatus xmlns="965c24eb-ee91-41b4-a797-d1ed8e8d739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92A6C7D396D44381D56722E977F096" ma:contentTypeVersion="20" ma:contentTypeDescription="Skapa ett nytt dokument." ma:contentTypeScope="" ma:versionID="b111d1a8cd35abf86832c8eafc63f710">
  <xsd:schema xmlns:xsd="http://www.w3.org/2001/XMLSchema" xmlns:xs="http://www.w3.org/2001/XMLSchema" xmlns:p="http://schemas.microsoft.com/office/2006/metadata/properties" xmlns:ns2="965c24eb-ee91-41b4-a797-d1ed8e8d739d" xmlns:ns3="bcefeded-d1be-47e7-ac51-55f70281957c" targetNamespace="http://schemas.microsoft.com/office/2006/metadata/properties" ma:root="true" ma:fieldsID="6a6ae6052244a0191cef252423671856" ns2:_="" ns3:_="">
    <xsd:import namespace="965c24eb-ee91-41b4-a797-d1ed8e8d739d"/>
    <xsd:import namespace="bcefeded-d1be-47e7-ac51-55f702819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i06dbb2e4a844f07ade2e2ec6666b7dd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c24eb-ee91-41b4-a797-d1ed8e8d7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Bildmarkeringar" ma:readOnly="false" ma:fieldId="{5cf76f15-5ced-4ddc-b409-7134ff3c332f}" ma:taxonomyMulti="true" ma:sspId="4611a817-2c84-4c9e-b3b9-c07edf664b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efeded-d1be-47e7-ac51-55f70281957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  <xsd:element name="i06dbb2e4a844f07ade2e2ec6666b7dd" ma:index="23" nillable="true" ma:taxonomy="true" ma:internalName="i06dbb2e4a844f07ade2e2ec6666b7dd" ma:taxonomyFieldName="Process" ma:displayName="Process" ma:default="" ma:fieldId="{206dbb2e-4a84-4f07-ade2-e2ec6666b7dd}" ma:sspId="4611a817-2c84-4c9e-b3b9-c07edf664b29" ma:termSetId="466878f5-798a-4fc0-a203-2550fc52875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4" nillable="true" ma:displayName="Taxonomy Catch All Column" ma:hidden="true" ma:list="{062ce0da-b8c9-4c46-a12b-e9fbf6880ca0}" ma:internalName="TaxCatchAll" ma:showField="CatchAllData" ma:web="bcefeded-d1be-47e7-ac51-55f702819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6BBB80-A575-4B51-82A8-07CA5EC5F168}">
  <ds:schemaRefs>
    <ds:schemaRef ds:uri="http://schemas.microsoft.com/office/2006/metadata/properties"/>
    <ds:schemaRef ds:uri="http://schemas.microsoft.com/office/infopath/2007/PartnerControls"/>
    <ds:schemaRef ds:uri="bcefeded-d1be-47e7-ac51-55f70281957c"/>
    <ds:schemaRef ds:uri="965c24eb-ee91-41b4-a797-d1ed8e8d739d"/>
  </ds:schemaRefs>
</ds:datastoreItem>
</file>

<file path=customXml/itemProps2.xml><?xml version="1.0" encoding="utf-8"?>
<ds:datastoreItem xmlns:ds="http://schemas.openxmlformats.org/officeDocument/2006/customXml" ds:itemID="{5AE39BE0-9644-4C49-A3BD-5ED9F8DFFF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E8D4DB-12E3-42E8-BEC4-322B1E09CB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5c24eb-ee91-41b4-a797-d1ed8e8d739d"/>
    <ds:schemaRef ds:uri="bcefeded-d1be-47e7-ac51-55f702819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15</vt:i4>
      </vt:variant>
    </vt:vector>
  </HeadingPairs>
  <TitlesOfParts>
    <vt:vector size="15" baseType="lpstr">
      <vt:lpstr>Input</vt:lpstr>
      <vt:lpstr>Main Mixing Purpose List</vt:lpstr>
      <vt:lpstr>SS Material List</vt:lpstr>
      <vt:lpstr>O-rings List</vt:lpstr>
      <vt:lpstr>IP-Class List</vt:lpstr>
      <vt:lpstr>Output</vt:lpstr>
      <vt:lpstr>ZG</vt:lpstr>
      <vt:lpstr>ZGP</vt:lpstr>
      <vt:lpstr>HP</vt:lpstr>
      <vt:lpstr>HS</vt:lpstr>
      <vt:lpstr>ZF</vt:lpstr>
      <vt:lpstr>Vessel dimension - DIN 28011</vt:lpstr>
      <vt:lpstr>Min Vol ZG</vt:lpstr>
      <vt:lpstr>OLD Output (3)</vt:lpstr>
      <vt:lpstr>OLD Output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Petter Abrahamsson</dc:creator>
  <cp:lastModifiedBy>Petter Abrahamsson</cp:lastModifiedBy>
  <dcterms:created xsi:type="dcterms:W3CDTF">2015-06-05T18:19:34Z</dcterms:created>
  <dcterms:modified xsi:type="dcterms:W3CDTF">2023-11-29T10:59:49Z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0x010100E492A6C7D396D44381D56722E977F096</vt:lpwstr>
  </property>
  <property fmtid="{D5CDD505-2E9C-101B-9397-08002B2CF9AE}" pid="3" name="MediaServiceImageTags">
    <vt:lpwstr/>
  </property>
  <property fmtid="{D5CDD505-2E9C-101B-9397-08002B2CF9AE}" pid="4" name="Process">
    <vt:lpwstr/>
  </property>
</Properties>
</file>